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omments5.xml" ContentType="application/vnd.openxmlformats-officedocument.spreadsheetml.comment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Override PartName="/xl/drawings/drawing2.xml" ContentType="application/vnd.openxmlformats-officedocument.drawing+xml"/>
  <Override PartName="/xl/charts/chart3.xml" ContentType="application/vnd.openxmlformats-officedocument.drawingml.chart+xml"/>
  <Override PartName="/xl/charts/chart4.xml" ContentType="application/vnd.openxmlformats-officedocument.drawingml.chart+xml"/>
  <Override PartName="/xl/charts/chart5.xml" ContentType="application/vnd.openxmlformats-officedocument.drawingml.chart+xml"/>
  <Override PartName="/xl/comments6.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345" yWindow="-30" windowWidth="16605" windowHeight="4815" tabRatio="635"/>
  </bookViews>
  <sheets>
    <sheet name="DPS Recommendation" sheetId="40" r:id="rId1"/>
    <sheet name="VEIC BED Summary Budgets" sheetId="50" r:id="rId2"/>
    <sheet name="DPS Evaluation" sheetId="52" r:id="rId3"/>
    <sheet name="FA and Fund Audit" sheetId="51" r:id="rId4"/>
    <sheet name="BED VEIC % Change" sheetId="45" r:id="rId5"/>
    <sheet name="BED Scen 2" sheetId="27" r:id="rId6"/>
    <sheet name="BED EEC RA Table" sheetId="37" r:id="rId7"/>
    <sheet name="BED TEPF RA" sheetId="48" r:id="rId8"/>
    <sheet name="BED TEPF RA Table" sheetId="49" r:id="rId9"/>
    <sheet name="BED EEC NRA" sheetId="29" r:id="rId10"/>
    <sheet name="BED TEPF NRA" sheetId="47" r:id="rId11"/>
    <sheet name="VEIC RA Supplemental" sheetId="44" r:id="rId12"/>
    <sheet name="VEIC Est RA Yields" sheetId="38" r:id="rId13"/>
    <sheet name="VEIC RA Table" sheetId="41" r:id="rId14"/>
    <sheet name="Draft VEIC NRA" sheetId="28" r:id="rId15"/>
    <sheet name="VEIC TEPF" sheetId="31" r:id="rId16"/>
    <sheet name="VEIC TEPF Table" sheetId="46" r:id="rId17"/>
    <sheet name="VEIC Compensation" sheetId="53" r:id="rId18"/>
    <sheet name="2013 P-Study" sheetId="35" r:id="rId19"/>
    <sheet name="2013 P-Study Svgs as % of Sales" sheetId="36" r:id="rId20"/>
    <sheet name="BED EVT as % Sales" sheetId="42" r:id="rId21"/>
    <sheet name="Scen 1 MWh Savings" sheetId="4" r:id="rId22"/>
    <sheet name="Scen 1 Summer &amp; Winter MW" sheetId="5" r:id="rId23"/>
    <sheet name="Scen 1 TRB" sheetId="7" r:id="rId24"/>
    <sheet name="Scen 1 Budgets" sheetId="6" r:id="rId25"/>
    <sheet name="Scen 1 Yields" sheetId="13" r:id="rId26"/>
    <sheet name="Scen 2 MWh Savings" sheetId="15" r:id="rId27"/>
    <sheet name="Scen 2 Summer &amp; Winter MW" sheetId="16" r:id="rId28"/>
    <sheet name="Scen 2 TRB" sheetId="17" r:id="rId29"/>
    <sheet name="Scen 2 Budgets" sheetId="18" r:id="rId30"/>
    <sheet name="Scen 2 Yields" sheetId="19" r:id="rId31"/>
    <sheet name="Scen 3 MWh Savings" sheetId="21" r:id="rId32"/>
    <sheet name="Scen 3 Summer &amp; Winter MW" sheetId="22" r:id="rId33"/>
    <sheet name="Scen 3 TRB" sheetId="23" r:id="rId34"/>
    <sheet name="Scen 3 Budgets" sheetId="24" r:id="rId35"/>
    <sheet name="Scen 3 Yields" sheetId="25" r:id="rId36"/>
    <sheet name="DPS TEPF Forecast" sheetId="32" r:id="rId37"/>
    <sheet name="DRP 1 Ref" sheetId="39" r:id="rId38"/>
  </sheets>
  <externalReferences>
    <externalReference r:id="rId39"/>
    <externalReference r:id="rId40"/>
    <externalReference r:id="rId41"/>
    <externalReference r:id="rId42"/>
    <externalReference r:id="rId43"/>
  </externalReferences>
  <calcPr calcId="145621"/>
</workbook>
</file>

<file path=xl/calcChain.xml><?xml version="1.0" encoding="utf-8"?>
<calcChain xmlns="http://schemas.openxmlformats.org/spreadsheetml/2006/main">
  <c r="F54" i="29" l="1"/>
  <c r="H14" i="40" l="1"/>
  <c r="I14" i="40"/>
  <c r="J14" i="40"/>
  <c r="K14" i="40"/>
  <c r="L14" i="40"/>
  <c r="M14" i="40"/>
  <c r="N14" i="40"/>
  <c r="O14" i="40"/>
  <c r="P14" i="40"/>
  <c r="Q14" i="40"/>
  <c r="R14" i="40"/>
  <c r="S14" i="40"/>
  <c r="T14" i="40"/>
  <c r="U14" i="40"/>
  <c r="V14" i="40"/>
  <c r="W14" i="40"/>
  <c r="G14" i="40"/>
  <c r="D14" i="40"/>
  <c r="E14" i="40"/>
  <c r="C14" i="40"/>
  <c r="C46" i="29"/>
  <c r="G45" i="29"/>
  <c r="H45" i="29" s="1"/>
  <c r="I45" i="29" s="1"/>
  <c r="J45" i="29" s="1"/>
  <c r="K45" i="29" s="1"/>
  <c r="L45" i="29" s="1"/>
  <c r="M45" i="29" s="1"/>
  <c r="G44" i="29"/>
  <c r="H44" i="29" s="1"/>
  <c r="D44" i="29"/>
  <c r="E44" i="29" s="1"/>
  <c r="E46" i="29" s="1"/>
  <c r="C42" i="29"/>
  <c r="D41" i="29"/>
  <c r="D39" i="29"/>
  <c r="C39" i="29"/>
  <c r="E38" i="29"/>
  <c r="D38" i="29"/>
  <c r="E37" i="29"/>
  <c r="D37" i="29"/>
  <c r="C34" i="29"/>
  <c r="J33" i="29"/>
  <c r="K33" i="29" s="1"/>
  <c r="L33" i="29" s="1"/>
  <c r="M33" i="29" s="1"/>
  <c r="N33" i="29" s="1"/>
  <c r="O33" i="29" s="1"/>
  <c r="P33" i="29" s="1"/>
  <c r="Q33" i="29" s="1"/>
  <c r="R33" i="29" s="1"/>
  <c r="S33" i="29" s="1"/>
  <c r="T33" i="29" s="1"/>
  <c r="U33" i="29" s="1"/>
  <c r="V33" i="29" s="1"/>
  <c r="W33" i="29" s="1"/>
  <c r="F33" i="29"/>
  <c r="D33" i="29"/>
  <c r="E33" i="29" s="1"/>
  <c r="G33" i="29" s="1"/>
  <c r="H33" i="29" s="1"/>
  <c r="I33" i="29" s="1"/>
  <c r="D32" i="29"/>
  <c r="E32" i="29" s="1"/>
  <c r="D31" i="29"/>
  <c r="D34" i="29" s="1"/>
  <c r="C28" i="29"/>
  <c r="B28" i="29"/>
  <c r="D27" i="29"/>
  <c r="L26" i="29"/>
  <c r="M26" i="29" s="1"/>
  <c r="N26" i="29" s="1"/>
  <c r="O26" i="29" s="1"/>
  <c r="P26" i="29" s="1"/>
  <c r="Q26" i="29" s="1"/>
  <c r="R26" i="29" s="1"/>
  <c r="S26" i="29" s="1"/>
  <c r="T26" i="29" s="1"/>
  <c r="U26" i="29" s="1"/>
  <c r="V26" i="29" s="1"/>
  <c r="W26" i="29" s="1"/>
  <c r="G26" i="29"/>
  <c r="H26" i="29" s="1"/>
  <c r="I26" i="29" s="1"/>
  <c r="J26" i="29" s="1"/>
  <c r="K26" i="29" s="1"/>
  <c r="F26" i="29"/>
  <c r="D26" i="29"/>
  <c r="E26" i="29" s="1"/>
  <c r="F25" i="29"/>
  <c r="E25" i="29"/>
  <c r="G25" i="29" s="1"/>
  <c r="H25" i="29" s="1"/>
  <c r="I25" i="29" s="1"/>
  <c r="J25" i="29" s="1"/>
  <c r="K25" i="29" s="1"/>
  <c r="L25" i="29" s="1"/>
  <c r="M25" i="29" s="1"/>
  <c r="N25" i="29" s="1"/>
  <c r="O25" i="29" s="1"/>
  <c r="P25" i="29" s="1"/>
  <c r="Q25" i="29" s="1"/>
  <c r="R25" i="29" s="1"/>
  <c r="S25" i="29" s="1"/>
  <c r="T25" i="29" s="1"/>
  <c r="U25" i="29" s="1"/>
  <c r="V25" i="29" s="1"/>
  <c r="W25" i="29" s="1"/>
  <c r="D25" i="29"/>
  <c r="I24" i="29"/>
  <c r="J24" i="29" s="1"/>
  <c r="K24" i="29" s="1"/>
  <c r="L24" i="29" s="1"/>
  <c r="M24" i="29" s="1"/>
  <c r="N24" i="29" s="1"/>
  <c r="O24" i="29" s="1"/>
  <c r="P24" i="29" s="1"/>
  <c r="Q24" i="29" s="1"/>
  <c r="R24" i="29" s="1"/>
  <c r="S24" i="29" s="1"/>
  <c r="T24" i="29" s="1"/>
  <c r="U24" i="29" s="1"/>
  <c r="V24" i="29" s="1"/>
  <c r="W24" i="29" s="1"/>
  <c r="E24" i="29"/>
  <c r="G24" i="29" s="1"/>
  <c r="H24" i="29" s="1"/>
  <c r="D24" i="29"/>
  <c r="F23" i="29"/>
  <c r="E23" i="29"/>
  <c r="D23" i="29"/>
  <c r="D28" i="29" s="1"/>
  <c r="C20" i="29"/>
  <c r="D19" i="29"/>
  <c r="E19" i="29" s="1"/>
  <c r="F19" i="29" s="1"/>
  <c r="D18" i="29"/>
  <c r="D20" i="29" s="1"/>
  <c r="C15" i="29"/>
  <c r="B15" i="29"/>
  <c r="E14" i="29"/>
  <c r="G14" i="29" s="1"/>
  <c r="H14" i="29" s="1"/>
  <c r="I14" i="29" s="1"/>
  <c r="J14" i="29" s="1"/>
  <c r="K14" i="29" s="1"/>
  <c r="L14" i="29" s="1"/>
  <c r="M14" i="29" s="1"/>
  <c r="N14" i="29" s="1"/>
  <c r="O14" i="29" s="1"/>
  <c r="P14" i="29" s="1"/>
  <c r="Q14" i="29" s="1"/>
  <c r="R14" i="29" s="1"/>
  <c r="S14" i="29" s="1"/>
  <c r="T14" i="29" s="1"/>
  <c r="U14" i="29" s="1"/>
  <c r="V14" i="29" s="1"/>
  <c r="W14" i="29" s="1"/>
  <c r="D14" i="29"/>
  <c r="I13" i="29"/>
  <c r="H13" i="29"/>
  <c r="D13" i="29"/>
  <c r="D10" i="29"/>
  <c r="C10" i="29"/>
  <c r="E9" i="29"/>
  <c r="G9" i="29" s="1"/>
  <c r="H9" i="29" s="1"/>
  <c r="I9" i="29" s="1"/>
  <c r="J9" i="29" s="1"/>
  <c r="K9" i="29" s="1"/>
  <c r="L9" i="29" s="1"/>
  <c r="M9" i="29" s="1"/>
  <c r="N9" i="29" s="1"/>
  <c r="O9" i="29" s="1"/>
  <c r="P9" i="29" s="1"/>
  <c r="Q9" i="29" s="1"/>
  <c r="R9" i="29" s="1"/>
  <c r="S9" i="29" s="1"/>
  <c r="T9" i="29" s="1"/>
  <c r="U9" i="29" s="1"/>
  <c r="V9" i="29" s="1"/>
  <c r="W9" i="29" s="1"/>
  <c r="D9" i="29"/>
  <c r="E8" i="29"/>
  <c r="G8" i="29" s="1"/>
  <c r="H8" i="29" s="1"/>
  <c r="I8" i="29" s="1"/>
  <c r="J8" i="29" s="1"/>
  <c r="K8" i="29" s="1"/>
  <c r="L8" i="29" s="1"/>
  <c r="M8" i="29" s="1"/>
  <c r="N8" i="29" s="1"/>
  <c r="O8" i="29" s="1"/>
  <c r="P8" i="29" s="1"/>
  <c r="Q8" i="29" s="1"/>
  <c r="R8" i="29" s="1"/>
  <c r="S8" i="29" s="1"/>
  <c r="T8" i="29" s="1"/>
  <c r="U8" i="29" s="1"/>
  <c r="V8" i="29" s="1"/>
  <c r="W8" i="29" s="1"/>
  <c r="D8" i="29"/>
  <c r="E7" i="29"/>
  <c r="G7" i="29" s="1"/>
  <c r="H7" i="29" s="1"/>
  <c r="I7" i="29" s="1"/>
  <c r="J7" i="29" s="1"/>
  <c r="K7" i="29" s="1"/>
  <c r="L7" i="29" s="1"/>
  <c r="M7" i="29" s="1"/>
  <c r="N7" i="29" s="1"/>
  <c r="O7" i="29" s="1"/>
  <c r="P7" i="29" s="1"/>
  <c r="Q7" i="29" s="1"/>
  <c r="R7" i="29" s="1"/>
  <c r="S7" i="29" s="1"/>
  <c r="T7" i="29" s="1"/>
  <c r="U7" i="29" s="1"/>
  <c r="V7" i="29" s="1"/>
  <c r="W7" i="29" s="1"/>
  <c r="D7" i="29"/>
  <c r="E6" i="29"/>
  <c r="E10" i="29" s="1"/>
  <c r="D6" i="29"/>
  <c r="K4" i="29"/>
  <c r="L4" i="29" s="1"/>
  <c r="M4" i="29" s="1"/>
  <c r="N4" i="29" s="1"/>
  <c r="O4" i="29" s="1"/>
  <c r="P4" i="29" s="1"/>
  <c r="Q4" i="29" s="1"/>
  <c r="R4" i="29" s="1"/>
  <c r="S4" i="29" s="1"/>
  <c r="T4" i="29" s="1"/>
  <c r="U4" i="29" s="1"/>
  <c r="V4" i="29" s="1"/>
  <c r="W4" i="29" s="1"/>
  <c r="I4" i="29"/>
  <c r="J4" i="29" s="1"/>
  <c r="H4" i="29"/>
  <c r="F6" i="29" l="1"/>
  <c r="G6" i="29"/>
  <c r="I15" i="29"/>
  <c r="J13" i="29"/>
  <c r="G15" i="29"/>
  <c r="D15" i="29"/>
  <c r="E13" i="29"/>
  <c r="E15" i="29" s="1"/>
  <c r="G19" i="29"/>
  <c r="H19" i="29" s="1"/>
  <c r="I19" i="29" s="1"/>
  <c r="J19" i="29" s="1"/>
  <c r="K19" i="29" s="1"/>
  <c r="L19" i="29" s="1"/>
  <c r="M19" i="29" s="1"/>
  <c r="N19" i="29" s="1"/>
  <c r="O19" i="29" s="1"/>
  <c r="P19" i="29" s="1"/>
  <c r="Q19" i="29" s="1"/>
  <c r="R19" i="29" s="1"/>
  <c r="S19" i="29" s="1"/>
  <c r="T19" i="29" s="1"/>
  <c r="U19" i="29" s="1"/>
  <c r="V19" i="29" s="1"/>
  <c r="W19" i="29" s="1"/>
  <c r="I44" i="29"/>
  <c r="H46" i="29"/>
  <c r="C48" i="29"/>
  <c r="F8" i="29"/>
  <c r="H15" i="29"/>
  <c r="F14" i="29"/>
  <c r="G23" i="29"/>
  <c r="F24" i="29"/>
  <c r="F41" i="29"/>
  <c r="D42" i="29"/>
  <c r="E41" i="29"/>
  <c r="G46" i="29"/>
  <c r="G37" i="29"/>
  <c r="E39" i="29"/>
  <c r="F37" i="29"/>
  <c r="F7" i="29"/>
  <c r="F9" i="29"/>
  <c r="G32" i="29"/>
  <c r="H32" i="29" s="1"/>
  <c r="I32" i="29" s="1"/>
  <c r="J32" i="29" s="1"/>
  <c r="K32" i="29" s="1"/>
  <c r="L32" i="29" s="1"/>
  <c r="M32" i="29" s="1"/>
  <c r="N32" i="29" s="1"/>
  <c r="O32" i="29" s="1"/>
  <c r="P32" i="29" s="1"/>
  <c r="Q32" i="29" s="1"/>
  <c r="R32" i="29" s="1"/>
  <c r="S32" i="29" s="1"/>
  <c r="T32" i="29" s="1"/>
  <c r="U32" i="29" s="1"/>
  <c r="V32" i="29" s="1"/>
  <c r="W32" i="29" s="1"/>
  <c r="F32" i="29"/>
  <c r="G38" i="29"/>
  <c r="H38" i="29" s="1"/>
  <c r="I38" i="29" s="1"/>
  <c r="J38" i="29" s="1"/>
  <c r="K38" i="29" s="1"/>
  <c r="L38" i="29" s="1"/>
  <c r="M38" i="29" s="1"/>
  <c r="N38" i="29" s="1"/>
  <c r="O38" i="29" s="1"/>
  <c r="P38" i="29" s="1"/>
  <c r="Q38" i="29" s="1"/>
  <c r="R38" i="29" s="1"/>
  <c r="S38" i="29" s="1"/>
  <c r="T38" i="29" s="1"/>
  <c r="U38" i="29" s="1"/>
  <c r="V38" i="29" s="1"/>
  <c r="W38" i="29" s="1"/>
  <c r="F38" i="29"/>
  <c r="E18" i="29"/>
  <c r="E27" i="29"/>
  <c r="G27" i="29" s="1"/>
  <c r="H27" i="29" s="1"/>
  <c r="I27" i="29" s="1"/>
  <c r="J27" i="29" s="1"/>
  <c r="K27" i="29" s="1"/>
  <c r="L27" i="29" s="1"/>
  <c r="M27" i="29" s="1"/>
  <c r="N27" i="29" s="1"/>
  <c r="O27" i="29" s="1"/>
  <c r="P27" i="29" s="1"/>
  <c r="Q27" i="29" s="1"/>
  <c r="R27" i="29" s="1"/>
  <c r="S27" i="29" s="1"/>
  <c r="T27" i="29" s="1"/>
  <c r="U27" i="29" s="1"/>
  <c r="V27" i="29" s="1"/>
  <c r="W27" i="29" s="1"/>
  <c r="E31" i="29"/>
  <c r="F44" i="29"/>
  <c r="D46" i="29"/>
  <c r="D48" i="29" s="1"/>
  <c r="D51" i="29" s="1"/>
  <c r="F27" i="29" l="1"/>
  <c r="F28" i="29" s="1"/>
  <c r="G31" i="29"/>
  <c r="E34" i="29"/>
  <c r="F34" i="29" s="1"/>
  <c r="F31" i="29"/>
  <c r="E20" i="29"/>
  <c r="G18" i="29"/>
  <c r="F18" i="29"/>
  <c r="F20" i="29" s="1"/>
  <c r="C51" i="29"/>
  <c r="K13" i="29"/>
  <c r="J15" i="29"/>
  <c r="F39" i="29"/>
  <c r="E42" i="29"/>
  <c r="E48" i="29" s="1"/>
  <c r="E51" i="29" s="1"/>
  <c r="G41" i="29"/>
  <c r="G28" i="29"/>
  <c r="H23" i="29"/>
  <c r="I46" i="29"/>
  <c r="J44" i="29"/>
  <c r="F13" i="29"/>
  <c r="F15" i="29" s="1"/>
  <c r="G10" i="29"/>
  <c r="H6" i="29"/>
  <c r="G39" i="29"/>
  <c r="H37" i="29"/>
  <c r="E28" i="29"/>
  <c r="F46" i="29"/>
  <c r="F10" i="29"/>
  <c r="J46" i="29" l="1"/>
  <c r="K44" i="29"/>
  <c r="L13" i="29"/>
  <c r="K15" i="29"/>
  <c r="G20" i="29"/>
  <c r="H18" i="29"/>
  <c r="G34" i="29"/>
  <c r="H31" i="29"/>
  <c r="G42" i="29"/>
  <c r="H41" i="29"/>
  <c r="H10" i="29"/>
  <c r="I6" i="29"/>
  <c r="H28" i="29"/>
  <c r="I23" i="29"/>
  <c r="H39" i="29"/>
  <c r="I37" i="29"/>
  <c r="F48" i="29"/>
  <c r="F51" i="29" s="1"/>
  <c r="F42" i="29"/>
  <c r="H34" i="29" l="1"/>
  <c r="I31" i="29"/>
  <c r="L15" i="29"/>
  <c r="M13" i="29"/>
  <c r="I10" i="29"/>
  <c r="J6" i="29"/>
  <c r="I28" i="29"/>
  <c r="J23" i="29"/>
  <c r="H42" i="29"/>
  <c r="H48" i="29" s="1"/>
  <c r="H51" i="29" s="1"/>
  <c r="I41" i="29"/>
  <c r="H20" i="29"/>
  <c r="I18" i="29"/>
  <c r="L44" i="29"/>
  <c r="K46" i="29"/>
  <c r="I39" i="29"/>
  <c r="J37" i="29"/>
  <c r="G48" i="29"/>
  <c r="G51" i="29" s="1"/>
  <c r="J39" i="29" l="1"/>
  <c r="K37" i="29"/>
  <c r="J28" i="29"/>
  <c r="K23" i="29"/>
  <c r="M15" i="29"/>
  <c r="N13" i="29"/>
  <c r="M44" i="29"/>
  <c r="L46" i="29"/>
  <c r="I20" i="29"/>
  <c r="J18" i="29"/>
  <c r="I42" i="29"/>
  <c r="J41" i="29"/>
  <c r="J10" i="29"/>
  <c r="K6" i="29"/>
  <c r="I34" i="29"/>
  <c r="J31" i="29"/>
  <c r="K10" i="29" l="1"/>
  <c r="L6" i="29"/>
  <c r="I48" i="29"/>
  <c r="I51" i="29" s="1"/>
  <c r="K28" i="29"/>
  <c r="L23" i="29"/>
  <c r="M46" i="29"/>
  <c r="N44" i="29"/>
  <c r="K18" i="29"/>
  <c r="J20" i="29"/>
  <c r="O13" i="29"/>
  <c r="N15" i="29"/>
  <c r="K39" i="29"/>
  <c r="L37" i="29"/>
  <c r="J34" i="29"/>
  <c r="K31" i="29"/>
  <c r="J42" i="29"/>
  <c r="K41" i="29"/>
  <c r="P13" i="29" l="1"/>
  <c r="O15" i="29"/>
  <c r="L41" i="29"/>
  <c r="K42" i="29"/>
  <c r="L28" i="29"/>
  <c r="M23" i="29"/>
  <c r="K34" i="29"/>
  <c r="L31" i="29"/>
  <c r="N46" i="29"/>
  <c r="O44" i="29"/>
  <c r="L39" i="29"/>
  <c r="M37" i="29"/>
  <c r="M6" i="29"/>
  <c r="L10" i="29"/>
  <c r="J48" i="29"/>
  <c r="J51" i="29" s="1"/>
  <c r="K20" i="29"/>
  <c r="L18" i="29"/>
  <c r="P44" i="29" l="1"/>
  <c r="O46" i="29"/>
  <c r="M39" i="29"/>
  <c r="N37" i="29"/>
  <c r="L42" i="29"/>
  <c r="M41" i="29"/>
  <c r="M28" i="29"/>
  <c r="N23" i="29"/>
  <c r="L20" i="29"/>
  <c r="M18" i="29"/>
  <c r="M10" i="29"/>
  <c r="N6" i="29"/>
  <c r="L34" i="29"/>
  <c r="M31" i="29"/>
  <c r="K48" i="29"/>
  <c r="K51" i="29" s="1"/>
  <c r="P15" i="29"/>
  <c r="Q13" i="29"/>
  <c r="N10" i="29" l="1"/>
  <c r="O6" i="29"/>
  <c r="N39" i="29"/>
  <c r="O37" i="29"/>
  <c r="N31" i="29"/>
  <c r="M34" i="29"/>
  <c r="M20" i="29"/>
  <c r="N18" i="29"/>
  <c r="M42" i="29"/>
  <c r="M48" i="29" s="1"/>
  <c r="M51" i="29" s="1"/>
  <c r="N41" i="29"/>
  <c r="O23" i="29"/>
  <c r="N28" i="29"/>
  <c r="Q15" i="29"/>
  <c r="R13" i="29"/>
  <c r="L48" i="29"/>
  <c r="L51" i="29" s="1"/>
  <c r="Q44" i="29"/>
  <c r="P46" i="29"/>
  <c r="O28" i="29" l="1"/>
  <c r="P23" i="29"/>
  <c r="N20" i="29"/>
  <c r="O18" i="29"/>
  <c r="O39" i="29"/>
  <c r="P37" i="29"/>
  <c r="S13" i="29"/>
  <c r="R15" i="29"/>
  <c r="N42" i="29"/>
  <c r="O41" i="29"/>
  <c r="O10" i="29"/>
  <c r="P6" i="29"/>
  <c r="Q46" i="29"/>
  <c r="R44" i="29"/>
  <c r="N34" i="29"/>
  <c r="O31" i="29"/>
  <c r="O20" i="29" l="1"/>
  <c r="P18" i="29"/>
  <c r="R46" i="29"/>
  <c r="S44" i="29"/>
  <c r="O42" i="29"/>
  <c r="P41" i="29"/>
  <c r="T13" i="29"/>
  <c r="S15" i="29"/>
  <c r="N48" i="29"/>
  <c r="N51" i="29" s="1"/>
  <c r="P39" i="29"/>
  <c r="Q37" i="29"/>
  <c r="P28" i="29"/>
  <c r="Q23" i="29"/>
  <c r="O34" i="29"/>
  <c r="P31" i="29"/>
  <c r="P10" i="29"/>
  <c r="Q6" i="29"/>
  <c r="P34" i="29" l="1"/>
  <c r="Q31" i="29"/>
  <c r="T44" i="29"/>
  <c r="S46" i="29"/>
  <c r="Q39" i="29"/>
  <c r="R37" i="29"/>
  <c r="T15" i="29"/>
  <c r="U13" i="29"/>
  <c r="Q10" i="29"/>
  <c r="R6" i="29"/>
  <c r="P42" i="29"/>
  <c r="P48" i="29" s="1"/>
  <c r="P51" i="29" s="1"/>
  <c r="Q41" i="29"/>
  <c r="P20" i="29"/>
  <c r="Q18" i="29"/>
  <c r="Q28" i="29"/>
  <c r="R23" i="29"/>
  <c r="O48" i="29"/>
  <c r="O51" i="29" s="1"/>
  <c r="R18" i="29" l="1"/>
  <c r="Q20" i="29"/>
  <c r="R10" i="29"/>
  <c r="S6" i="29"/>
  <c r="U44" i="29"/>
  <c r="T46" i="29"/>
  <c r="R39" i="29"/>
  <c r="S37" i="29"/>
  <c r="R31" i="29"/>
  <c r="Q34" i="29"/>
  <c r="U15" i="29"/>
  <c r="V13" i="29"/>
  <c r="S23" i="29"/>
  <c r="R28" i="29"/>
  <c r="Q42" i="29"/>
  <c r="Q48" i="29" s="1"/>
  <c r="Q51" i="29" s="1"/>
  <c r="R41" i="29"/>
  <c r="R34" i="29" l="1"/>
  <c r="S31" i="29"/>
  <c r="U46" i="29"/>
  <c r="V44" i="29"/>
  <c r="S18" i="29"/>
  <c r="R20" i="29"/>
  <c r="S28" i="29"/>
  <c r="T23" i="29"/>
  <c r="R42" i="29"/>
  <c r="R48" i="29" s="1"/>
  <c r="R51" i="29" s="1"/>
  <c r="S41" i="29"/>
  <c r="W13" i="29"/>
  <c r="W15" i="29" s="1"/>
  <c r="V15" i="29"/>
  <c r="S39" i="29"/>
  <c r="T37" i="29"/>
  <c r="S10" i="29"/>
  <c r="T6" i="29"/>
  <c r="T39" i="29" l="1"/>
  <c r="U37" i="29"/>
  <c r="S42" i="29"/>
  <c r="T41" i="29"/>
  <c r="S34" i="29"/>
  <c r="T31" i="29"/>
  <c r="S20" i="29"/>
  <c r="T18" i="29"/>
  <c r="U6" i="29"/>
  <c r="T10" i="29"/>
  <c r="T28" i="29"/>
  <c r="U23" i="29"/>
  <c r="V46" i="29"/>
  <c r="W44" i="29"/>
  <c r="W46" i="29" s="1"/>
  <c r="S48" i="29" l="1"/>
  <c r="S51" i="29" s="1"/>
  <c r="T42" i="29"/>
  <c r="U41" i="29"/>
  <c r="U10" i="29"/>
  <c r="V6" i="29"/>
  <c r="U39" i="29"/>
  <c r="V37" i="29"/>
  <c r="T34" i="29"/>
  <c r="U31" i="29"/>
  <c r="U28" i="29"/>
  <c r="V23" i="29"/>
  <c r="T20" i="29"/>
  <c r="U18" i="29"/>
  <c r="U42" i="29" l="1"/>
  <c r="V41" i="29"/>
  <c r="U20" i="29"/>
  <c r="V18" i="29"/>
  <c r="U34" i="29"/>
  <c r="V31" i="29"/>
  <c r="T48" i="29"/>
  <c r="T51" i="29" s="1"/>
  <c r="V10" i="29"/>
  <c r="W6" i="29"/>
  <c r="W10" i="29" s="1"/>
  <c r="V39" i="29"/>
  <c r="W37" i="29"/>
  <c r="W39" i="29" s="1"/>
  <c r="V28" i="29"/>
  <c r="W23" i="29"/>
  <c r="W28" i="29" s="1"/>
  <c r="V34" i="29" l="1"/>
  <c r="W31" i="29"/>
  <c r="W34" i="29" s="1"/>
  <c r="V42" i="29"/>
  <c r="V48" i="29" s="1"/>
  <c r="V51" i="29" s="1"/>
  <c r="W41" i="29"/>
  <c r="W42" i="29" s="1"/>
  <c r="W48" i="29" s="1"/>
  <c r="W51" i="29" s="1"/>
  <c r="V20" i="29"/>
  <c r="W18" i="29"/>
  <c r="W20" i="29" s="1"/>
  <c r="U48" i="29"/>
  <c r="U51" i="29" s="1"/>
  <c r="C30" i="38" l="1"/>
  <c r="D30" i="38"/>
  <c r="E30" i="38"/>
  <c r="F30" i="38"/>
  <c r="G30" i="38"/>
  <c r="H30" i="38"/>
  <c r="I30" i="38"/>
  <c r="J30" i="38"/>
  <c r="K30" i="38"/>
  <c r="L30" i="38"/>
  <c r="M30" i="38"/>
  <c r="N30" i="38"/>
  <c r="O30" i="38"/>
  <c r="P30" i="38"/>
  <c r="Q30" i="38"/>
  <c r="R30" i="38"/>
  <c r="S30" i="38"/>
  <c r="T30" i="38"/>
  <c r="U30" i="38"/>
  <c r="C31" i="38"/>
  <c r="D31" i="38"/>
  <c r="E31" i="38"/>
  <c r="F31" i="38"/>
  <c r="G31" i="38"/>
  <c r="H31" i="38"/>
  <c r="I31" i="38"/>
  <c r="J31" i="38"/>
  <c r="K31" i="38"/>
  <c r="L31" i="38"/>
  <c r="M31" i="38"/>
  <c r="N31" i="38"/>
  <c r="O31" i="38"/>
  <c r="P31" i="38"/>
  <c r="Q31" i="38"/>
  <c r="R31" i="38"/>
  <c r="S31" i="38"/>
  <c r="T31" i="38"/>
  <c r="U31" i="38"/>
  <c r="B33" i="38"/>
  <c r="B32" i="38"/>
  <c r="B31" i="38"/>
  <c r="B30" i="38"/>
  <c r="C23" i="38"/>
  <c r="D23" i="38"/>
  <c r="E23" i="38"/>
  <c r="F23" i="38"/>
  <c r="G23" i="38"/>
  <c r="H23" i="38"/>
  <c r="I23" i="38"/>
  <c r="J23" i="38"/>
  <c r="K23" i="38"/>
  <c r="L23" i="38"/>
  <c r="M23" i="38"/>
  <c r="N23" i="38"/>
  <c r="O23" i="38"/>
  <c r="P23" i="38"/>
  <c r="Q23" i="38"/>
  <c r="R23" i="38"/>
  <c r="S23" i="38"/>
  <c r="T23" i="38"/>
  <c r="U23" i="38"/>
  <c r="C24" i="38"/>
  <c r="D24" i="38"/>
  <c r="E24" i="38"/>
  <c r="F24" i="38"/>
  <c r="G24" i="38"/>
  <c r="H24" i="38"/>
  <c r="I24" i="38"/>
  <c r="J24" i="38"/>
  <c r="K24" i="38"/>
  <c r="L24" i="38"/>
  <c r="M24" i="38"/>
  <c r="N24" i="38"/>
  <c r="O24" i="38"/>
  <c r="P24" i="38"/>
  <c r="Q24" i="38"/>
  <c r="R24" i="38"/>
  <c r="S24" i="38"/>
  <c r="T24" i="38"/>
  <c r="U24" i="38"/>
  <c r="B24" i="38"/>
  <c r="B23" i="38"/>
  <c r="C2" i="44"/>
  <c r="D2" i="44"/>
  <c r="E2" i="44"/>
  <c r="F2" i="44"/>
  <c r="G2" i="44"/>
  <c r="H2" i="44"/>
  <c r="I2" i="44"/>
  <c r="J2" i="44"/>
  <c r="K2" i="44"/>
  <c r="L2" i="44"/>
  <c r="M2" i="44"/>
  <c r="N2" i="44"/>
  <c r="O2" i="44"/>
  <c r="P2" i="44"/>
  <c r="Q2" i="44"/>
  <c r="R2" i="44"/>
  <c r="S2" i="44"/>
  <c r="T2" i="44"/>
  <c r="U2" i="44"/>
  <c r="B2" i="44"/>
  <c r="B51" i="38" l="1"/>
  <c r="C74" i="38" l="1"/>
  <c r="D74" i="38"/>
  <c r="E74" i="38"/>
  <c r="F74" i="38"/>
  <c r="G74" i="38"/>
  <c r="H74" i="38"/>
  <c r="I74" i="38"/>
  <c r="J74" i="38"/>
  <c r="K74" i="38"/>
  <c r="L74" i="38"/>
  <c r="M74" i="38"/>
  <c r="N74" i="38"/>
  <c r="O74" i="38"/>
  <c r="P74" i="38"/>
  <c r="Q74" i="38"/>
  <c r="R74" i="38"/>
  <c r="S74" i="38"/>
  <c r="T74" i="38"/>
  <c r="U74" i="38"/>
  <c r="B74" i="38"/>
  <c r="B79" i="38"/>
  <c r="C20" i="42" l="1"/>
  <c r="D20" i="42"/>
  <c r="E20" i="42"/>
  <c r="F20" i="42"/>
  <c r="G20" i="42"/>
  <c r="H20" i="42"/>
  <c r="I20" i="42"/>
  <c r="J20" i="42"/>
  <c r="K20" i="42"/>
  <c r="L20" i="42"/>
  <c r="M20" i="42"/>
  <c r="N20" i="42"/>
  <c r="O20" i="42"/>
  <c r="P20" i="42"/>
  <c r="Q20" i="42"/>
  <c r="R20" i="42"/>
  <c r="S20" i="42"/>
  <c r="T20" i="42"/>
  <c r="U20" i="42"/>
  <c r="C21" i="42"/>
  <c r="C65" i="42" s="1"/>
  <c r="D21" i="42"/>
  <c r="E21" i="42"/>
  <c r="E65" i="42" s="1"/>
  <c r="F21" i="42"/>
  <c r="F65" i="42" s="1"/>
  <c r="G21" i="42"/>
  <c r="G65" i="42" s="1"/>
  <c r="H21" i="42"/>
  <c r="I21" i="42"/>
  <c r="I65" i="42" s="1"/>
  <c r="J21" i="42"/>
  <c r="J65" i="42" s="1"/>
  <c r="K21" i="42"/>
  <c r="K65" i="42" s="1"/>
  <c r="L21" i="42"/>
  <c r="M21" i="42"/>
  <c r="M65" i="42" s="1"/>
  <c r="N21" i="42"/>
  <c r="N65" i="42" s="1"/>
  <c r="O21" i="42"/>
  <c r="O65" i="42" s="1"/>
  <c r="P21" i="42"/>
  <c r="Q21" i="42"/>
  <c r="Q65" i="42" s="1"/>
  <c r="R21" i="42"/>
  <c r="R65" i="42" s="1"/>
  <c r="S21" i="42"/>
  <c r="S65" i="42" s="1"/>
  <c r="T21" i="42"/>
  <c r="U21" i="42"/>
  <c r="U65" i="42" s="1"/>
  <c r="C22" i="42"/>
  <c r="D22" i="42"/>
  <c r="E22" i="42"/>
  <c r="F22" i="42"/>
  <c r="G22" i="42"/>
  <c r="H22" i="42"/>
  <c r="I22" i="42"/>
  <c r="J22" i="42"/>
  <c r="K22" i="42"/>
  <c r="L22" i="42"/>
  <c r="M22" i="42"/>
  <c r="N22" i="42"/>
  <c r="O22" i="42"/>
  <c r="P22" i="42"/>
  <c r="Q22" i="42"/>
  <c r="R22" i="42"/>
  <c r="S22" i="42"/>
  <c r="T22" i="42"/>
  <c r="U22" i="42"/>
  <c r="B22" i="42"/>
  <c r="B21" i="42"/>
  <c r="B28" i="42" s="1"/>
  <c r="B20" i="42"/>
  <c r="C18" i="36"/>
  <c r="D18" i="36"/>
  <c r="E18" i="36"/>
  <c r="F18" i="36"/>
  <c r="G18" i="36"/>
  <c r="H18" i="36"/>
  <c r="I18" i="36"/>
  <c r="J18" i="36"/>
  <c r="K18" i="36"/>
  <c r="L18" i="36"/>
  <c r="M18" i="36"/>
  <c r="N18" i="36"/>
  <c r="O18" i="36"/>
  <c r="P18" i="36"/>
  <c r="Q18" i="36"/>
  <c r="R18" i="36"/>
  <c r="S18" i="36"/>
  <c r="T18" i="36"/>
  <c r="U18" i="36"/>
  <c r="B18" i="36"/>
  <c r="C19" i="36"/>
  <c r="D19" i="36"/>
  <c r="E19" i="36"/>
  <c r="F19" i="36"/>
  <c r="G19" i="36"/>
  <c r="H19" i="36"/>
  <c r="I19" i="36"/>
  <c r="J19" i="36"/>
  <c r="K19" i="36"/>
  <c r="L19" i="36"/>
  <c r="M19" i="36"/>
  <c r="N19" i="36"/>
  <c r="O19" i="36"/>
  <c r="P19" i="36"/>
  <c r="Q19" i="36"/>
  <c r="R19" i="36"/>
  <c r="S19" i="36"/>
  <c r="T19" i="36"/>
  <c r="U19" i="36"/>
  <c r="C20" i="36"/>
  <c r="D20" i="36"/>
  <c r="E20" i="36"/>
  <c r="F20" i="36"/>
  <c r="G20" i="36"/>
  <c r="H20" i="36"/>
  <c r="I20" i="36"/>
  <c r="J20" i="36"/>
  <c r="K20" i="36"/>
  <c r="L20" i="36"/>
  <c r="M20" i="36"/>
  <c r="N20" i="36"/>
  <c r="O20" i="36"/>
  <c r="P20" i="36"/>
  <c r="Q20" i="36"/>
  <c r="R20" i="36"/>
  <c r="S20" i="36"/>
  <c r="T20" i="36"/>
  <c r="U20" i="36"/>
  <c r="B20" i="36"/>
  <c r="B19" i="36"/>
  <c r="T65" i="42" l="1"/>
  <c r="L65" i="42"/>
  <c r="D65" i="42"/>
  <c r="P65" i="42"/>
  <c r="H65" i="42"/>
  <c r="D58" i="42"/>
  <c r="E58" i="42"/>
  <c r="E60" i="42" s="1"/>
  <c r="E61" i="42" s="1"/>
  <c r="E64" i="42" s="1"/>
  <c r="F58" i="42"/>
  <c r="G58" i="42"/>
  <c r="H58" i="42"/>
  <c r="I58" i="42"/>
  <c r="I60" i="42" s="1"/>
  <c r="I61" i="42" s="1"/>
  <c r="I64" i="42" s="1"/>
  <c r="J58" i="42"/>
  <c r="K58" i="42"/>
  <c r="L58" i="42"/>
  <c r="M58" i="42"/>
  <c r="M60" i="42" s="1"/>
  <c r="M61" i="42" s="1"/>
  <c r="M64" i="42" s="1"/>
  <c r="N58" i="42"/>
  <c r="O58" i="42"/>
  <c r="P58" i="42"/>
  <c r="Q58" i="42"/>
  <c r="Q60" i="42" s="1"/>
  <c r="Q61" i="42" s="1"/>
  <c r="Q64" i="42" s="1"/>
  <c r="R58" i="42"/>
  <c r="S58" i="42"/>
  <c r="T58" i="42"/>
  <c r="U58" i="42"/>
  <c r="U60" i="42" s="1"/>
  <c r="U61" i="42" s="1"/>
  <c r="U64" i="42" s="1"/>
  <c r="C58" i="42"/>
  <c r="D59" i="42"/>
  <c r="E59" i="42"/>
  <c r="F59" i="42"/>
  <c r="G59" i="42"/>
  <c r="H59" i="42"/>
  <c r="I59" i="42"/>
  <c r="J59" i="42"/>
  <c r="K59" i="42"/>
  <c r="L59" i="42"/>
  <c r="M59" i="42"/>
  <c r="N59" i="42"/>
  <c r="O59" i="42"/>
  <c r="P59" i="42"/>
  <c r="Q59" i="42"/>
  <c r="R59" i="42"/>
  <c r="S59" i="42"/>
  <c r="T59" i="42"/>
  <c r="U59" i="42"/>
  <c r="C59" i="42"/>
  <c r="U32" i="42"/>
  <c r="T32" i="42"/>
  <c r="S32" i="42"/>
  <c r="R32" i="42"/>
  <c r="Q32" i="42"/>
  <c r="P32" i="42"/>
  <c r="O32" i="42"/>
  <c r="N32" i="42"/>
  <c r="M32" i="42"/>
  <c r="L32" i="42"/>
  <c r="K32" i="42"/>
  <c r="J32" i="42"/>
  <c r="I32" i="42"/>
  <c r="H32" i="42"/>
  <c r="G32" i="42"/>
  <c r="F32" i="42"/>
  <c r="E32" i="42"/>
  <c r="D32" i="42"/>
  <c r="C32" i="42"/>
  <c r="C73" i="38"/>
  <c r="D73" i="38"/>
  <c r="D75" i="38" s="1"/>
  <c r="D37" i="38" s="1"/>
  <c r="E73" i="38"/>
  <c r="F73" i="38"/>
  <c r="F75" i="38" s="1"/>
  <c r="F37" i="38" s="1"/>
  <c r="G73" i="38"/>
  <c r="H73" i="38"/>
  <c r="H75" i="38" s="1"/>
  <c r="H37" i="38" s="1"/>
  <c r="I73" i="38"/>
  <c r="J73" i="38"/>
  <c r="J75" i="38" s="1"/>
  <c r="J37" i="38" s="1"/>
  <c r="K73" i="38"/>
  <c r="L73" i="38"/>
  <c r="L75" i="38" s="1"/>
  <c r="L37" i="38" s="1"/>
  <c r="M73" i="38"/>
  <c r="N73" i="38"/>
  <c r="N75" i="38" s="1"/>
  <c r="N37" i="38" s="1"/>
  <c r="O73" i="38"/>
  <c r="P73" i="38"/>
  <c r="P75" i="38" s="1"/>
  <c r="P37" i="38" s="1"/>
  <c r="Q73" i="38"/>
  <c r="R73" i="38"/>
  <c r="R75" i="38" s="1"/>
  <c r="R37" i="38" s="1"/>
  <c r="S73" i="38"/>
  <c r="T73" i="38"/>
  <c r="T75" i="38" s="1"/>
  <c r="T37" i="38" s="1"/>
  <c r="U73" i="38"/>
  <c r="E75" i="38"/>
  <c r="E37" i="38" s="1"/>
  <c r="I75" i="38"/>
  <c r="I37" i="38" s="1"/>
  <c r="M75" i="38"/>
  <c r="M37" i="38" s="1"/>
  <c r="Q75" i="38"/>
  <c r="Q37" i="38" s="1"/>
  <c r="U75" i="38"/>
  <c r="U37" i="38" s="1"/>
  <c r="C69" i="38"/>
  <c r="D69" i="38"/>
  <c r="E69" i="38"/>
  <c r="F69" i="38"/>
  <c r="G69" i="38"/>
  <c r="H69" i="38"/>
  <c r="I69" i="38"/>
  <c r="J69" i="38"/>
  <c r="K69" i="38"/>
  <c r="L69" i="38"/>
  <c r="M69" i="38"/>
  <c r="N69" i="38"/>
  <c r="O69" i="38"/>
  <c r="P69" i="38"/>
  <c r="Q69" i="38"/>
  <c r="R69" i="38"/>
  <c r="S69" i="38"/>
  <c r="T69" i="38"/>
  <c r="U69" i="38"/>
  <c r="C70" i="38"/>
  <c r="D70" i="38"/>
  <c r="E70" i="38"/>
  <c r="F70" i="38"/>
  <c r="G70" i="38"/>
  <c r="H70" i="38"/>
  <c r="I70" i="38"/>
  <c r="J70" i="38"/>
  <c r="K70" i="38"/>
  <c r="L70" i="38"/>
  <c r="M70" i="38"/>
  <c r="N70" i="38"/>
  <c r="O70" i="38"/>
  <c r="P70" i="38"/>
  <c r="Q70" i="38"/>
  <c r="R70" i="38"/>
  <c r="S70" i="38"/>
  <c r="T70" i="38"/>
  <c r="U70" i="38"/>
  <c r="Q28" i="42" l="1"/>
  <c r="C60" i="42"/>
  <c r="C61" i="42" s="1"/>
  <c r="R60" i="42"/>
  <c r="R61" i="42" s="1"/>
  <c r="R64" i="42" s="1"/>
  <c r="N60" i="42"/>
  <c r="N61" i="42" s="1"/>
  <c r="N28" i="42" s="1"/>
  <c r="J60" i="42"/>
  <c r="J61" i="42" s="1"/>
  <c r="J28" i="42" s="1"/>
  <c r="F60" i="42"/>
  <c r="F61" i="42" s="1"/>
  <c r="F64" i="42" s="1"/>
  <c r="U28" i="42"/>
  <c r="S60" i="42"/>
  <c r="S61" i="42" s="1"/>
  <c r="O60" i="42"/>
  <c r="O61" i="42" s="1"/>
  <c r="K60" i="42"/>
  <c r="K61" i="42" s="1"/>
  <c r="G60" i="42"/>
  <c r="G61" i="42" s="1"/>
  <c r="M28" i="42"/>
  <c r="E28" i="42"/>
  <c r="T60" i="42"/>
  <c r="T61" i="42" s="1"/>
  <c r="P60" i="42"/>
  <c r="P61" i="42" s="1"/>
  <c r="L60" i="42"/>
  <c r="L61" i="42" s="1"/>
  <c r="H60" i="42"/>
  <c r="H61" i="42" s="1"/>
  <c r="D60" i="42"/>
  <c r="D61" i="42" s="1"/>
  <c r="I28" i="42"/>
  <c r="S71" i="38"/>
  <c r="S36" i="38" s="1"/>
  <c r="O71" i="38"/>
  <c r="O36" i="38" s="1"/>
  <c r="K71" i="38"/>
  <c r="K36" i="38" s="1"/>
  <c r="G71" i="38"/>
  <c r="G36" i="38" s="1"/>
  <c r="C71" i="38"/>
  <c r="C36" i="38" s="1"/>
  <c r="F71" i="38"/>
  <c r="F36" i="38" s="1"/>
  <c r="R71" i="38"/>
  <c r="R36" i="38" s="1"/>
  <c r="N71" i="38"/>
  <c r="N36" i="38" s="1"/>
  <c r="J71" i="38"/>
  <c r="J36" i="38" s="1"/>
  <c r="U71" i="38"/>
  <c r="U36" i="38" s="1"/>
  <c r="Q71" i="38"/>
  <c r="Q36" i="38" s="1"/>
  <c r="M71" i="38"/>
  <c r="M36" i="38" s="1"/>
  <c r="I71" i="38"/>
  <c r="I36" i="38" s="1"/>
  <c r="E71" i="38"/>
  <c r="E36" i="38" s="1"/>
  <c r="T71" i="38"/>
  <c r="T36" i="38" s="1"/>
  <c r="P71" i="38"/>
  <c r="P36" i="38" s="1"/>
  <c r="L71" i="38"/>
  <c r="L36" i="38" s="1"/>
  <c r="H71" i="38"/>
  <c r="H36" i="38" s="1"/>
  <c r="D71" i="38"/>
  <c r="D36" i="38" s="1"/>
  <c r="S75" i="38"/>
  <c r="S37" i="38" s="1"/>
  <c r="O75" i="38"/>
  <c r="O37" i="38" s="1"/>
  <c r="K75" i="38"/>
  <c r="K37" i="38" s="1"/>
  <c r="G75" i="38"/>
  <c r="G37" i="38" s="1"/>
  <c r="C75" i="38"/>
  <c r="C37" i="38" s="1"/>
  <c r="B73" i="38"/>
  <c r="B70" i="38"/>
  <c r="F28" i="42" l="1"/>
  <c r="R28" i="42"/>
  <c r="N64" i="42"/>
  <c r="J64" i="42"/>
  <c r="H64" i="42"/>
  <c r="H28" i="42"/>
  <c r="O64" i="42"/>
  <c r="O28" i="42"/>
  <c r="S28" i="42"/>
  <c r="S64" i="42"/>
  <c r="P64" i="42"/>
  <c r="P28" i="42"/>
  <c r="G64" i="42"/>
  <c r="G28" i="42"/>
  <c r="L64" i="42"/>
  <c r="L28" i="42"/>
  <c r="D64" i="42"/>
  <c r="D28" i="42"/>
  <c r="T64" i="42"/>
  <c r="T28" i="42"/>
  <c r="K28" i="42"/>
  <c r="K64" i="42"/>
  <c r="B75" i="38"/>
  <c r="B37" i="38" s="1"/>
  <c r="B69" i="38"/>
  <c r="B71" i="38" s="1"/>
  <c r="B36" i="38" s="1"/>
  <c r="C60" i="38"/>
  <c r="D60" i="38"/>
  <c r="E60" i="38"/>
  <c r="F60" i="38"/>
  <c r="G60" i="38"/>
  <c r="H60" i="38"/>
  <c r="I60" i="38"/>
  <c r="J60" i="38"/>
  <c r="K60" i="38"/>
  <c r="L60" i="38"/>
  <c r="M60" i="38"/>
  <c r="N60" i="38"/>
  <c r="O60" i="38"/>
  <c r="P60" i="38"/>
  <c r="Q60" i="38"/>
  <c r="R60" i="38"/>
  <c r="S60" i="38"/>
  <c r="T60" i="38"/>
  <c r="U60" i="38"/>
  <c r="C64" i="38"/>
  <c r="D64" i="38"/>
  <c r="E64" i="38"/>
  <c r="F64" i="38"/>
  <c r="G64" i="38"/>
  <c r="H64" i="38"/>
  <c r="I64" i="38"/>
  <c r="J64" i="38"/>
  <c r="K64" i="38"/>
  <c r="L64" i="38"/>
  <c r="M64" i="38"/>
  <c r="N64" i="38"/>
  <c r="O64" i="38"/>
  <c r="P64" i="38"/>
  <c r="Q64" i="38"/>
  <c r="R64" i="38"/>
  <c r="S64" i="38"/>
  <c r="T64" i="38"/>
  <c r="U64" i="38"/>
  <c r="B64" i="38"/>
  <c r="B60" i="38"/>
  <c r="E53" i="38"/>
  <c r="F53" i="38"/>
  <c r="G53" i="38"/>
  <c r="H53" i="38"/>
  <c r="I53" i="38"/>
  <c r="J53" i="38"/>
  <c r="K53" i="38"/>
  <c r="L53" i="38"/>
  <c r="M53" i="38"/>
  <c r="N53" i="38"/>
  <c r="O53" i="38"/>
  <c r="P53" i="38"/>
  <c r="Q53" i="38"/>
  <c r="R53" i="38"/>
  <c r="S53" i="38"/>
  <c r="T53" i="38"/>
  <c r="U53" i="38"/>
  <c r="E54" i="38"/>
  <c r="E55" i="38" s="1"/>
  <c r="F54" i="38"/>
  <c r="G54" i="38"/>
  <c r="H54" i="38"/>
  <c r="I54" i="38"/>
  <c r="I55" i="38" s="1"/>
  <c r="J54" i="38"/>
  <c r="K54" i="38"/>
  <c r="L54" i="38"/>
  <c r="M54" i="38"/>
  <c r="M55" i="38" s="1"/>
  <c r="N54" i="38"/>
  <c r="O54" i="38"/>
  <c r="P54" i="38"/>
  <c r="Q54" i="38"/>
  <c r="Q55" i="38" s="1"/>
  <c r="R54" i="38"/>
  <c r="S54" i="38"/>
  <c r="T54" i="38"/>
  <c r="U54" i="38"/>
  <c r="U55" i="38" s="1"/>
  <c r="E49" i="38"/>
  <c r="F49" i="38"/>
  <c r="G49" i="38"/>
  <c r="H49" i="38"/>
  <c r="I49" i="38"/>
  <c r="J49" i="38"/>
  <c r="K49" i="38"/>
  <c r="L49" i="38"/>
  <c r="M49" i="38"/>
  <c r="N49" i="38"/>
  <c r="O49" i="38"/>
  <c r="P49" i="38"/>
  <c r="Q49" i="38"/>
  <c r="R49" i="38"/>
  <c r="S49" i="38"/>
  <c r="T49" i="38"/>
  <c r="U49" i="38"/>
  <c r="E50" i="38"/>
  <c r="F50" i="38"/>
  <c r="G50" i="38"/>
  <c r="G51" i="38" s="1"/>
  <c r="H50" i="38"/>
  <c r="I50" i="38"/>
  <c r="J50" i="38"/>
  <c r="K50" i="38"/>
  <c r="L50" i="38"/>
  <c r="M50" i="38"/>
  <c r="N50" i="38"/>
  <c r="O50" i="38"/>
  <c r="P50" i="38"/>
  <c r="Q50" i="38"/>
  <c r="R50" i="38"/>
  <c r="S50" i="38"/>
  <c r="T50" i="38"/>
  <c r="U50" i="38"/>
  <c r="C50" i="38"/>
  <c r="D50" i="38"/>
  <c r="B50" i="38"/>
  <c r="C54" i="38"/>
  <c r="D54" i="38"/>
  <c r="B54" i="38"/>
  <c r="D49" i="38"/>
  <c r="C49" i="38"/>
  <c r="B49" i="38"/>
  <c r="C53" i="38"/>
  <c r="D53" i="38"/>
  <c r="B53" i="38"/>
  <c r="T51" i="38" l="1"/>
  <c r="P51" i="38"/>
  <c r="L51" i="38"/>
  <c r="H51" i="38"/>
  <c r="R55" i="38"/>
  <c r="J55" i="38"/>
  <c r="B55" i="38"/>
  <c r="O51" i="38"/>
  <c r="S55" i="38"/>
  <c r="O55" i="38"/>
  <c r="K55" i="38"/>
  <c r="G55" i="38"/>
  <c r="D55" i="38"/>
  <c r="C55" i="38"/>
  <c r="S51" i="38"/>
  <c r="K51" i="38"/>
  <c r="N55" i="38"/>
  <c r="F55" i="38"/>
  <c r="R51" i="38"/>
  <c r="N51" i="38"/>
  <c r="J51" i="38"/>
  <c r="F51" i="38"/>
  <c r="U51" i="38"/>
  <c r="Q51" i="38"/>
  <c r="M51" i="38"/>
  <c r="I51" i="38"/>
  <c r="E51" i="38"/>
  <c r="T55" i="38"/>
  <c r="P55" i="38"/>
  <c r="L55" i="38"/>
  <c r="H55" i="38"/>
  <c r="C51" i="38"/>
  <c r="D51" i="38"/>
  <c r="C9" i="40"/>
  <c r="C10" i="40" s="1"/>
  <c r="D5" i="45" s="1"/>
  <c r="E5" i="45" s="1"/>
  <c r="C4" i="37" l="1"/>
  <c r="F9" i="39"/>
  <c r="F31" i="39" l="1"/>
  <c r="D31" i="39"/>
  <c r="E31" i="39"/>
  <c r="C31" i="39"/>
  <c r="F28" i="39"/>
  <c r="D28" i="39"/>
  <c r="E28" i="39"/>
  <c r="C28" i="39"/>
  <c r="D14" i="49" l="1"/>
  <c r="D13" i="49"/>
  <c r="D12" i="49"/>
  <c r="D11" i="49"/>
  <c r="D10" i="49"/>
  <c r="D9" i="49"/>
  <c r="D8" i="49"/>
  <c r="D7" i="49"/>
  <c r="D6" i="49"/>
  <c r="D5" i="49"/>
  <c r="C14" i="49"/>
  <c r="C13" i="49"/>
  <c r="C12" i="49"/>
  <c r="C11" i="49"/>
  <c r="C10" i="49"/>
  <c r="C9" i="49"/>
  <c r="C8" i="49"/>
  <c r="C7" i="49"/>
  <c r="C6" i="49"/>
  <c r="C5" i="49"/>
  <c r="E57" i="52" l="1"/>
  <c r="I57" i="52" s="1"/>
  <c r="J57" i="52" s="1"/>
  <c r="K57" i="52" s="1"/>
  <c r="L57" i="52" s="1"/>
  <c r="D57" i="52"/>
  <c r="C57" i="52"/>
  <c r="E56" i="52"/>
  <c r="D56" i="52"/>
  <c r="D59" i="52" s="1"/>
  <c r="C56" i="52"/>
  <c r="E48" i="52"/>
  <c r="K48" i="52" s="1"/>
  <c r="N48" i="52" s="1"/>
  <c r="Q48" i="52" s="1"/>
  <c r="T48" i="52" s="1"/>
  <c r="W48" i="52" s="1"/>
  <c r="D48" i="52"/>
  <c r="J48" i="52" s="1"/>
  <c r="M48" i="52" s="1"/>
  <c r="P48" i="52" s="1"/>
  <c r="S48" i="52" s="1"/>
  <c r="V48" i="52" s="1"/>
  <c r="Y48" i="52" s="1"/>
  <c r="C48" i="52"/>
  <c r="J47" i="52"/>
  <c r="M47" i="52" s="1"/>
  <c r="P47" i="52" s="1"/>
  <c r="S47" i="52" s="1"/>
  <c r="V47" i="52" s="1"/>
  <c r="Y47" i="52" s="1"/>
  <c r="E47" i="52"/>
  <c r="K47" i="52" s="1"/>
  <c r="N47" i="52" s="1"/>
  <c r="Q47" i="52" s="1"/>
  <c r="T47" i="52" s="1"/>
  <c r="W47" i="52" s="1"/>
  <c r="D47" i="52"/>
  <c r="C47" i="52"/>
  <c r="E46" i="52"/>
  <c r="K46" i="52" s="1"/>
  <c r="N46" i="52" s="1"/>
  <c r="Q46" i="52" s="1"/>
  <c r="T46" i="52" s="1"/>
  <c r="W46" i="52" s="1"/>
  <c r="D46" i="52"/>
  <c r="J46" i="52" s="1"/>
  <c r="M46" i="52" s="1"/>
  <c r="P46" i="52" s="1"/>
  <c r="S46" i="52" s="1"/>
  <c r="V46" i="52" s="1"/>
  <c r="Y46" i="52" s="1"/>
  <c r="C46" i="52"/>
  <c r="E45" i="52"/>
  <c r="D45" i="52"/>
  <c r="J45" i="52" s="1"/>
  <c r="M45" i="52" s="1"/>
  <c r="P45" i="52" s="1"/>
  <c r="S45" i="52" s="1"/>
  <c r="V45" i="52" s="1"/>
  <c r="Y45" i="52" s="1"/>
  <c r="C45" i="52"/>
  <c r="E42" i="52"/>
  <c r="D42" i="52"/>
  <c r="C42" i="52"/>
  <c r="E41" i="52"/>
  <c r="K41" i="52" s="1"/>
  <c r="N41" i="52" s="1"/>
  <c r="Q41" i="52" s="1"/>
  <c r="T41" i="52" s="1"/>
  <c r="W41" i="52" s="1"/>
  <c r="D41" i="52"/>
  <c r="J41" i="52" s="1"/>
  <c r="M41" i="52" s="1"/>
  <c r="P41" i="52" s="1"/>
  <c r="S41" i="52" s="1"/>
  <c r="V41" i="52" s="1"/>
  <c r="Y41" i="52" s="1"/>
  <c r="C41" i="52"/>
  <c r="I41" i="52" s="1"/>
  <c r="L41" i="52" s="1"/>
  <c r="O41" i="52" s="1"/>
  <c r="R41" i="52" s="1"/>
  <c r="U41" i="52" s="1"/>
  <c r="X41" i="52" s="1"/>
  <c r="E40" i="52"/>
  <c r="K40" i="52" s="1"/>
  <c r="N40" i="52" s="1"/>
  <c r="Q40" i="52" s="1"/>
  <c r="T40" i="52" s="1"/>
  <c r="W40" i="52" s="1"/>
  <c r="D40" i="52"/>
  <c r="C40" i="52"/>
  <c r="I40" i="52" s="1"/>
  <c r="L40" i="52" s="1"/>
  <c r="O40" i="52" s="1"/>
  <c r="R40" i="52" s="1"/>
  <c r="U40" i="52" s="1"/>
  <c r="X40" i="52" s="1"/>
  <c r="F39" i="52"/>
  <c r="E39" i="52"/>
  <c r="K39" i="52" s="1"/>
  <c r="D39" i="52"/>
  <c r="C39" i="52"/>
  <c r="S36" i="52"/>
  <c r="V36" i="52" s="1"/>
  <c r="Y36" i="52" s="1"/>
  <c r="E36" i="52"/>
  <c r="D36" i="52"/>
  <c r="J36" i="52" s="1"/>
  <c r="M36" i="52" s="1"/>
  <c r="P36" i="52" s="1"/>
  <c r="C36" i="52"/>
  <c r="P35" i="52"/>
  <c r="S35" i="52" s="1"/>
  <c r="V35" i="52" s="1"/>
  <c r="N35" i="52"/>
  <c r="L35" i="52"/>
  <c r="O35" i="52" s="1"/>
  <c r="J35" i="52"/>
  <c r="M35" i="52" s="1"/>
  <c r="E35" i="52"/>
  <c r="D35" i="52"/>
  <c r="C35" i="52"/>
  <c r="E29" i="52"/>
  <c r="K19" i="52" s="1"/>
  <c r="O19" i="52" s="1"/>
  <c r="S19" i="52" s="1"/>
  <c r="W19" i="52" s="1"/>
  <c r="D29" i="52"/>
  <c r="J19" i="52" s="1"/>
  <c r="N19" i="52" s="1"/>
  <c r="R19" i="52" s="1"/>
  <c r="V19" i="52" s="1"/>
  <c r="C29" i="52"/>
  <c r="E26" i="52"/>
  <c r="K26" i="52" s="1"/>
  <c r="N26" i="52" s="1"/>
  <c r="Q26" i="52" s="1"/>
  <c r="T26" i="52" s="1"/>
  <c r="W26" i="52" s="1"/>
  <c r="D26" i="52"/>
  <c r="J26" i="52" s="1"/>
  <c r="M26" i="52" s="1"/>
  <c r="P26" i="52" s="1"/>
  <c r="S26" i="52" s="1"/>
  <c r="V26" i="52" s="1"/>
  <c r="Y26" i="52" s="1"/>
  <c r="C26" i="52"/>
  <c r="E25" i="52"/>
  <c r="D25" i="52"/>
  <c r="C25" i="52"/>
  <c r="E24" i="52"/>
  <c r="D24" i="52"/>
  <c r="J25" i="52" s="1"/>
  <c r="M25" i="52" s="1"/>
  <c r="P25" i="52" s="1"/>
  <c r="S25" i="52" s="1"/>
  <c r="V25" i="52" s="1"/>
  <c r="Y25" i="52" s="1"/>
  <c r="C24" i="52"/>
  <c r="E23" i="52"/>
  <c r="K24" i="52" s="1"/>
  <c r="N24" i="52" s="1"/>
  <c r="Q24" i="52" s="1"/>
  <c r="T24" i="52" s="1"/>
  <c r="W24" i="52" s="1"/>
  <c r="D23" i="52"/>
  <c r="J23" i="52" s="1"/>
  <c r="M23" i="52" s="1"/>
  <c r="P23" i="52" s="1"/>
  <c r="S23" i="52" s="1"/>
  <c r="V23" i="52" s="1"/>
  <c r="Y23" i="52" s="1"/>
  <c r="C23" i="52"/>
  <c r="E22" i="52"/>
  <c r="K22" i="52" s="1"/>
  <c r="N22" i="52" s="1"/>
  <c r="Q22" i="52" s="1"/>
  <c r="T22" i="52" s="1"/>
  <c r="W22" i="52" s="1"/>
  <c r="D22" i="52"/>
  <c r="J22" i="52" s="1"/>
  <c r="M22" i="52" s="1"/>
  <c r="P22" i="52" s="1"/>
  <c r="S22" i="52" s="1"/>
  <c r="V22" i="52" s="1"/>
  <c r="Y22" i="52" s="1"/>
  <c r="C22" i="52"/>
  <c r="I19" i="52"/>
  <c r="E19" i="52"/>
  <c r="D19" i="52"/>
  <c r="C19" i="52"/>
  <c r="E18" i="52"/>
  <c r="I18" i="52" s="1"/>
  <c r="D18" i="52"/>
  <c r="C18" i="52"/>
  <c r="E17" i="52"/>
  <c r="I17" i="52" s="1"/>
  <c r="K17" i="52" s="1"/>
  <c r="M17" i="52" s="1"/>
  <c r="O17" i="52" s="1"/>
  <c r="Q17" i="52" s="1"/>
  <c r="S17" i="52" s="1"/>
  <c r="U17" i="52" s="1"/>
  <c r="W17" i="52" s="1"/>
  <c r="Y17" i="52" s="1"/>
  <c r="D17" i="52"/>
  <c r="C17" i="52"/>
  <c r="E16" i="52"/>
  <c r="D16" i="52"/>
  <c r="C16" i="52"/>
  <c r="J15" i="52"/>
  <c r="M15" i="52" s="1"/>
  <c r="P15" i="52" s="1"/>
  <c r="S15" i="52" s="1"/>
  <c r="V15" i="52" s="1"/>
  <c r="Y15" i="52" s="1"/>
  <c r="E15" i="52"/>
  <c r="K15" i="52" s="1"/>
  <c r="N15" i="52" s="1"/>
  <c r="Q15" i="52" s="1"/>
  <c r="T15" i="52" s="1"/>
  <c r="W15" i="52" s="1"/>
  <c r="D15" i="52"/>
  <c r="C15" i="52"/>
  <c r="I15" i="52" s="1"/>
  <c r="L15" i="52" s="1"/>
  <c r="O15" i="52" s="1"/>
  <c r="R15" i="52" s="1"/>
  <c r="U15" i="52" s="1"/>
  <c r="X15" i="52" s="1"/>
  <c r="E14" i="52"/>
  <c r="K14" i="52" s="1"/>
  <c r="N14" i="52" s="1"/>
  <c r="Q14" i="52" s="1"/>
  <c r="T14" i="52" s="1"/>
  <c r="W14" i="52" s="1"/>
  <c r="D14" i="52"/>
  <c r="J14" i="52" s="1"/>
  <c r="M14" i="52" s="1"/>
  <c r="P14" i="52" s="1"/>
  <c r="S14" i="52" s="1"/>
  <c r="V14" i="52" s="1"/>
  <c r="Y14" i="52" s="1"/>
  <c r="C14" i="52"/>
  <c r="E11" i="52"/>
  <c r="K11" i="52" s="1"/>
  <c r="N11" i="52" s="1"/>
  <c r="Q11" i="52" s="1"/>
  <c r="T11" i="52" s="1"/>
  <c r="W11" i="52" s="1"/>
  <c r="D11" i="52"/>
  <c r="J11" i="52" s="1"/>
  <c r="M11" i="52" s="1"/>
  <c r="P11" i="52" s="1"/>
  <c r="S11" i="52" s="1"/>
  <c r="V11" i="52" s="1"/>
  <c r="Y11" i="52" s="1"/>
  <c r="C11" i="52"/>
  <c r="E10" i="52"/>
  <c r="K10" i="52" s="1"/>
  <c r="N10" i="52" s="1"/>
  <c r="Q10" i="52" s="1"/>
  <c r="T10" i="52" s="1"/>
  <c r="W10" i="52" s="1"/>
  <c r="D10" i="52"/>
  <c r="J10" i="52" s="1"/>
  <c r="M10" i="52" s="1"/>
  <c r="P10" i="52" s="1"/>
  <c r="S10" i="52" s="1"/>
  <c r="V10" i="52" s="1"/>
  <c r="Y10" i="52" s="1"/>
  <c r="C10" i="52"/>
  <c r="E9" i="52"/>
  <c r="I9" i="52" s="1"/>
  <c r="J9" i="52" s="1"/>
  <c r="K9" i="52" s="1"/>
  <c r="L9" i="52" s="1"/>
  <c r="M9" i="52" s="1"/>
  <c r="N9" i="52" s="1"/>
  <c r="O9" i="52" s="1"/>
  <c r="P9" i="52" s="1"/>
  <c r="Q9" i="52" s="1"/>
  <c r="R9" i="52" s="1"/>
  <c r="S9" i="52" s="1"/>
  <c r="T9" i="52" s="1"/>
  <c r="U9" i="52" s="1"/>
  <c r="V9" i="52" s="1"/>
  <c r="W9" i="52" s="1"/>
  <c r="X9" i="52" s="1"/>
  <c r="Y9" i="52" s="1"/>
  <c r="D9" i="52"/>
  <c r="C9" i="52"/>
  <c r="J8" i="52"/>
  <c r="K8" i="52" s="1"/>
  <c r="L8" i="52" s="1"/>
  <c r="M8" i="52" s="1"/>
  <c r="N8" i="52" s="1"/>
  <c r="O8" i="52" s="1"/>
  <c r="P8" i="52" s="1"/>
  <c r="Q8" i="52" s="1"/>
  <c r="R8" i="52" s="1"/>
  <c r="S8" i="52" s="1"/>
  <c r="T8" i="52" s="1"/>
  <c r="U8" i="52" s="1"/>
  <c r="V8" i="52" s="1"/>
  <c r="W8" i="52" s="1"/>
  <c r="X8" i="52" s="1"/>
  <c r="Y8" i="52" s="1"/>
  <c r="E8" i="52"/>
  <c r="D8" i="52"/>
  <c r="C8" i="52"/>
  <c r="E7" i="52"/>
  <c r="D7" i="52"/>
  <c r="C7" i="52"/>
  <c r="C92" i="52" l="1"/>
  <c r="F16" i="52"/>
  <c r="H16" i="52" s="1"/>
  <c r="F25" i="52"/>
  <c r="H25" i="52" s="1"/>
  <c r="F42" i="52"/>
  <c r="H42" i="52" s="1"/>
  <c r="C94" i="52"/>
  <c r="F9" i="52"/>
  <c r="H9" i="52" s="1"/>
  <c r="F41" i="52"/>
  <c r="H41" i="52" s="1"/>
  <c r="F17" i="52"/>
  <c r="J17" i="52" s="1"/>
  <c r="L17" i="52" s="1"/>
  <c r="N17" i="52" s="1"/>
  <c r="P17" i="52" s="1"/>
  <c r="R17" i="52" s="1"/>
  <c r="T17" i="52" s="1"/>
  <c r="V17" i="52" s="1"/>
  <c r="X17" i="52" s="1"/>
  <c r="F19" i="52"/>
  <c r="H19" i="52" s="1"/>
  <c r="K23" i="52"/>
  <c r="N23" i="52" s="1"/>
  <c r="Q23" i="52" s="1"/>
  <c r="T23" i="52" s="1"/>
  <c r="W23" i="52" s="1"/>
  <c r="D94" i="52"/>
  <c r="J24" i="52"/>
  <c r="M24" i="52" s="1"/>
  <c r="P24" i="52" s="1"/>
  <c r="S24" i="52" s="1"/>
  <c r="V24" i="52" s="1"/>
  <c r="Y24" i="52" s="1"/>
  <c r="I39" i="52"/>
  <c r="L39" i="52" s="1"/>
  <c r="K25" i="52"/>
  <c r="N25" i="52" s="1"/>
  <c r="Q25" i="52" s="1"/>
  <c r="T25" i="52" s="1"/>
  <c r="W25" i="52" s="1"/>
  <c r="F8" i="52"/>
  <c r="H8" i="52" s="1"/>
  <c r="F11" i="52"/>
  <c r="H11" i="52" s="1"/>
  <c r="M57" i="52"/>
  <c r="L60" i="52"/>
  <c r="Y35" i="52"/>
  <c r="H17" i="52"/>
  <c r="L19" i="52"/>
  <c r="P19" i="52" s="1"/>
  <c r="T19" i="52" s="1"/>
  <c r="X19" i="52" s="1"/>
  <c r="M19" i="52"/>
  <c r="Q19" i="52" s="1"/>
  <c r="U19" i="52" s="1"/>
  <c r="Y19" i="52" s="1"/>
  <c r="E28" i="52"/>
  <c r="E31" i="52" s="1"/>
  <c r="I7" i="52"/>
  <c r="F7" i="52"/>
  <c r="D91" i="52"/>
  <c r="F10" i="52"/>
  <c r="H10" i="52" s="1"/>
  <c r="I11" i="52"/>
  <c r="L11" i="52" s="1"/>
  <c r="O11" i="52" s="1"/>
  <c r="R11" i="52" s="1"/>
  <c r="U11" i="52" s="1"/>
  <c r="X11" i="52" s="1"/>
  <c r="I23" i="52"/>
  <c r="L23" i="52" s="1"/>
  <c r="O23" i="52" s="1"/>
  <c r="R23" i="52" s="1"/>
  <c r="U23" i="52" s="1"/>
  <c r="X23" i="52" s="1"/>
  <c r="F23" i="52"/>
  <c r="H23" i="52" s="1"/>
  <c r="I24" i="52"/>
  <c r="L24" i="52" s="1"/>
  <c r="O24" i="52" s="1"/>
  <c r="R24" i="52" s="1"/>
  <c r="U24" i="52" s="1"/>
  <c r="X24" i="52" s="1"/>
  <c r="J40" i="52"/>
  <c r="M40" i="52" s="1"/>
  <c r="P40" i="52" s="1"/>
  <c r="S40" i="52" s="1"/>
  <c r="V40" i="52" s="1"/>
  <c r="Y40" i="52" s="1"/>
  <c r="F40" i="52"/>
  <c r="H40" i="52" s="1"/>
  <c r="I56" i="52"/>
  <c r="E94" i="52"/>
  <c r="E59" i="52"/>
  <c r="F14" i="52"/>
  <c r="I14" i="52"/>
  <c r="L14" i="52" s="1"/>
  <c r="O14" i="52" s="1"/>
  <c r="R14" i="52" s="1"/>
  <c r="U14" i="52" s="1"/>
  <c r="X14" i="52" s="1"/>
  <c r="F15" i="52"/>
  <c r="H15" i="52" s="1"/>
  <c r="C28" i="52"/>
  <c r="F29" i="52"/>
  <c r="H29" i="52" s="1"/>
  <c r="D28" i="52"/>
  <c r="D31" i="52" s="1"/>
  <c r="C91" i="52"/>
  <c r="I10" i="52"/>
  <c r="L10" i="52" s="1"/>
  <c r="O10" i="52" s="1"/>
  <c r="R10" i="52" s="1"/>
  <c r="U10" i="52" s="1"/>
  <c r="X10" i="52" s="1"/>
  <c r="F18" i="52"/>
  <c r="D50" i="52"/>
  <c r="R35" i="52"/>
  <c r="D92" i="52"/>
  <c r="J39" i="52"/>
  <c r="N39" i="52"/>
  <c r="Q39" i="52" s="1"/>
  <c r="T39" i="52" s="1"/>
  <c r="W39" i="52" s="1"/>
  <c r="Q35" i="52"/>
  <c r="E91" i="52"/>
  <c r="I25" i="52"/>
  <c r="L25" i="52" s="1"/>
  <c r="O25" i="52" s="1"/>
  <c r="R25" i="52" s="1"/>
  <c r="U25" i="52" s="1"/>
  <c r="X25" i="52" s="1"/>
  <c r="F24" i="52"/>
  <c r="H24" i="52" s="1"/>
  <c r="H39" i="52"/>
  <c r="K45" i="52"/>
  <c r="N45" i="52" s="1"/>
  <c r="Q45" i="52" s="1"/>
  <c r="T45" i="52" s="1"/>
  <c r="W45" i="52" s="1"/>
  <c r="E92" i="52"/>
  <c r="E50" i="52"/>
  <c r="K50" i="52" s="1"/>
  <c r="N50" i="52" s="1"/>
  <c r="Q50" i="52" s="1"/>
  <c r="T50" i="52" s="1"/>
  <c r="W50" i="52" s="1"/>
  <c r="F22" i="52"/>
  <c r="I22" i="52"/>
  <c r="L22" i="52" s="1"/>
  <c r="O22" i="52" s="1"/>
  <c r="R22" i="52" s="1"/>
  <c r="U22" i="52" s="1"/>
  <c r="X22" i="52" s="1"/>
  <c r="F26" i="52"/>
  <c r="H26" i="52" s="1"/>
  <c r="I26" i="52"/>
  <c r="L26" i="52" s="1"/>
  <c r="O26" i="52" s="1"/>
  <c r="R26" i="52" s="1"/>
  <c r="U26" i="52" s="1"/>
  <c r="X26" i="52" s="1"/>
  <c r="F56" i="52"/>
  <c r="C59" i="52"/>
  <c r="F35" i="52"/>
  <c r="F36" i="52"/>
  <c r="H36" i="52" s="1"/>
  <c r="I45" i="52"/>
  <c r="L45" i="52" s="1"/>
  <c r="O45" i="52" s="1"/>
  <c r="R45" i="52" s="1"/>
  <c r="U45" i="52" s="1"/>
  <c r="X45" i="52" s="1"/>
  <c r="F45" i="52"/>
  <c r="F46" i="52"/>
  <c r="H46" i="52" s="1"/>
  <c r="I46" i="52"/>
  <c r="L46" i="52" s="1"/>
  <c r="O46" i="52" s="1"/>
  <c r="R46" i="52" s="1"/>
  <c r="U46" i="52" s="1"/>
  <c r="X46" i="52" s="1"/>
  <c r="I47" i="52"/>
  <c r="L47" i="52" s="1"/>
  <c r="O47" i="52" s="1"/>
  <c r="R47" i="52" s="1"/>
  <c r="U47" i="52" s="1"/>
  <c r="X47" i="52" s="1"/>
  <c r="F47" i="52"/>
  <c r="H47" i="52" s="1"/>
  <c r="F48" i="52"/>
  <c r="H48" i="52" s="1"/>
  <c r="I48" i="52"/>
  <c r="L48" i="52" s="1"/>
  <c r="O48" i="52" s="1"/>
  <c r="R48" i="52" s="1"/>
  <c r="U48" i="52" s="1"/>
  <c r="X48" i="52" s="1"/>
  <c r="C50" i="52"/>
  <c r="F57" i="52"/>
  <c r="H57" i="52" s="1"/>
  <c r="H38" i="52" l="1"/>
  <c r="F38" i="52"/>
  <c r="G91" i="52"/>
  <c r="H91" i="52" s="1"/>
  <c r="G94" i="52"/>
  <c r="H94" i="52" s="1"/>
  <c r="E93" i="52"/>
  <c r="N53" i="52"/>
  <c r="G92" i="52"/>
  <c r="H92" i="52"/>
  <c r="I50" i="52"/>
  <c r="L50" i="52" s="1"/>
  <c r="O50" i="52" s="1"/>
  <c r="R50" i="52" s="1"/>
  <c r="U50" i="52" s="1"/>
  <c r="X50" i="52" s="1"/>
  <c r="F50" i="52"/>
  <c r="C52" i="52"/>
  <c r="H22" i="52"/>
  <c r="H21" i="52" s="1"/>
  <c r="F21" i="52"/>
  <c r="M39" i="52"/>
  <c r="D93" i="52"/>
  <c r="J50" i="52"/>
  <c r="M50" i="52" s="1"/>
  <c r="P50" i="52" s="1"/>
  <c r="S50" i="52" s="1"/>
  <c r="V50" i="52" s="1"/>
  <c r="Y50" i="52" s="1"/>
  <c r="H14" i="52"/>
  <c r="F13" i="52"/>
  <c r="I60" i="52"/>
  <c r="J56" i="52"/>
  <c r="I28" i="52"/>
  <c r="I32" i="52" s="1"/>
  <c r="G16" i="40" s="1"/>
  <c r="J7" i="52"/>
  <c r="O39" i="52"/>
  <c r="D90" i="52"/>
  <c r="F28" i="52"/>
  <c r="C90" i="52"/>
  <c r="D52" i="52"/>
  <c r="C93" i="52"/>
  <c r="G93" i="52" s="1"/>
  <c r="H93" i="52" s="1"/>
  <c r="U35" i="52"/>
  <c r="E90" i="52"/>
  <c r="H56" i="52"/>
  <c r="F55" i="52"/>
  <c r="H35" i="52"/>
  <c r="H34" i="52" s="1"/>
  <c r="F34" i="52"/>
  <c r="Q53" i="52"/>
  <c r="T35" i="52"/>
  <c r="J18" i="52"/>
  <c r="K18" i="52" s="1"/>
  <c r="L18" i="52" s="1"/>
  <c r="M18" i="52" s="1"/>
  <c r="N18" i="52" s="1"/>
  <c r="O18" i="52" s="1"/>
  <c r="P18" i="52" s="1"/>
  <c r="Q18" i="52" s="1"/>
  <c r="R18" i="52" s="1"/>
  <c r="S18" i="52" s="1"/>
  <c r="T18" i="52" s="1"/>
  <c r="U18" i="52" s="1"/>
  <c r="V18" i="52" s="1"/>
  <c r="W18" i="52" s="1"/>
  <c r="X18" i="52" s="1"/>
  <c r="Y18" i="52" s="1"/>
  <c r="H18" i="52"/>
  <c r="H45" i="52"/>
  <c r="H44" i="52" s="1"/>
  <c r="F44" i="52"/>
  <c r="C31" i="52"/>
  <c r="K53" i="52"/>
  <c r="E52" i="52"/>
  <c r="H7" i="52"/>
  <c r="H6" i="52" s="1"/>
  <c r="F6" i="52"/>
  <c r="M60" i="52"/>
  <c r="N57" i="52"/>
  <c r="L53" i="52" l="1"/>
  <c r="J30" i="40" s="1"/>
  <c r="G90" i="52"/>
  <c r="D98" i="52" s="1"/>
  <c r="D16" i="40" s="1"/>
  <c r="E99" i="52"/>
  <c r="E30" i="40" s="1"/>
  <c r="H13" i="52"/>
  <c r="W35" i="52"/>
  <c r="W53" i="52" s="1"/>
  <c r="T53" i="52"/>
  <c r="P39" i="52"/>
  <c r="M53" i="52"/>
  <c r="K30" i="40" s="1"/>
  <c r="C53" i="52"/>
  <c r="H50" i="52"/>
  <c r="H53" i="52" s="1"/>
  <c r="C32" i="52"/>
  <c r="H28" i="52"/>
  <c r="J28" i="52"/>
  <c r="J32" i="52" s="1"/>
  <c r="H16" i="40" s="1"/>
  <c r="K7" i="52"/>
  <c r="C99" i="52"/>
  <c r="C30" i="40" s="1"/>
  <c r="I53" i="52"/>
  <c r="G30" i="40" s="1"/>
  <c r="J53" i="52"/>
  <c r="R39" i="52"/>
  <c r="O53" i="52"/>
  <c r="E103" i="52"/>
  <c r="E106" i="52"/>
  <c r="E107" i="52"/>
  <c r="O57" i="52"/>
  <c r="N60" i="52"/>
  <c r="L30" i="40" s="1"/>
  <c r="H55" i="52"/>
  <c r="C60" i="52"/>
  <c r="H60" i="52" s="1"/>
  <c r="X35" i="52"/>
  <c r="C98" i="52"/>
  <c r="C16" i="40" s="1"/>
  <c r="K56" i="52"/>
  <c r="K60" i="52" s="1"/>
  <c r="I30" i="40" s="1"/>
  <c r="J60" i="52"/>
  <c r="D99" i="52"/>
  <c r="D30" i="40" s="1"/>
  <c r="E98" i="52" l="1"/>
  <c r="E16" i="40" s="1"/>
  <c r="F16" i="40" s="1"/>
  <c r="H90" i="52"/>
  <c r="H30" i="40"/>
  <c r="F30" i="40"/>
  <c r="H32" i="52"/>
  <c r="C100" i="52"/>
  <c r="C102" i="52"/>
  <c r="U39" i="52"/>
  <c r="R53" i="52"/>
  <c r="C106" i="52"/>
  <c r="C103" i="52"/>
  <c r="C107" i="52"/>
  <c r="E100" i="52"/>
  <c r="E108" i="52"/>
  <c r="S39" i="52"/>
  <c r="P53" i="52"/>
  <c r="K28" i="52"/>
  <c r="K32" i="52" s="1"/>
  <c r="I16" i="40" s="1"/>
  <c r="L7" i="52"/>
  <c r="D107" i="52"/>
  <c r="D103" i="52"/>
  <c r="D106" i="52"/>
  <c r="D102" i="52"/>
  <c r="D100" i="52"/>
  <c r="O60" i="52"/>
  <c r="M30" i="40" s="1"/>
  <c r="P57" i="52"/>
  <c r="D104" i="52" l="1"/>
  <c r="E102" i="52"/>
  <c r="E104" i="52" s="1"/>
  <c r="C108" i="52"/>
  <c r="L28" i="52"/>
  <c r="L32" i="52" s="1"/>
  <c r="J16" i="40" s="1"/>
  <c r="M7" i="52"/>
  <c r="Q57" i="52"/>
  <c r="P60" i="52"/>
  <c r="D108" i="52"/>
  <c r="V39" i="52"/>
  <c r="S53" i="52"/>
  <c r="X39" i="52"/>
  <c r="X53" i="52" s="1"/>
  <c r="U53" i="52"/>
  <c r="C104" i="52"/>
  <c r="Q60" i="52" l="1"/>
  <c r="R57" i="52"/>
  <c r="Y39" i="52"/>
  <c r="Y53" i="52" s="1"/>
  <c r="V53" i="52"/>
  <c r="M28" i="52"/>
  <c r="M32" i="52" s="1"/>
  <c r="K16" i="40" s="1"/>
  <c r="N7" i="52"/>
  <c r="N28" i="52" l="1"/>
  <c r="N32" i="52" s="1"/>
  <c r="L16" i="40" s="1"/>
  <c r="O7" i="52"/>
  <c r="S57" i="52"/>
  <c r="R60" i="52"/>
  <c r="S60" i="52" l="1"/>
  <c r="T57" i="52"/>
  <c r="O28" i="52"/>
  <c r="O32" i="52" s="1"/>
  <c r="M16" i="40" s="1"/>
  <c r="P7" i="52"/>
  <c r="U57" i="52" l="1"/>
  <c r="T60" i="52"/>
  <c r="P28" i="52"/>
  <c r="P32" i="52" s="1"/>
  <c r="N16" i="40" s="1"/>
  <c r="Q7" i="52"/>
  <c r="U60" i="52" l="1"/>
  <c r="V57" i="52"/>
  <c r="Q28" i="52"/>
  <c r="Q32" i="52" s="1"/>
  <c r="O16" i="40" s="1"/>
  <c r="R7" i="52"/>
  <c r="W57" i="52" l="1"/>
  <c r="V60" i="52"/>
  <c r="R28" i="52"/>
  <c r="R32" i="52" s="1"/>
  <c r="P16" i="40" s="1"/>
  <c r="S7" i="52"/>
  <c r="S28" i="52" l="1"/>
  <c r="S32" i="52" s="1"/>
  <c r="Q16" i="40" s="1"/>
  <c r="T7" i="52"/>
  <c r="W60" i="52"/>
  <c r="X57" i="52"/>
  <c r="T28" i="52" l="1"/>
  <c r="T32" i="52" s="1"/>
  <c r="R16" i="40" s="1"/>
  <c r="U7" i="52"/>
  <c r="Y57" i="52"/>
  <c r="Y60" i="52" s="1"/>
  <c r="X60" i="52"/>
  <c r="U28" i="52" l="1"/>
  <c r="U32" i="52" s="1"/>
  <c r="S16" i="40" s="1"/>
  <c r="V7" i="52"/>
  <c r="W7" i="52" l="1"/>
  <c r="V28" i="52"/>
  <c r="V32" i="52" s="1"/>
  <c r="T16" i="40" s="1"/>
  <c r="W28" i="52" l="1"/>
  <c r="W32" i="52" s="1"/>
  <c r="U16" i="40" s="1"/>
  <c r="X7" i="52"/>
  <c r="X28" i="52" l="1"/>
  <c r="X32" i="52" s="1"/>
  <c r="V16" i="40" s="1"/>
  <c r="Y7" i="52"/>
  <c r="Y28" i="52" l="1"/>
  <c r="Y32" i="52" s="1"/>
  <c r="W16" i="40" s="1"/>
  <c r="X16" i="40" s="1"/>
  <c r="H18" i="40" l="1"/>
  <c r="I18" i="40"/>
  <c r="J18" i="40"/>
  <c r="K18" i="40"/>
  <c r="L18" i="40"/>
  <c r="M18" i="40"/>
  <c r="N18" i="40"/>
  <c r="O18" i="40"/>
  <c r="P18" i="40"/>
  <c r="Q18" i="40"/>
  <c r="R18" i="40"/>
  <c r="S18" i="40"/>
  <c r="T18" i="40"/>
  <c r="U18" i="40"/>
  <c r="V18" i="40"/>
  <c r="W18" i="40"/>
  <c r="H17" i="40"/>
  <c r="I17" i="40"/>
  <c r="J17" i="40"/>
  <c r="K17" i="40"/>
  <c r="L17" i="40"/>
  <c r="M17" i="40"/>
  <c r="N17" i="40"/>
  <c r="O17" i="40"/>
  <c r="P17" i="40"/>
  <c r="Q17" i="40"/>
  <c r="R17" i="40"/>
  <c r="S17" i="40"/>
  <c r="T17" i="40"/>
  <c r="U17" i="40"/>
  <c r="V17" i="40"/>
  <c r="W17" i="40"/>
  <c r="G18" i="40"/>
  <c r="G17" i="40"/>
  <c r="D18" i="40"/>
  <c r="D6" i="51" s="1"/>
  <c r="E18" i="40"/>
  <c r="E6" i="51" s="1"/>
  <c r="D17" i="40"/>
  <c r="D5" i="51" s="1"/>
  <c r="E17" i="40"/>
  <c r="E5" i="51" s="1"/>
  <c r="C18" i="40"/>
  <c r="C6" i="51" s="1"/>
  <c r="C17" i="40"/>
  <c r="C5" i="51" s="1"/>
  <c r="F6" i="51" l="1"/>
  <c r="D7" i="51"/>
  <c r="F5" i="51"/>
  <c r="C7" i="51"/>
  <c r="E7" i="51"/>
  <c r="B16" i="47"/>
  <c r="X30" i="40"/>
  <c r="H25" i="40"/>
  <c r="I25" i="40"/>
  <c r="J25" i="40"/>
  <c r="K25" i="40"/>
  <c r="L25" i="40"/>
  <c r="M25" i="40"/>
  <c r="G25" i="40"/>
  <c r="D25" i="40"/>
  <c r="D30" i="50" s="1"/>
  <c r="E25" i="40"/>
  <c r="E30" i="50" s="1"/>
  <c r="C25" i="40"/>
  <c r="C30" i="50" s="1"/>
  <c r="H28" i="40"/>
  <c r="I28" i="40"/>
  <c r="J28" i="40"/>
  <c r="K28" i="40"/>
  <c r="L28" i="40"/>
  <c r="M28" i="40"/>
  <c r="G28" i="40"/>
  <c r="D28" i="40"/>
  <c r="D31" i="50" s="1"/>
  <c r="E28" i="40"/>
  <c r="E31" i="50" s="1"/>
  <c r="C28" i="40"/>
  <c r="D26" i="50"/>
  <c r="E26" i="50"/>
  <c r="C26" i="50"/>
  <c r="G9" i="40"/>
  <c r="C15" i="47"/>
  <c r="B12" i="47"/>
  <c r="C11" i="47"/>
  <c r="D11" i="47" s="1"/>
  <c r="F11" i="47" s="1"/>
  <c r="G11" i="47" s="1"/>
  <c r="H11" i="47" s="1"/>
  <c r="I11" i="47" s="1"/>
  <c r="J11" i="47" s="1"/>
  <c r="K11" i="47" s="1"/>
  <c r="L11" i="47" s="1"/>
  <c r="C10" i="47"/>
  <c r="D10" i="47" s="1"/>
  <c r="C9" i="47"/>
  <c r="D9" i="47" s="1"/>
  <c r="F9" i="47" s="1"/>
  <c r="G9" i="47" s="1"/>
  <c r="H9" i="47" s="1"/>
  <c r="I9" i="47" s="1"/>
  <c r="J9" i="47" s="1"/>
  <c r="K9" i="47" s="1"/>
  <c r="L9" i="47" s="1"/>
  <c r="C8" i="47"/>
  <c r="D8" i="47" s="1"/>
  <c r="C7" i="47"/>
  <c r="D7" i="47" s="1"/>
  <c r="F7" i="47" s="1"/>
  <c r="G7" i="47" s="1"/>
  <c r="H7" i="47" s="1"/>
  <c r="I7" i="47" s="1"/>
  <c r="J7" i="47" s="1"/>
  <c r="K7" i="47" s="1"/>
  <c r="L7" i="47" s="1"/>
  <c r="C6" i="47"/>
  <c r="D6" i="47" s="1"/>
  <c r="C5" i="47"/>
  <c r="D5" i="47" s="1"/>
  <c r="G3" i="47"/>
  <c r="H3" i="47" s="1"/>
  <c r="I3" i="47" s="1"/>
  <c r="J3" i="47" s="1"/>
  <c r="K3" i="47" s="1"/>
  <c r="L3" i="47" s="1"/>
  <c r="F3" i="47"/>
  <c r="E58" i="48"/>
  <c r="E20" i="48"/>
  <c r="E14" i="48"/>
  <c r="E5" i="37"/>
  <c r="B65" i="27"/>
  <c r="B80" i="27" s="1"/>
  <c r="C13" i="27"/>
  <c r="C7" i="27"/>
  <c r="H5" i="27"/>
  <c r="I5" i="27" s="1"/>
  <c r="J5" i="27" s="1"/>
  <c r="K5" i="27" s="1"/>
  <c r="L5" i="27" s="1"/>
  <c r="M5" i="27" s="1"/>
  <c r="N5" i="27" s="1"/>
  <c r="O5" i="27" s="1"/>
  <c r="P5" i="27" s="1"/>
  <c r="Q5" i="27" s="1"/>
  <c r="R5" i="27" s="1"/>
  <c r="S5" i="27" s="1"/>
  <c r="T5" i="27" s="1"/>
  <c r="U5" i="27" s="1"/>
  <c r="V5" i="27" s="1"/>
  <c r="W5" i="27" s="1"/>
  <c r="D5" i="27"/>
  <c r="E5" i="27" s="1"/>
  <c r="C24" i="50" l="1"/>
  <c r="F28" i="40"/>
  <c r="X28" i="40" s="1"/>
  <c r="C31" i="50"/>
  <c r="C32" i="50" s="1"/>
  <c r="F25" i="40"/>
  <c r="X25" i="40" s="1"/>
  <c r="F7" i="51"/>
  <c r="F14" i="40"/>
  <c r="X14" i="40" s="1"/>
  <c r="E32" i="50"/>
  <c r="D32" i="50"/>
  <c r="F30" i="50"/>
  <c r="F26" i="50"/>
  <c r="F6" i="47"/>
  <c r="G6" i="47" s="1"/>
  <c r="H6" i="47" s="1"/>
  <c r="I6" i="47" s="1"/>
  <c r="J6" i="47" s="1"/>
  <c r="K6" i="47" s="1"/>
  <c r="L6" i="47" s="1"/>
  <c r="E6" i="47"/>
  <c r="F10" i="47"/>
  <c r="G10" i="47" s="1"/>
  <c r="H10" i="47" s="1"/>
  <c r="I10" i="47" s="1"/>
  <c r="J10" i="47" s="1"/>
  <c r="K10" i="47" s="1"/>
  <c r="L10" i="47" s="1"/>
  <c r="E10" i="47"/>
  <c r="F8" i="47"/>
  <c r="G8" i="47" s="1"/>
  <c r="H8" i="47" s="1"/>
  <c r="I8" i="47" s="1"/>
  <c r="J8" i="47" s="1"/>
  <c r="K8" i="47" s="1"/>
  <c r="L8" i="47" s="1"/>
  <c r="E8" i="47"/>
  <c r="D12" i="47"/>
  <c r="F5" i="47"/>
  <c r="E5" i="47"/>
  <c r="E7" i="47"/>
  <c r="E9" i="47"/>
  <c r="E11" i="47"/>
  <c r="D15" i="47"/>
  <c r="F15" i="47" s="1"/>
  <c r="G15" i="47" s="1"/>
  <c r="H15" i="47" s="1"/>
  <c r="I15" i="47" s="1"/>
  <c r="J15" i="47" s="1"/>
  <c r="K15" i="47" s="1"/>
  <c r="L15" i="47" s="1"/>
  <c r="C12" i="47"/>
  <c r="C25" i="50" l="1"/>
  <c r="F31" i="50"/>
  <c r="F32" i="50"/>
  <c r="D16" i="47"/>
  <c r="E12" i="47"/>
  <c r="C16" i="47"/>
  <c r="G5" i="47"/>
  <c r="F12" i="47"/>
  <c r="F16" i="47" s="1"/>
  <c r="E15" i="47"/>
  <c r="C27" i="50" l="1"/>
  <c r="H5" i="47"/>
  <c r="G12" i="47"/>
  <c r="G16" i="47" s="1"/>
  <c r="E16" i="47"/>
  <c r="H12" i="47" l="1"/>
  <c r="H16" i="47" s="1"/>
  <c r="I5" i="47"/>
  <c r="I12" i="47" l="1"/>
  <c r="I16" i="47" s="1"/>
  <c r="J5" i="47"/>
  <c r="J12" i="47" l="1"/>
  <c r="J16" i="47" s="1"/>
  <c r="K5" i="47"/>
  <c r="L5" i="47" l="1"/>
  <c r="L12" i="47" s="1"/>
  <c r="L16" i="47" s="1"/>
  <c r="K12" i="47"/>
  <c r="K16" i="47" s="1"/>
  <c r="C46" i="28" l="1"/>
  <c r="D45" i="28"/>
  <c r="E45" i="28" s="1"/>
  <c r="F41" i="28"/>
  <c r="C40" i="28"/>
  <c r="C37" i="28"/>
  <c r="D36" i="28"/>
  <c r="E36" i="28" s="1"/>
  <c r="G36" i="28" s="1"/>
  <c r="H36" i="28" s="1"/>
  <c r="I36" i="28" s="1"/>
  <c r="J36" i="28" s="1"/>
  <c r="K36" i="28" s="1"/>
  <c r="L36" i="28" s="1"/>
  <c r="M36" i="28" s="1"/>
  <c r="N36" i="28" s="1"/>
  <c r="O36" i="28" s="1"/>
  <c r="P36" i="28" s="1"/>
  <c r="Q36" i="28" s="1"/>
  <c r="R36" i="28" s="1"/>
  <c r="S36" i="28" s="1"/>
  <c r="T36" i="28" s="1"/>
  <c r="U36" i="28" s="1"/>
  <c r="V36" i="28" s="1"/>
  <c r="W36" i="28" s="1"/>
  <c r="D35" i="28"/>
  <c r="E35" i="28" s="1"/>
  <c r="G35" i="28" s="1"/>
  <c r="H35" i="28" s="1"/>
  <c r="I35" i="28" s="1"/>
  <c r="J35" i="28" s="1"/>
  <c r="K35" i="28" s="1"/>
  <c r="L35" i="28" s="1"/>
  <c r="M35" i="28" s="1"/>
  <c r="N35" i="28" s="1"/>
  <c r="O35" i="28" s="1"/>
  <c r="P35" i="28" s="1"/>
  <c r="Q35" i="28" s="1"/>
  <c r="R35" i="28" s="1"/>
  <c r="S35" i="28" s="1"/>
  <c r="T35" i="28" s="1"/>
  <c r="U35" i="28" s="1"/>
  <c r="V35" i="28" s="1"/>
  <c r="W35" i="28" s="1"/>
  <c r="D34" i="28"/>
  <c r="E34" i="28" s="1"/>
  <c r="C31" i="28"/>
  <c r="D30" i="28"/>
  <c r="E30" i="28" s="1"/>
  <c r="G30" i="28" s="1"/>
  <c r="H30" i="28" s="1"/>
  <c r="I30" i="28" s="1"/>
  <c r="J30" i="28" s="1"/>
  <c r="K30" i="28" s="1"/>
  <c r="L30" i="28" s="1"/>
  <c r="M30" i="28" s="1"/>
  <c r="N30" i="28" s="1"/>
  <c r="O30" i="28" s="1"/>
  <c r="P30" i="28" s="1"/>
  <c r="Q30" i="28" s="1"/>
  <c r="R30" i="28" s="1"/>
  <c r="S30" i="28" s="1"/>
  <c r="T30" i="28" s="1"/>
  <c r="U30" i="28" s="1"/>
  <c r="V30" i="28" s="1"/>
  <c r="W30" i="28" s="1"/>
  <c r="D29" i="28"/>
  <c r="D28" i="28"/>
  <c r="E28" i="28" s="1"/>
  <c r="G28" i="28" s="1"/>
  <c r="H28" i="28" s="1"/>
  <c r="I28" i="28" s="1"/>
  <c r="J28" i="28" s="1"/>
  <c r="K28" i="28" s="1"/>
  <c r="L28" i="28" s="1"/>
  <c r="M28" i="28" s="1"/>
  <c r="N28" i="28" s="1"/>
  <c r="O28" i="28" s="1"/>
  <c r="P28" i="28" s="1"/>
  <c r="Q28" i="28" s="1"/>
  <c r="R28" i="28" s="1"/>
  <c r="S28" i="28" s="1"/>
  <c r="T28" i="28" s="1"/>
  <c r="U28" i="28" s="1"/>
  <c r="V28" i="28" s="1"/>
  <c r="W28" i="28" s="1"/>
  <c r="D27" i="28"/>
  <c r="D26" i="28"/>
  <c r="C23" i="28"/>
  <c r="D22" i="28"/>
  <c r="D21" i="28"/>
  <c r="D20" i="28"/>
  <c r="H19" i="28"/>
  <c r="I19" i="28" s="1"/>
  <c r="G19" i="28"/>
  <c r="J19" i="28" s="1"/>
  <c r="M19" i="28" s="1"/>
  <c r="P19" i="28" s="1"/>
  <c r="S19" i="28" s="1"/>
  <c r="V19" i="28" s="1"/>
  <c r="E19" i="28"/>
  <c r="F19" i="28" s="1"/>
  <c r="D18" i="28"/>
  <c r="E18" i="28" s="1"/>
  <c r="F18" i="28" s="1"/>
  <c r="C15" i="28"/>
  <c r="D14" i="28"/>
  <c r="D13" i="28"/>
  <c r="D9" i="28"/>
  <c r="D8" i="28"/>
  <c r="E8" i="28" s="1"/>
  <c r="G8" i="28" s="1"/>
  <c r="H8" i="28" s="1"/>
  <c r="I8" i="28" s="1"/>
  <c r="J8" i="28" s="1"/>
  <c r="K8" i="28" s="1"/>
  <c r="L8" i="28" s="1"/>
  <c r="M8" i="28" s="1"/>
  <c r="N8" i="28" s="1"/>
  <c r="O8" i="28" s="1"/>
  <c r="P8" i="28" s="1"/>
  <c r="Q8" i="28" s="1"/>
  <c r="R8" i="28" s="1"/>
  <c r="S8" i="28" s="1"/>
  <c r="T8" i="28" s="1"/>
  <c r="U8" i="28" s="1"/>
  <c r="V8" i="28" s="1"/>
  <c r="W8" i="28" s="1"/>
  <c r="D7" i="28"/>
  <c r="C6" i="28"/>
  <c r="D6" i="28" s="1"/>
  <c r="E6" i="28" s="1"/>
  <c r="G6" i="28" s="1"/>
  <c r="H6" i="28" s="1"/>
  <c r="I6" i="28" s="1"/>
  <c r="J6" i="28" s="1"/>
  <c r="K6" i="28" s="1"/>
  <c r="L6" i="28" s="1"/>
  <c r="M6" i="28" s="1"/>
  <c r="N6" i="28" s="1"/>
  <c r="O6" i="28" s="1"/>
  <c r="P6" i="28" s="1"/>
  <c r="Q6" i="28" s="1"/>
  <c r="R6" i="28" s="1"/>
  <c r="S6" i="28" s="1"/>
  <c r="T6" i="28" s="1"/>
  <c r="U6" i="28" s="1"/>
  <c r="V6" i="28" s="1"/>
  <c r="W6" i="28" s="1"/>
  <c r="D5" i="28"/>
  <c r="E5" i="28" s="1"/>
  <c r="G5" i="28" s="1"/>
  <c r="H5" i="28" s="1"/>
  <c r="I5" i="28" s="1"/>
  <c r="J5" i="28" s="1"/>
  <c r="K5" i="28" s="1"/>
  <c r="L5" i="28" s="1"/>
  <c r="M5" i="28" s="1"/>
  <c r="N5" i="28" s="1"/>
  <c r="O5" i="28" s="1"/>
  <c r="P5" i="28" s="1"/>
  <c r="Q5" i="28" s="1"/>
  <c r="R5" i="28" s="1"/>
  <c r="S5" i="28" s="1"/>
  <c r="T5" i="28" s="1"/>
  <c r="U5" i="28" s="1"/>
  <c r="V5" i="28" s="1"/>
  <c r="W5" i="28" s="1"/>
  <c r="D4" i="28"/>
  <c r="E4" i="28" s="1"/>
  <c r="F4" i="28" s="1"/>
  <c r="D46" i="28" l="1"/>
  <c r="F30" i="28"/>
  <c r="G18" i="28"/>
  <c r="H18" i="28" s="1"/>
  <c r="D37" i="28"/>
  <c r="K19" i="28"/>
  <c r="N19" i="28" s="1"/>
  <c r="Q19" i="28" s="1"/>
  <c r="E22" i="28"/>
  <c r="G22" i="28" s="1"/>
  <c r="H22" i="28" s="1"/>
  <c r="I22" i="28" s="1"/>
  <c r="J22" i="28" s="1"/>
  <c r="K22" i="28" s="1"/>
  <c r="L22" i="28" s="1"/>
  <c r="M22" i="28" s="1"/>
  <c r="N22" i="28" s="1"/>
  <c r="O22" i="28" s="1"/>
  <c r="P22" i="28" s="1"/>
  <c r="Q22" i="28" s="1"/>
  <c r="R22" i="28" s="1"/>
  <c r="S22" i="28" s="1"/>
  <c r="T22" i="28" s="1"/>
  <c r="U22" i="28" s="1"/>
  <c r="V22" i="28" s="1"/>
  <c r="W22" i="28" s="1"/>
  <c r="F28" i="28"/>
  <c r="D40" i="28"/>
  <c r="E27" i="28"/>
  <c r="G27" i="28" s="1"/>
  <c r="H27" i="28" s="1"/>
  <c r="I27" i="28" s="1"/>
  <c r="J27" i="28" s="1"/>
  <c r="K27" i="28" s="1"/>
  <c r="L27" i="28" s="1"/>
  <c r="M27" i="28" s="1"/>
  <c r="N27" i="28" s="1"/>
  <c r="O27" i="28" s="1"/>
  <c r="P27" i="28" s="1"/>
  <c r="Q27" i="28" s="1"/>
  <c r="R27" i="28" s="1"/>
  <c r="S27" i="28" s="1"/>
  <c r="T27" i="28" s="1"/>
  <c r="U27" i="28" s="1"/>
  <c r="V27" i="28" s="1"/>
  <c r="W27" i="28" s="1"/>
  <c r="E7" i="28"/>
  <c r="G7" i="28" s="1"/>
  <c r="H7" i="28" s="1"/>
  <c r="I7" i="28" s="1"/>
  <c r="J7" i="28" s="1"/>
  <c r="K7" i="28" s="1"/>
  <c r="L7" i="28" s="1"/>
  <c r="M7" i="28" s="1"/>
  <c r="N7" i="28" s="1"/>
  <c r="O7" i="28" s="1"/>
  <c r="P7" i="28" s="1"/>
  <c r="Q7" i="28" s="1"/>
  <c r="R7" i="28" s="1"/>
  <c r="S7" i="28" s="1"/>
  <c r="T7" i="28" s="1"/>
  <c r="U7" i="28" s="1"/>
  <c r="V7" i="28" s="1"/>
  <c r="W7" i="28" s="1"/>
  <c r="C42" i="28"/>
  <c r="F8" i="28"/>
  <c r="E21" i="28"/>
  <c r="G21" i="28" s="1"/>
  <c r="H21" i="28" s="1"/>
  <c r="I21" i="28" s="1"/>
  <c r="J21" i="28" s="1"/>
  <c r="K21" i="28" s="1"/>
  <c r="L21" i="28" s="1"/>
  <c r="M21" i="28" s="1"/>
  <c r="N21" i="28" s="1"/>
  <c r="O21" i="28" s="1"/>
  <c r="P21" i="28" s="1"/>
  <c r="Q21" i="28" s="1"/>
  <c r="R21" i="28" s="1"/>
  <c r="S21" i="28" s="1"/>
  <c r="T21" i="28" s="1"/>
  <c r="U21" i="28" s="1"/>
  <c r="V21" i="28" s="1"/>
  <c r="W21" i="28" s="1"/>
  <c r="D23" i="28"/>
  <c r="E37" i="28"/>
  <c r="G34" i="28"/>
  <c r="E46" i="28"/>
  <c r="G45" i="28"/>
  <c r="F6" i="28"/>
  <c r="C10" i="28"/>
  <c r="D10" i="28"/>
  <c r="E9" i="28"/>
  <c r="G9" i="28" s="1"/>
  <c r="H9" i="28" s="1"/>
  <c r="I9" i="28" s="1"/>
  <c r="J9" i="28" s="1"/>
  <c r="K9" i="28" s="1"/>
  <c r="L9" i="28" s="1"/>
  <c r="M9" i="28" s="1"/>
  <c r="N9" i="28" s="1"/>
  <c r="O9" i="28" s="1"/>
  <c r="P9" i="28" s="1"/>
  <c r="Q9" i="28" s="1"/>
  <c r="R9" i="28" s="1"/>
  <c r="S9" i="28" s="1"/>
  <c r="T9" i="28" s="1"/>
  <c r="U9" i="28" s="1"/>
  <c r="V9" i="28" s="1"/>
  <c r="W9" i="28" s="1"/>
  <c r="D15" i="28"/>
  <c r="E13" i="28"/>
  <c r="F13" i="28" s="1"/>
  <c r="G4" i="28"/>
  <c r="F5" i="28"/>
  <c r="E14" i="28"/>
  <c r="G14" i="28" s="1"/>
  <c r="H14" i="28" s="1"/>
  <c r="I14" i="28" s="1"/>
  <c r="J14" i="28" s="1"/>
  <c r="K14" i="28" s="1"/>
  <c r="L14" i="28" s="1"/>
  <c r="M14" i="28" s="1"/>
  <c r="N14" i="28" s="1"/>
  <c r="O14" i="28" s="1"/>
  <c r="P14" i="28" s="1"/>
  <c r="Q14" i="28" s="1"/>
  <c r="R14" i="28" s="1"/>
  <c r="S14" i="28" s="1"/>
  <c r="T14" i="28" s="1"/>
  <c r="U14" i="28" s="1"/>
  <c r="V14" i="28" s="1"/>
  <c r="W14" i="28" s="1"/>
  <c r="E20" i="28"/>
  <c r="G20" i="28" s="1"/>
  <c r="H20" i="28" s="1"/>
  <c r="I20" i="28" s="1"/>
  <c r="J20" i="28" s="1"/>
  <c r="K20" i="28" s="1"/>
  <c r="L20" i="28" s="1"/>
  <c r="M20" i="28" s="1"/>
  <c r="N20" i="28" s="1"/>
  <c r="O20" i="28" s="1"/>
  <c r="P20" i="28" s="1"/>
  <c r="Q20" i="28" s="1"/>
  <c r="R20" i="28" s="1"/>
  <c r="S20" i="28" s="1"/>
  <c r="T20" i="28" s="1"/>
  <c r="U20" i="28" s="1"/>
  <c r="V20" i="28" s="1"/>
  <c r="W20" i="28" s="1"/>
  <c r="E29" i="28"/>
  <c r="G29" i="28" s="1"/>
  <c r="H29" i="28" s="1"/>
  <c r="I29" i="28" s="1"/>
  <c r="J29" i="28" s="1"/>
  <c r="K29" i="28" s="1"/>
  <c r="L29" i="28" s="1"/>
  <c r="M29" i="28" s="1"/>
  <c r="N29" i="28" s="1"/>
  <c r="O29" i="28" s="1"/>
  <c r="P29" i="28" s="1"/>
  <c r="Q29" i="28" s="1"/>
  <c r="R29" i="28" s="1"/>
  <c r="S29" i="28" s="1"/>
  <c r="T29" i="28" s="1"/>
  <c r="U29" i="28" s="1"/>
  <c r="V29" i="28" s="1"/>
  <c r="W29" i="28" s="1"/>
  <c r="F34" i="28"/>
  <c r="F36" i="28"/>
  <c r="D31" i="28"/>
  <c r="E26" i="28"/>
  <c r="F35" i="28"/>
  <c r="F45" i="28"/>
  <c r="F46" i="28" s="1"/>
  <c r="L19" i="28" l="1"/>
  <c r="O19" i="28"/>
  <c r="F22" i="28"/>
  <c r="F9" i="28"/>
  <c r="G23" i="28"/>
  <c r="F21" i="28"/>
  <c r="F7" i="28"/>
  <c r="E23" i="28"/>
  <c r="F14" i="28"/>
  <c r="F15" i="28" s="1"/>
  <c r="E10" i="28"/>
  <c r="F27" i="28"/>
  <c r="G26" i="28"/>
  <c r="E31" i="28"/>
  <c r="F26" i="28"/>
  <c r="F37" i="28"/>
  <c r="F20" i="28"/>
  <c r="G10" i="28"/>
  <c r="H4" i="28"/>
  <c r="C49" i="28"/>
  <c r="G37" i="28"/>
  <c r="H34" i="28"/>
  <c r="R19" i="28"/>
  <c r="T19" i="28"/>
  <c r="F29" i="28"/>
  <c r="H23" i="28"/>
  <c r="I18" i="28"/>
  <c r="D42" i="28"/>
  <c r="D49" i="28" s="1"/>
  <c r="E40" i="28"/>
  <c r="E15" i="28"/>
  <c r="G13" i="28"/>
  <c r="G46" i="28"/>
  <c r="H45" i="28"/>
  <c r="C54" i="28" l="1"/>
  <c r="C55" i="28"/>
  <c r="D54" i="28"/>
  <c r="D55" i="28"/>
  <c r="D27" i="40" s="1"/>
  <c r="F10" i="28"/>
  <c r="C27" i="40"/>
  <c r="C13" i="40"/>
  <c r="D13" i="40"/>
  <c r="F23" i="28"/>
  <c r="F31" i="28"/>
  <c r="I45" i="28"/>
  <c r="H46" i="28"/>
  <c r="G40" i="28"/>
  <c r="E42" i="28"/>
  <c r="E49" i="28" s="1"/>
  <c r="F40" i="28"/>
  <c r="F42" i="28" s="1"/>
  <c r="I34" i="28"/>
  <c r="H37" i="28"/>
  <c r="G31" i="28"/>
  <c r="H26" i="28"/>
  <c r="G15" i="28"/>
  <c r="H13" i="28"/>
  <c r="U19" i="28"/>
  <c r="W19" i="28"/>
  <c r="I23" i="28"/>
  <c r="J18" i="28"/>
  <c r="I4" i="28"/>
  <c r="H10" i="28"/>
  <c r="E55" i="28" l="1"/>
  <c r="E54" i="28"/>
  <c r="D14" i="50"/>
  <c r="D8" i="50"/>
  <c r="C8" i="50"/>
  <c r="C14" i="50"/>
  <c r="E13" i="40"/>
  <c r="F13" i="40" s="1"/>
  <c r="E27" i="40"/>
  <c r="F27" i="40" s="1"/>
  <c r="F49" i="28"/>
  <c r="I10" i="28"/>
  <c r="J4" i="28"/>
  <c r="I46" i="28"/>
  <c r="J45" i="28"/>
  <c r="J23" i="28"/>
  <c r="K18" i="28"/>
  <c r="H15" i="28"/>
  <c r="I13" i="28"/>
  <c r="H40" i="28"/>
  <c r="G42" i="28"/>
  <c r="G49" i="28" s="1"/>
  <c r="H31" i="28"/>
  <c r="I26" i="28"/>
  <c r="I37" i="28"/>
  <c r="J34" i="28"/>
  <c r="C5" i="42"/>
  <c r="G9" i="45"/>
  <c r="G10" i="45"/>
  <c r="G11" i="45"/>
  <c r="G12" i="45"/>
  <c r="G13" i="45"/>
  <c r="G14" i="45"/>
  <c r="G15" i="45"/>
  <c r="G16" i="45"/>
  <c r="G17" i="45"/>
  <c r="G18" i="45"/>
  <c r="G19" i="45"/>
  <c r="G20" i="45"/>
  <c r="G21" i="45"/>
  <c r="G22" i="45"/>
  <c r="G23" i="45"/>
  <c r="G24" i="45"/>
  <c r="E9" i="45"/>
  <c r="E10" i="45"/>
  <c r="E11" i="45"/>
  <c r="E12" i="45"/>
  <c r="E13" i="45"/>
  <c r="E14" i="45"/>
  <c r="E15" i="45"/>
  <c r="E16" i="45"/>
  <c r="E17" i="45"/>
  <c r="E18" i="45"/>
  <c r="E19" i="45"/>
  <c r="E20" i="45"/>
  <c r="E21" i="45"/>
  <c r="E22" i="45"/>
  <c r="E23" i="45"/>
  <c r="E24" i="45"/>
  <c r="F55" i="28" l="1"/>
  <c r="F54" i="28"/>
  <c r="G55" i="28"/>
  <c r="G54" i="28"/>
  <c r="E14" i="50"/>
  <c r="E8" i="50"/>
  <c r="F8" i="50" s="1"/>
  <c r="G13" i="40"/>
  <c r="G27" i="40"/>
  <c r="J26" i="28"/>
  <c r="I31" i="28"/>
  <c r="H42" i="28"/>
  <c r="H49" i="28" s="1"/>
  <c r="I40" i="28"/>
  <c r="J37" i="28"/>
  <c r="K34" i="28"/>
  <c r="K23" i="28"/>
  <c r="L18" i="28"/>
  <c r="J10" i="28"/>
  <c r="K4" i="28"/>
  <c r="I15" i="28"/>
  <c r="J13" i="28"/>
  <c r="K45" i="28"/>
  <c r="J46" i="28"/>
  <c r="B29" i="38"/>
  <c r="B28" i="38"/>
  <c r="B27" i="38"/>
  <c r="C44" i="38"/>
  <c r="D44" i="38"/>
  <c r="E44" i="38"/>
  <c r="F44" i="38"/>
  <c r="G44" i="38"/>
  <c r="H44" i="38"/>
  <c r="I44" i="38"/>
  <c r="J44" i="38"/>
  <c r="K44" i="38"/>
  <c r="L44" i="38"/>
  <c r="M44" i="38"/>
  <c r="N44" i="38"/>
  <c r="O44" i="38"/>
  <c r="P44" i="38"/>
  <c r="Q44" i="38"/>
  <c r="R44" i="38"/>
  <c r="S44" i="38"/>
  <c r="T44" i="38"/>
  <c r="U44" i="38"/>
  <c r="B44" i="38"/>
  <c r="C15" i="44"/>
  <c r="D15" i="44"/>
  <c r="E15" i="44"/>
  <c r="F15" i="44"/>
  <c r="G15" i="44"/>
  <c r="H15" i="44"/>
  <c r="I15" i="44"/>
  <c r="J15" i="44"/>
  <c r="K15" i="44"/>
  <c r="L15" i="44"/>
  <c r="M15" i="44"/>
  <c r="N15" i="44"/>
  <c r="O15" i="44"/>
  <c r="P15" i="44"/>
  <c r="Q15" i="44"/>
  <c r="R15" i="44"/>
  <c r="S15" i="44"/>
  <c r="T15" i="44"/>
  <c r="U15" i="44"/>
  <c r="B15" i="44"/>
  <c r="H7" i="40"/>
  <c r="I7" i="40"/>
  <c r="J7" i="40"/>
  <c r="K7" i="40"/>
  <c r="L7" i="40"/>
  <c r="M7" i="40"/>
  <c r="N7" i="40"/>
  <c r="O7" i="40"/>
  <c r="P7" i="40"/>
  <c r="Q7" i="40"/>
  <c r="R7" i="40"/>
  <c r="S7" i="40"/>
  <c r="T7" i="40"/>
  <c r="U7" i="40"/>
  <c r="V7" i="40"/>
  <c r="W7" i="40"/>
  <c r="G7" i="40"/>
  <c r="U29" i="44"/>
  <c r="U33" i="44" s="1"/>
  <c r="U38" i="44" s="1"/>
  <c r="T29" i="44"/>
  <c r="T33" i="44" s="1"/>
  <c r="T38" i="44" s="1"/>
  <c r="S29" i="44"/>
  <c r="S33" i="44" s="1"/>
  <c r="S38" i="44" s="1"/>
  <c r="R29" i="44"/>
  <c r="R33" i="44" s="1"/>
  <c r="R38" i="44" s="1"/>
  <c r="Q29" i="44"/>
  <c r="Q33" i="44" s="1"/>
  <c r="Q38" i="44" s="1"/>
  <c r="P29" i="44"/>
  <c r="P33" i="44" s="1"/>
  <c r="P38" i="44" s="1"/>
  <c r="O29" i="44"/>
  <c r="O33" i="44" s="1"/>
  <c r="O38" i="44" s="1"/>
  <c r="N29" i="44"/>
  <c r="N33" i="44" s="1"/>
  <c r="N38" i="44" s="1"/>
  <c r="M29" i="44"/>
  <c r="M33" i="44" s="1"/>
  <c r="M38" i="44" s="1"/>
  <c r="L29" i="44"/>
  <c r="L33" i="44" s="1"/>
  <c r="L38" i="44" s="1"/>
  <c r="K29" i="44"/>
  <c r="K33" i="44" s="1"/>
  <c r="K38" i="44" s="1"/>
  <c r="J29" i="44"/>
  <c r="J33" i="44" s="1"/>
  <c r="J38" i="44" s="1"/>
  <c r="I29" i="44"/>
  <c r="I33" i="44" s="1"/>
  <c r="I38" i="44" s="1"/>
  <c r="H29" i="44"/>
  <c r="H33" i="44" s="1"/>
  <c r="H38" i="44" s="1"/>
  <c r="G29" i="44"/>
  <c r="G33" i="44" s="1"/>
  <c r="G38" i="44" s="1"/>
  <c r="F29" i="44"/>
  <c r="F33" i="44" s="1"/>
  <c r="F38" i="44" s="1"/>
  <c r="E29" i="44"/>
  <c r="E33" i="44" s="1"/>
  <c r="E38" i="44" s="1"/>
  <c r="D29" i="44"/>
  <c r="D33" i="44" s="1"/>
  <c r="D38" i="44" s="1"/>
  <c r="C29" i="44"/>
  <c r="C33" i="44" s="1"/>
  <c r="C38" i="44" s="1"/>
  <c r="B29" i="44"/>
  <c r="B33" i="44" s="1"/>
  <c r="B38" i="44" s="1"/>
  <c r="U28" i="44"/>
  <c r="U32" i="44" s="1"/>
  <c r="T28" i="44"/>
  <c r="T32" i="44" s="1"/>
  <c r="S28" i="44"/>
  <c r="S32" i="44" s="1"/>
  <c r="R28" i="44"/>
  <c r="R32" i="44" s="1"/>
  <c r="Q28" i="44"/>
  <c r="Q32" i="44" s="1"/>
  <c r="P28" i="44"/>
  <c r="P32" i="44" s="1"/>
  <c r="O28" i="44"/>
  <c r="O32" i="44" s="1"/>
  <c r="N28" i="44"/>
  <c r="N32" i="44" s="1"/>
  <c r="M28" i="44"/>
  <c r="M32" i="44" s="1"/>
  <c r="L28" i="44"/>
  <c r="L32" i="44" s="1"/>
  <c r="K28" i="44"/>
  <c r="K32" i="44" s="1"/>
  <c r="J28" i="44"/>
  <c r="J32" i="44" s="1"/>
  <c r="I28" i="44"/>
  <c r="I32" i="44" s="1"/>
  <c r="H28" i="44"/>
  <c r="H32" i="44" s="1"/>
  <c r="G28" i="44"/>
  <c r="G32" i="44" s="1"/>
  <c r="F28" i="44"/>
  <c r="F32" i="44" s="1"/>
  <c r="E28" i="44"/>
  <c r="E32" i="44" s="1"/>
  <c r="D28" i="44"/>
  <c r="D32" i="44" s="1"/>
  <c r="C28" i="44"/>
  <c r="C32" i="44" s="1"/>
  <c r="B28" i="44"/>
  <c r="B32" i="44" s="1"/>
  <c r="U25" i="44"/>
  <c r="T25" i="44"/>
  <c r="S25" i="44"/>
  <c r="R25" i="44"/>
  <c r="Q25" i="44"/>
  <c r="P25" i="44"/>
  <c r="O25" i="44"/>
  <c r="N25" i="44"/>
  <c r="M25" i="44"/>
  <c r="L25" i="44"/>
  <c r="K25" i="44"/>
  <c r="J25" i="44"/>
  <c r="I25" i="44"/>
  <c r="H25" i="44"/>
  <c r="G25" i="44"/>
  <c r="F25" i="44"/>
  <c r="E25" i="44"/>
  <c r="D25" i="44"/>
  <c r="C25" i="44"/>
  <c r="B25" i="44"/>
  <c r="U18" i="44"/>
  <c r="T18" i="44"/>
  <c r="S18" i="44"/>
  <c r="R18" i="44"/>
  <c r="Q18" i="44"/>
  <c r="P18" i="44"/>
  <c r="O18" i="44"/>
  <c r="N18" i="44"/>
  <c r="M18" i="44"/>
  <c r="L18" i="44"/>
  <c r="K18" i="44"/>
  <c r="J18" i="44"/>
  <c r="I18" i="44"/>
  <c r="H18" i="44"/>
  <c r="G18" i="44"/>
  <c r="F18" i="44"/>
  <c r="E18" i="44"/>
  <c r="D18" i="44"/>
  <c r="C18" i="44"/>
  <c r="B18" i="44"/>
  <c r="U17" i="44"/>
  <c r="U19" i="44" s="1"/>
  <c r="U20" i="44" s="1"/>
  <c r="T17" i="44"/>
  <c r="T19" i="44" s="1"/>
  <c r="T20" i="44" s="1"/>
  <c r="S17" i="44"/>
  <c r="S19" i="44" s="1"/>
  <c r="S20" i="44" s="1"/>
  <c r="R17" i="44"/>
  <c r="R19" i="44" s="1"/>
  <c r="R20" i="44" s="1"/>
  <c r="Q17" i="44"/>
  <c r="Q19" i="44" s="1"/>
  <c r="Q20" i="44" s="1"/>
  <c r="P17" i="44"/>
  <c r="P19" i="44" s="1"/>
  <c r="P20" i="44" s="1"/>
  <c r="O17" i="44"/>
  <c r="O19" i="44" s="1"/>
  <c r="O20" i="44" s="1"/>
  <c r="N17" i="44"/>
  <c r="N19" i="44" s="1"/>
  <c r="N20" i="44" s="1"/>
  <c r="M17" i="44"/>
  <c r="M19" i="44" s="1"/>
  <c r="M20" i="44" s="1"/>
  <c r="L17" i="44"/>
  <c r="L19" i="44" s="1"/>
  <c r="L20" i="44" s="1"/>
  <c r="K17" i="44"/>
  <c r="K19" i="44" s="1"/>
  <c r="K20" i="44" s="1"/>
  <c r="J17" i="44"/>
  <c r="J19" i="44" s="1"/>
  <c r="J20" i="44" s="1"/>
  <c r="I17" i="44"/>
  <c r="I19" i="44" s="1"/>
  <c r="I20" i="44" s="1"/>
  <c r="H17" i="44"/>
  <c r="H19" i="44" s="1"/>
  <c r="H20" i="44" s="1"/>
  <c r="G17" i="44"/>
  <c r="G19" i="44" s="1"/>
  <c r="G20" i="44" s="1"/>
  <c r="F17" i="44"/>
  <c r="F19" i="44" s="1"/>
  <c r="F20" i="44" s="1"/>
  <c r="E17" i="44"/>
  <c r="E19" i="44" s="1"/>
  <c r="E20" i="44" s="1"/>
  <c r="D17" i="44"/>
  <c r="D19" i="44" s="1"/>
  <c r="D20" i="44" s="1"/>
  <c r="C17" i="44"/>
  <c r="C19" i="44" s="1"/>
  <c r="C20" i="44" s="1"/>
  <c r="B17" i="44"/>
  <c r="B19" i="44" s="1"/>
  <c r="B20" i="44" s="1"/>
  <c r="U14" i="44"/>
  <c r="T14" i="44"/>
  <c r="S14" i="44"/>
  <c r="R14" i="44"/>
  <c r="Q14" i="44"/>
  <c r="P14" i="44"/>
  <c r="O14" i="44"/>
  <c r="N14" i="44"/>
  <c r="M14" i="44"/>
  <c r="L14" i="44"/>
  <c r="K14" i="44"/>
  <c r="J14" i="44"/>
  <c r="I14" i="44"/>
  <c r="H14" i="44"/>
  <c r="G14" i="44"/>
  <c r="F14" i="44"/>
  <c r="E14" i="44"/>
  <c r="D14" i="44"/>
  <c r="C14" i="44"/>
  <c r="B14" i="44"/>
  <c r="U9" i="44"/>
  <c r="T9" i="44"/>
  <c r="S9" i="44"/>
  <c r="R9" i="44"/>
  <c r="Q9" i="44"/>
  <c r="P9" i="44"/>
  <c r="O9" i="44"/>
  <c r="N9" i="44"/>
  <c r="M9" i="44"/>
  <c r="L9" i="44"/>
  <c r="K9" i="44"/>
  <c r="J9" i="44"/>
  <c r="I9" i="44"/>
  <c r="H9" i="44"/>
  <c r="G9" i="44"/>
  <c r="F9" i="44"/>
  <c r="E9" i="44"/>
  <c r="D9" i="44"/>
  <c r="C9" i="44"/>
  <c r="B9" i="44"/>
  <c r="H54" i="28" l="1"/>
  <c r="H55" i="28"/>
  <c r="H27" i="40" s="1"/>
  <c r="F14" i="50"/>
  <c r="H13" i="40"/>
  <c r="K46" i="28"/>
  <c r="L45" i="28"/>
  <c r="K13" i="28"/>
  <c r="J15" i="28"/>
  <c r="M18" i="28"/>
  <c r="L23" i="28"/>
  <c r="J31" i="28"/>
  <c r="K26" i="28"/>
  <c r="J40" i="28"/>
  <c r="I42" i="28"/>
  <c r="I49" i="28" s="1"/>
  <c r="K10" i="28"/>
  <c r="L4" i="28"/>
  <c r="K37" i="28"/>
  <c r="L34" i="28"/>
  <c r="B37" i="44"/>
  <c r="B39" i="44" s="1"/>
  <c r="B40" i="44" s="1"/>
  <c r="B34" i="44"/>
  <c r="F37" i="44"/>
  <c r="F39" i="44" s="1"/>
  <c r="F40" i="44" s="1"/>
  <c r="F34" i="44"/>
  <c r="R37" i="44"/>
  <c r="R39" i="44" s="1"/>
  <c r="R40" i="44" s="1"/>
  <c r="R34" i="44"/>
  <c r="C37" i="44"/>
  <c r="C39" i="44" s="1"/>
  <c r="C40" i="44" s="1"/>
  <c r="C34" i="44"/>
  <c r="G37" i="44"/>
  <c r="G39" i="44" s="1"/>
  <c r="G40" i="44" s="1"/>
  <c r="G34" i="44"/>
  <c r="K37" i="44"/>
  <c r="K39" i="44" s="1"/>
  <c r="K40" i="44" s="1"/>
  <c r="K34" i="44"/>
  <c r="O37" i="44"/>
  <c r="O39" i="44" s="1"/>
  <c r="O40" i="44" s="1"/>
  <c r="O34" i="44"/>
  <c r="S37" i="44"/>
  <c r="S39" i="44" s="1"/>
  <c r="S40" i="44" s="1"/>
  <c r="S34" i="44"/>
  <c r="J37" i="44"/>
  <c r="J39" i="44" s="1"/>
  <c r="J40" i="44" s="1"/>
  <c r="J34" i="44"/>
  <c r="D37" i="44"/>
  <c r="D39" i="44" s="1"/>
  <c r="D40" i="44" s="1"/>
  <c r="D34" i="44"/>
  <c r="H37" i="44"/>
  <c r="H39" i="44" s="1"/>
  <c r="H40" i="44" s="1"/>
  <c r="H34" i="44"/>
  <c r="L37" i="44"/>
  <c r="L39" i="44" s="1"/>
  <c r="L40" i="44" s="1"/>
  <c r="L34" i="44"/>
  <c r="P37" i="44"/>
  <c r="P39" i="44" s="1"/>
  <c r="P40" i="44" s="1"/>
  <c r="P34" i="44"/>
  <c r="T37" i="44"/>
  <c r="T39" i="44" s="1"/>
  <c r="T40" i="44" s="1"/>
  <c r="T34" i="44"/>
  <c r="N37" i="44"/>
  <c r="N39" i="44" s="1"/>
  <c r="N40" i="44" s="1"/>
  <c r="N34" i="44"/>
  <c r="E37" i="44"/>
  <c r="E39" i="44" s="1"/>
  <c r="E40" i="44" s="1"/>
  <c r="E34" i="44"/>
  <c r="I34" i="44"/>
  <c r="I37" i="44"/>
  <c r="I39" i="44" s="1"/>
  <c r="I40" i="44" s="1"/>
  <c r="M37" i="44"/>
  <c r="M39" i="44" s="1"/>
  <c r="M40" i="44" s="1"/>
  <c r="M34" i="44"/>
  <c r="Q34" i="44"/>
  <c r="Q37" i="44"/>
  <c r="Q39" i="44" s="1"/>
  <c r="Q40" i="44" s="1"/>
  <c r="U37" i="44"/>
  <c r="U39" i="44" s="1"/>
  <c r="U40" i="44" s="1"/>
  <c r="U34" i="44"/>
  <c r="I55" i="28" l="1"/>
  <c r="I54" i="28"/>
  <c r="I13" i="40" s="1"/>
  <c r="I27" i="40"/>
  <c r="L10" i="28"/>
  <c r="M4" i="28"/>
  <c r="L26" i="28"/>
  <c r="K31" i="28"/>
  <c r="L37" i="28"/>
  <c r="M34" i="28"/>
  <c r="J42" i="28"/>
  <c r="J49" i="28" s="1"/>
  <c r="K40" i="28"/>
  <c r="M23" i="28"/>
  <c r="N18" i="28"/>
  <c r="L46" i="28"/>
  <c r="M45" i="28"/>
  <c r="K15" i="28"/>
  <c r="L13" i="28"/>
  <c r="F18" i="40"/>
  <c r="X18" i="40" s="1"/>
  <c r="F17" i="40"/>
  <c r="J55" i="28" l="1"/>
  <c r="J54" i="28"/>
  <c r="X17" i="40"/>
  <c r="J13" i="40"/>
  <c r="J27" i="40"/>
  <c r="M46" i="28"/>
  <c r="N45" i="28"/>
  <c r="L40" i="28"/>
  <c r="K42" i="28"/>
  <c r="K49" i="28" s="1"/>
  <c r="L15" i="28"/>
  <c r="M13" i="28"/>
  <c r="L31" i="28"/>
  <c r="M26" i="28"/>
  <c r="N23" i="28"/>
  <c r="O18" i="28"/>
  <c r="M37" i="28"/>
  <c r="N34" i="28"/>
  <c r="M10" i="28"/>
  <c r="N4" i="28"/>
  <c r="C56" i="40"/>
  <c r="K55" i="28" l="1"/>
  <c r="K54" i="28"/>
  <c r="K13" i="40"/>
  <c r="K27" i="40"/>
  <c r="N37" i="28"/>
  <c r="O34" i="28"/>
  <c r="M31" i="28"/>
  <c r="N26" i="28"/>
  <c r="L42" i="28"/>
  <c r="L49" i="28" s="1"/>
  <c r="M40" i="28"/>
  <c r="N10" i="28"/>
  <c r="O4" i="28"/>
  <c r="O23" i="28"/>
  <c r="P18" i="28"/>
  <c r="M15" i="28"/>
  <c r="N13" i="28"/>
  <c r="O45" i="28"/>
  <c r="N46" i="28"/>
  <c r="C11" i="40"/>
  <c r="C7" i="40" s="1"/>
  <c r="C8" i="40" s="1"/>
  <c r="F5" i="45" s="1"/>
  <c r="G5" i="45" s="1"/>
  <c r="C6" i="50" l="1"/>
  <c r="L54" i="28"/>
  <c r="L55" i="28"/>
  <c r="L13" i="40"/>
  <c r="L27" i="40"/>
  <c r="N15" i="28"/>
  <c r="O13" i="28"/>
  <c r="O10" i="28"/>
  <c r="P4" i="28"/>
  <c r="N31" i="28"/>
  <c r="O26" i="28"/>
  <c r="P23" i="28"/>
  <c r="Q18" i="28"/>
  <c r="N40" i="28"/>
  <c r="M42" i="28"/>
  <c r="M49" i="28" s="1"/>
  <c r="O37" i="28"/>
  <c r="P34" i="28"/>
  <c r="O46" i="28"/>
  <c r="P45" i="28"/>
  <c r="D11" i="40"/>
  <c r="D7" i="40" s="1"/>
  <c r="D8" i="40" s="1"/>
  <c r="F6" i="45" s="1"/>
  <c r="G6" i="45" s="1"/>
  <c r="B6" i="38"/>
  <c r="C5" i="41" s="1"/>
  <c r="C16" i="42"/>
  <c r="U16" i="42"/>
  <c r="U10" i="42" s="1"/>
  <c r="T16" i="42"/>
  <c r="S16" i="42"/>
  <c r="R16" i="42"/>
  <c r="Q16" i="42"/>
  <c r="Q10" i="42" s="1"/>
  <c r="P16" i="42"/>
  <c r="O16" i="42"/>
  <c r="N16" i="42"/>
  <c r="M16" i="42"/>
  <c r="M10" i="42" s="1"/>
  <c r="L16" i="42"/>
  <c r="K16" i="42"/>
  <c r="J16" i="42"/>
  <c r="I16" i="42"/>
  <c r="I10" i="42" s="1"/>
  <c r="H16" i="42"/>
  <c r="G16" i="42"/>
  <c r="F16" i="42"/>
  <c r="E16" i="42"/>
  <c r="E10" i="42" s="1"/>
  <c r="D16" i="42"/>
  <c r="B16" i="42"/>
  <c r="U13" i="42"/>
  <c r="T13" i="42"/>
  <c r="S13" i="42"/>
  <c r="R13" i="42"/>
  <c r="Q13" i="42"/>
  <c r="P13" i="42"/>
  <c r="O13" i="42"/>
  <c r="N13" i="42"/>
  <c r="M13" i="42"/>
  <c r="L13" i="42"/>
  <c r="K13" i="42"/>
  <c r="J13" i="42"/>
  <c r="I13" i="42"/>
  <c r="H13" i="42"/>
  <c r="G13" i="42"/>
  <c r="F13" i="42"/>
  <c r="E13" i="42"/>
  <c r="D13" i="42"/>
  <c r="C13" i="42"/>
  <c r="B13" i="42"/>
  <c r="B10" i="42" s="1"/>
  <c r="U5" i="42"/>
  <c r="T5" i="42"/>
  <c r="S5" i="42"/>
  <c r="R5" i="42"/>
  <c r="Q5" i="42"/>
  <c r="P5" i="42"/>
  <c r="O5" i="42"/>
  <c r="N5" i="42"/>
  <c r="M5" i="42"/>
  <c r="L5" i="42"/>
  <c r="K5" i="42"/>
  <c r="J5" i="42"/>
  <c r="I5" i="42"/>
  <c r="H5" i="42"/>
  <c r="G5" i="42"/>
  <c r="F5" i="42"/>
  <c r="E5" i="42"/>
  <c r="D5" i="42"/>
  <c r="B5" i="42"/>
  <c r="U4" i="42"/>
  <c r="T4" i="42"/>
  <c r="S4" i="42"/>
  <c r="R4" i="42"/>
  <c r="Q4" i="42"/>
  <c r="P4" i="42"/>
  <c r="O4" i="42"/>
  <c r="N4" i="42"/>
  <c r="M4" i="42"/>
  <c r="L4" i="42"/>
  <c r="K4" i="42"/>
  <c r="J4" i="42"/>
  <c r="I4" i="42"/>
  <c r="H4" i="42"/>
  <c r="G4" i="42"/>
  <c r="F4" i="42"/>
  <c r="E4" i="42"/>
  <c r="D4" i="42"/>
  <c r="C4" i="42"/>
  <c r="B4" i="42"/>
  <c r="U3" i="42"/>
  <c r="T3" i="42"/>
  <c r="S3" i="42"/>
  <c r="R3" i="42"/>
  <c r="Q3" i="42"/>
  <c r="P3" i="42"/>
  <c r="O3" i="42"/>
  <c r="N3" i="42"/>
  <c r="M3" i="42"/>
  <c r="L3" i="42"/>
  <c r="K3" i="42"/>
  <c r="J3" i="42"/>
  <c r="I3" i="42"/>
  <c r="H3" i="42"/>
  <c r="G3" i="42"/>
  <c r="F3" i="42"/>
  <c r="E3" i="42"/>
  <c r="D3" i="42"/>
  <c r="C3" i="42"/>
  <c r="B3" i="42"/>
  <c r="E6" i="38"/>
  <c r="C41" i="38"/>
  <c r="D41" i="38"/>
  <c r="B41" i="38"/>
  <c r="H9" i="40"/>
  <c r="I9" i="40"/>
  <c r="J9" i="40"/>
  <c r="K9" i="40"/>
  <c r="L9" i="40"/>
  <c r="M9" i="40"/>
  <c r="N9" i="40"/>
  <c r="O9" i="40"/>
  <c r="P9" i="40"/>
  <c r="Q9" i="40"/>
  <c r="R9" i="40"/>
  <c r="S9" i="40"/>
  <c r="T9" i="40"/>
  <c r="U9" i="40"/>
  <c r="V9" i="40"/>
  <c r="W9" i="40"/>
  <c r="D9" i="40"/>
  <c r="D10" i="40" s="1"/>
  <c r="E9" i="40"/>
  <c r="E10" i="40" s="1"/>
  <c r="S6" i="38"/>
  <c r="T6" i="38"/>
  <c r="U6" i="38"/>
  <c r="X11" i="39"/>
  <c r="Y11" i="39"/>
  <c r="Y16" i="39" s="1"/>
  <c r="Z11" i="39"/>
  <c r="Z16" i="39" s="1"/>
  <c r="X16" i="39"/>
  <c r="F6" i="38"/>
  <c r="G6" i="38"/>
  <c r="H6" i="38"/>
  <c r="I6" i="38"/>
  <c r="J6" i="38"/>
  <c r="K6" i="38"/>
  <c r="L6" i="38"/>
  <c r="M6" i="38"/>
  <c r="N6" i="38"/>
  <c r="O6" i="38"/>
  <c r="P6" i="38"/>
  <c r="Q6" i="38"/>
  <c r="R6" i="38"/>
  <c r="W36" i="39"/>
  <c r="V36" i="39"/>
  <c r="U36" i="39"/>
  <c r="T36" i="39"/>
  <c r="S36" i="39"/>
  <c r="R36" i="39"/>
  <c r="Q36" i="39"/>
  <c r="P36" i="39"/>
  <c r="O36" i="39"/>
  <c r="N36" i="39"/>
  <c r="M36" i="39"/>
  <c r="L36" i="39"/>
  <c r="K36" i="39"/>
  <c r="J36" i="39"/>
  <c r="I36" i="39"/>
  <c r="H36" i="39"/>
  <c r="G36" i="39"/>
  <c r="E36" i="39"/>
  <c r="D36" i="39"/>
  <c r="C36" i="39"/>
  <c r="F27" i="39"/>
  <c r="M26" i="39"/>
  <c r="L26" i="39"/>
  <c r="K26" i="39"/>
  <c r="J26" i="39"/>
  <c r="I26" i="39"/>
  <c r="H26" i="39"/>
  <c r="G26" i="39"/>
  <c r="F26" i="39"/>
  <c r="E26" i="39"/>
  <c r="D26" i="39"/>
  <c r="C26" i="39"/>
  <c r="F25" i="39"/>
  <c r="F22" i="39"/>
  <c r="F21" i="39"/>
  <c r="F14" i="39"/>
  <c r="F13" i="39"/>
  <c r="F12" i="39"/>
  <c r="W11" i="39"/>
  <c r="W16" i="39" s="1"/>
  <c r="V11" i="39"/>
  <c r="V16" i="39" s="1"/>
  <c r="U11" i="39"/>
  <c r="U16" i="39" s="1"/>
  <c r="T11" i="39"/>
  <c r="T16" i="39" s="1"/>
  <c r="S11" i="39"/>
  <c r="S16" i="39" s="1"/>
  <c r="R11" i="39"/>
  <c r="R16" i="39" s="1"/>
  <c r="Q11" i="39"/>
  <c r="Q16" i="39" s="1"/>
  <c r="P11" i="39"/>
  <c r="P16" i="39" s="1"/>
  <c r="O11" i="39"/>
  <c r="O16" i="39" s="1"/>
  <c r="N11" i="39"/>
  <c r="N16" i="39" s="1"/>
  <c r="M11" i="39"/>
  <c r="M16" i="39" s="1"/>
  <c r="L11" i="39"/>
  <c r="L16" i="39" s="1"/>
  <c r="K11" i="39"/>
  <c r="K16" i="39" s="1"/>
  <c r="J11" i="39"/>
  <c r="J16" i="39" s="1"/>
  <c r="I11" i="39"/>
  <c r="I16" i="39" s="1"/>
  <c r="H11" i="39"/>
  <c r="H16" i="39" s="1"/>
  <c r="G11" i="39"/>
  <c r="G16" i="39" s="1"/>
  <c r="F11" i="39"/>
  <c r="E11" i="39"/>
  <c r="E16" i="39" s="1"/>
  <c r="D11" i="39"/>
  <c r="D16" i="39" s="1"/>
  <c r="C11" i="39"/>
  <c r="C16" i="39" s="1"/>
  <c r="F10" i="39"/>
  <c r="F16" i="39" s="1"/>
  <c r="F7" i="39"/>
  <c r="F6" i="39"/>
  <c r="C6" i="37" l="1"/>
  <c r="D7" i="45"/>
  <c r="D6" i="45"/>
  <c r="E6" i="45" s="1"/>
  <c r="C5" i="37"/>
  <c r="N10" i="42"/>
  <c r="C19" i="41"/>
  <c r="C15" i="41"/>
  <c r="C11" i="41"/>
  <c r="C23" i="41"/>
  <c r="C18" i="41"/>
  <c r="C14" i="41"/>
  <c r="C10" i="41"/>
  <c r="C22" i="41"/>
  <c r="C21" i="41"/>
  <c r="C17" i="41"/>
  <c r="C13" i="41"/>
  <c r="C9" i="41"/>
  <c r="C20" i="41"/>
  <c r="C16" i="41"/>
  <c r="C12" i="41"/>
  <c r="C24" i="41"/>
  <c r="C8" i="41"/>
  <c r="D7" i="50"/>
  <c r="C7" i="50"/>
  <c r="E24" i="50"/>
  <c r="E25" i="50"/>
  <c r="D24" i="50"/>
  <c r="C15" i="40"/>
  <c r="C9" i="50" s="1"/>
  <c r="C6" i="38"/>
  <c r="D6" i="50"/>
  <c r="M55" i="28"/>
  <c r="M54" i="28"/>
  <c r="M13" i="40" s="1"/>
  <c r="F10" i="42"/>
  <c r="B31" i="42"/>
  <c r="B27" i="42" s="1"/>
  <c r="G10" i="42"/>
  <c r="O10" i="42"/>
  <c r="C31" i="42"/>
  <c r="C33" i="42" s="1"/>
  <c r="C7" i="42" s="1"/>
  <c r="C10" i="42"/>
  <c r="M27" i="40"/>
  <c r="N42" i="28"/>
  <c r="N49" i="28" s="1"/>
  <c r="O40" i="28"/>
  <c r="O31" i="28"/>
  <c r="P26" i="28"/>
  <c r="O15" i="28"/>
  <c r="P13" i="28"/>
  <c r="Q34" i="28"/>
  <c r="P37" i="28"/>
  <c r="Q23" i="28"/>
  <c r="R18" i="28"/>
  <c r="Q4" i="28"/>
  <c r="P10" i="28"/>
  <c r="Q45" i="28"/>
  <c r="P46" i="28"/>
  <c r="B5" i="38"/>
  <c r="B19" i="38" s="1"/>
  <c r="B4" i="38"/>
  <c r="B18" i="38" s="1"/>
  <c r="E11" i="40"/>
  <c r="G11" i="40" s="1"/>
  <c r="H11" i="40" s="1"/>
  <c r="I11" i="40" s="1"/>
  <c r="J11" i="40" s="1"/>
  <c r="K11" i="40" s="1"/>
  <c r="L11" i="40" s="1"/>
  <c r="M11" i="40" s="1"/>
  <c r="N11" i="40" s="1"/>
  <c r="O11" i="40" s="1"/>
  <c r="P11" i="40" s="1"/>
  <c r="Q11" i="40" s="1"/>
  <c r="R11" i="40" s="1"/>
  <c r="S11" i="40" s="1"/>
  <c r="T11" i="40" s="1"/>
  <c r="U11" i="40" s="1"/>
  <c r="V11" i="40" s="1"/>
  <c r="W11" i="40" s="1"/>
  <c r="Q5" i="38"/>
  <c r="Q4" i="38"/>
  <c r="U5" i="38"/>
  <c r="U4" i="38"/>
  <c r="P5" i="38"/>
  <c r="P4" i="38"/>
  <c r="L4" i="38"/>
  <c r="L5" i="38"/>
  <c r="H4" i="38"/>
  <c r="H5" i="38"/>
  <c r="T4" i="38"/>
  <c r="T5" i="38"/>
  <c r="E5" i="38"/>
  <c r="E4" i="38"/>
  <c r="I5" i="38"/>
  <c r="I4" i="38"/>
  <c r="O5" i="38"/>
  <c r="O4" i="38"/>
  <c r="K4" i="38"/>
  <c r="K5" i="38"/>
  <c r="G5" i="38"/>
  <c r="G4" i="38"/>
  <c r="S4" i="38"/>
  <c r="S5" i="38"/>
  <c r="M5" i="38"/>
  <c r="M4" i="38"/>
  <c r="R4" i="38"/>
  <c r="R5" i="38"/>
  <c r="N5" i="38"/>
  <c r="N4" i="38"/>
  <c r="J4" i="38"/>
  <c r="J5" i="38"/>
  <c r="F5" i="38"/>
  <c r="F4" i="38"/>
  <c r="Q31" i="42"/>
  <c r="I31" i="42"/>
  <c r="E31" i="42"/>
  <c r="D31" i="42"/>
  <c r="H31" i="42"/>
  <c r="L31" i="42"/>
  <c r="P31" i="42"/>
  <c r="T31" i="42"/>
  <c r="M31" i="42"/>
  <c r="F31" i="42"/>
  <c r="J31" i="42"/>
  <c r="N31" i="42"/>
  <c r="R31" i="42"/>
  <c r="G31" i="42"/>
  <c r="K31" i="42"/>
  <c r="O31" i="42"/>
  <c r="S31" i="42"/>
  <c r="J10" i="42"/>
  <c r="R10" i="42"/>
  <c r="K10" i="42"/>
  <c r="S10" i="42"/>
  <c r="D10" i="42"/>
  <c r="H10" i="42"/>
  <c r="L10" i="42"/>
  <c r="P10" i="42"/>
  <c r="T10" i="42"/>
  <c r="U31" i="42"/>
  <c r="F9" i="40"/>
  <c r="C29" i="38"/>
  <c r="D29" i="38"/>
  <c r="E29" i="38"/>
  <c r="F29" i="38"/>
  <c r="G29" i="38"/>
  <c r="H29" i="38"/>
  <c r="I29" i="38"/>
  <c r="J29" i="38"/>
  <c r="K29" i="38"/>
  <c r="L29" i="38"/>
  <c r="M29" i="38"/>
  <c r="N29" i="38"/>
  <c r="O29" i="38"/>
  <c r="P29" i="38"/>
  <c r="Q29" i="38"/>
  <c r="R29" i="38"/>
  <c r="S29" i="38"/>
  <c r="T29" i="38"/>
  <c r="U29" i="38"/>
  <c r="C28" i="38"/>
  <c r="D28" i="38"/>
  <c r="E28" i="38"/>
  <c r="F28" i="38"/>
  <c r="G28" i="38"/>
  <c r="H28" i="38"/>
  <c r="I28" i="38"/>
  <c r="J28" i="38"/>
  <c r="K28" i="38"/>
  <c r="L28" i="38"/>
  <c r="M28" i="38"/>
  <c r="N28" i="38"/>
  <c r="O28" i="38"/>
  <c r="P28" i="38"/>
  <c r="Q28" i="38"/>
  <c r="R28" i="38"/>
  <c r="S28" i="38"/>
  <c r="T28" i="38"/>
  <c r="U28" i="38"/>
  <c r="C27" i="38"/>
  <c r="D27" i="38"/>
  <c r="E27" i="38"/>
  <c r="F27" i="38"/>
  <c r="G27" i="38"/>
  <c r="H27" i="38"/>
  <c r="I27" i="38"/>
  <c r="J27" i="38"/>
  <c r="K27" i="38"/>
  <c r="L27" i="38"/>
  <c r="M27" i="38"/>
  <c r="N27" i="38"/>
  <c r="O27" i="38"/>
  <c r="P27" i="38"/>
  <c r="Q27" i="38"/>
  <c r="R27" i="38"/>
  <c r="S27" i="38"/>
  <c r="T27" i="38"/>
  <c r="U27" i="38"/>
  <c r="B56" i="18"/>
  <c r="S2" i="38"/>
  <c r="T2" i="38"/>
  <c r="U2" i="38"/>
  <c r="P2" i="38"/>
  <c r="Q2" i="38"/>
  <c r="R2" i="38"/>
  <c r="B2" i="38"/>
  <c r="C2" i="38"/>
  <c r="D2" i="38"/>
  <c r="E2" i="38"/>
  <c r="F2" i="38"/>
  <c r="G2" i="38"/>
  <c r="H2" i="38"/>
  <c r="I2" i="38"/>
  <c r="J2" i="38"/>
  <c r="K2" i="38"/>
  <c r="L2" i="38"/>
  <c r="M2" i="38"/>
  <c r="N2" i="38"/>
  <c r="O2" i="38"/>
  <c r="B38" i="19"/>
  <c r="E4" i="37"/>
  <c r="F4" i="37"/>
  <c r="F5" i="37"/>
  <c r="E6" i="37"/>
  <c r="F6" i="37"/>
  <c r="C7" i="37"/>
  <c r="E7" i="37"/>
  <c r="F7" i="37"/>
  <c r="C8" i="37"/>
  <c r="E8" i="37"/>
  <c r="F8" i="37"/>
  <c r="C9" i="37"/>
  <c r="E9" i="37"/>
  <c r="F9" i="37"/>
  <c r="C10" i="37"/>
  <c r="E10" i="37"/>
  <c r="F10" i="37"/>
  <c r="C11" i="37"/>
  <c r="E11" i="37"/>
  <c r="F11" i="37"/>
  <c r="C12" i="37"/>
  <c r="E12" i="37"/>
  <c r="F12" i="37"/>
  <c r="C13" i="37"/>
  <c r="E13" i="37"/>
  <c r="F13" i="37"/>
  <c r="C14" i="37"/>
  <c r="E14" i="37"/>
  <c r="F14" i="37"/>
  <c r="C15" i="37"/>
  <c r="E15" i="37"/>
  <c r="F15" i="37"/>
  <c r="C16" i="37"/>
  <c r="E16" i="37"/>
  <c r="F16" i="37"/>
  <c r="C17" i="37"/>
  <c r="E17" i="37"/>
  <c r="F17" i="37"/>
  <c r="C18" i="37"/>
  <c r="E18" i="37"/>
  <c r="F18" i="37"/>
  <c r="C19" i="37"/>
  <c r="E19" i="37"/>
  <c r="F19" i="37"/>
  <c r="C20" i="37"/>
  <c r="E20" i="37"/>
  <c r="F20" i="37"/>
  <c r="C21" i="37"/>
  <c r="E21" i="37"/>
  <c r="F21" i="37"/>
  <c r="C22" i="37"/>
  <c r="E22" i="37"/>
  <c r="F22" i="37"/>
  <c r="C23" i="37"/>
  <c r="E23" i="37"/>
  <c r="F23" i="37"/>
  <c r="B20" i="38" l="1"/>
  <c r="E8" i="45"/>
  <c r="E7" i="45"/>
  <c r="F24" i="50"/>
  <c r="K33" i="42"/>
  <c r="K7" i="42" s="1"/>
  <c r="K27" i="42"/>
  <c r="F33" i="42"/>
  <c r="F7" i="42" s="1"/>
  <c r="F27" i="42"/>
  <c r="I33" i="42"/>
  <c r="I7" i="42" s="1"/>
  <c r="I27" i="42"/>
  <c r="S33" i="42"/>
  <c r="S7" i="42" s="1"/>
  <c r="S27" i="42"/>
  <c r="R33" i="42"/>
  <c r="R7" i="42" s="1"/>
  <c r="R27" i="42"/>
  <c r="M33" i="42"/>
  <c r="M7" i="42" s="1"/>
  <c r="M27" i="42"/>
  <c r="H33" i="42"/>
  <c r="H7" i="42" s="1"/>
  <c r="H27" i="42"/>
  <c r="Q33" i="42"/>
  <c r="Q7" i="42" s="1"/>
  <c r="Q27" i="42"/>
  <c r="U33" i="42"/>
  <c r="U7" i="42" s="1"/>
  <c r="U27" i="42"/>
  <c r="J33" i="42"/>
  <c r="J7" i="42" s="1"/>
  <c r="J27" i="42"/>
  <c r="P33" i="42"/>
  <c r="P7" i="42" s="1"/>
  <c r="P27" i="42"/>
  <c r="E33" i="42"/>
  <c r="E7" i="42" s="1"/>
  <c r="E27" i="42"/>
  <c r="G33" i="42"/>
  <c r="G7" i="42" s="1"/>
  <c r="G27" i="42"/>
  <c r="L33" i="42"/>
  <c r="L7" i="42" s="1"/>
  <c r="L27" i="42"/>
  <c r="O33" i="42"/>
  <c r="O7" i="42" s="1"/>
  <c r="O27" i="42"/>
  <c r="N33" i="42"/>
  <c r="N7" i="42" s="1"/>
  <c r="N27" i="42"/>
  <c r="T33" i="42"/>
  <c r="T7" i="42" s="1"/>
  <c r="T27" i="42"/>
  <c r="D33" i="42"/>
  <c r="D7" i="42" s="1"/>
  <c r="D27" i="42"/>
  <c r="J10" i="38"/>
  <c r="J19" i="38"/>
  <c r="K10" i="38"/>
  <c r="K11" i="38" s="1"/>
  <c r="D14" i="41" s="1"/>
  <c r="K19" i="38"/>
  <c r="U9" i="38"/>
  <c r="U18" i="38"/>
  <c r="J9" i="38"/>
  <c r="J11" i="38" s="1"/>
  <c r="D13" i="41" s="1"/>
  <c r="J18" i="38"/>
  <c r="R9" i="38"/>
  <c r="R18" i="38"/>
  <c r="S9" i="38"/>
  <c r="S18" i="38"/>
  <c r="K9" i="38"/>
  <c r="K18" i="38"/>
  <c r="I10" i="38"/>
  <c r="I11" i="38" s="1"/>
  <c r="D12" i="41" s="1"/>
  <c r="I19" i="38"/>
  <c r="T9" i="38"/>
  <c r="T18" i="38"/>
  <c r="L9" i="38"/>
  <c r="L18" i="38"/>
  <c r="U10" i="38"/>
  <c r="U19" i="38"/>
  <c r="U20" i="38" s="1"/>
  <c r="B9" i="38"/>
  <c r="R10" i="38"/>
  <c r="R11" i="38" s="1"/>
  <c r="D21" i="41" s="1"/>
  <c r="R19" i="38"/>
  <c r="T10" i="38"/>
  <c r="T11" i="38" s="1"/>
  <c r="D23" i="41" s="1"/>
  <c r="T19" i="38"/>
  <c r="F9" i="38"/>
  <c r="F18" i="38"/>
  <c r="N9" i="38"/>
  <c r="N18" i="38"/>
  <c r="M9" i="38"/>
  <c r="M11" i="38" s="1"/>
  <c r="D16" i="41" s="1"/>
  <c r="M18" i="38"/>
  <c r="G9" i="38"/>
  <c r="G18" i="38"/>
  <c r="O9" i="38"/>
  <c r="O18" i="38"/>
  <c r="E9" i="38"/>
  <c r="E18" i="38"/>
  <c r="H10" i="38"/>
  <c r="H19" i="38"/>
  <c r="P9" i="38"/>
  <c r="P18" i="38"/>
  <c r="Q9" i="38"/>
  <c r="Q11" i="38" s="1"/>
  <c r="D20" i="41" s="1"/>
  <c r="Q18" i="38"/>
  <c r="B10" i="38"/>
  <c r="S10" i="38"/>
  <c r="S19" i="38"/>
  <c r="S20" i="38" s="1"/>
  <c r="I9" i="38"/>
  <c r="I18" i="38"/>
  <c r="L10" i="38"/>
  <c r="L19" i="38"/>
  <c r="L20" i="38" s="1"/>
  <c r="F10" i="38"/>
  <c r="F19" i="38"/>
  <c r="F20" i="38" s="1"/>
  <c r="N10" i="38"/>
  <c r="N19" i="38"/>
  <c r="N20" i="38" s="1"/>
  <c r="M10" i="38"/>
  <c r="M19" i="38"/>
  <c r="M20" i="38" s="1"/>
  <c r="G10" i="38"/>
  <c r="G11" i="38" s="1"/>
  <c r="D10" i="41" s="1"/>
  <c r="G19" i="38"/>
  <c r="G20" i="38" s="1"/>
  <c r="O10" i="38"/>
  <c r="O19" i="38"/>
  <c r="O20" i="38" s="1"/>
  <c r="E10" i="38"/>
  <c r="E19" i="38"/>
  <c r="E20" i="38" s="1"/>
  <c r="H9" i="38"/>
  <c r="H18" i="38"/>
  <c r="P10" i="38"/>
  <c r="P19" i="38"/>
  <c r="P20" i="38" s="1"/>
  <c r="Q10" i="38"/>
  <c r="Q19" i="38"/>
  <c r="Q20" i="38" s="1"/>
  <c r="C4" i="38"/>
  <c r="C5" i="38"/>
  <c r="C6" i="41"/>
  <c r="F11" i="40"/>
  <c r="X11" i="40" s="1"/>
  <c r="D15" i="40"/>
  <c r="D5" i="53" s="1"/>
  <c r="C5" i="53"/>
  <c r="D25" i="50"/>
  <c r="F10" i="40"/>
  <c r="E27" i="50"/>
  <c r="C46" i="40"/>
  <c r="X9" i="40"/>
  <c r="E7" i="40"/>
  <c r="E8" i="40" s="1"/>
  <c r="F7" i="45" s="1"/>
  <c r="N55" i="28"/>
  <c r="N54" i="28"/>
  <c r="N13" i="40" s="1"/>
  <c r="C20" i="40"/>
  <c r="X27" i="40"/>
  <c r="Q46" i="28"/>
  <c r="R45" i="28"/>
  <c r="P31" i="28"/>
  <c r="Q26" i="28"/>
  <c r="Q10" i="28"/>
  <c r="R4" i="28"/>
  <c r="Q37" i="28"/>
  <c r="R34" i="28"/>
  <c r="R23" i="28"/>
  <c r="S18" i="28"/>
  <c r="P15" i="28"/>
  <c r="Q13" i="28"/>
  <c r="P40" i="28"/>
  <c r="O42" i="28"/>
  <c r="O49" i="28" s="1"/>
  <c r="U11" i="38"/>
  <c r="D24" i="41" s="1"/>
  <c r="D63" i="38"/>
  <c r="D65" i="38" s="1"/>
  <c r="D33" i="38" s="1"/>
  <c r="D59" i="38"/>
  <c r="D61" i="38" s="1"/>
  <c r="D32" i="38" s="1"/>
  <c r="C55" i="40"/>
  <c r="L11" i="38" l="1"/>
  <c r="D15" i="41" s="1"/>
  <c r="J20" i="38"/>
  <c r="G7" i="45"/>
  <c r="G8" i="45"/>
  <c r="D20" i="40"/>
  <c r="L29" i="42"/>
  <c r="L30" i="42" s="1"/>
  <c r="L6" i="42" s="1"/>
  <c r="R29" i="42"/>
  <c r="R30" i="42" s="1"/>
  <c r="R6" i="42" s="1"/>
  <c r="N29" i="42"/>
  <c r="N30" i="42" s="1"/>
  <c r="N6" i="42" s="1"/>
  <c r="S29" i="42"/>
  <c r="S30" i="42" s="1"/>
  <c r="S6" i="42" s="1"/>
  <c r="I20" i="38"/>
  <c r="K20" i="38"/>
  <c r="J29" i="42"/>
  <c r="J30" i="42" s="1"/>
  <c r="J6" i="42" s="1"/>
  <c r="N11" i="38"/>
  <c r="D17" i="41" s="1"/>
  <c r="T20" i="38"/>
  <c r="B11" i="38"/>
  <c r="D5" i="41" s="1"/>
  <c r="C29" i="42" s="1"/>
  <c r="K30" i="42"/>
  <c r="K6" i="42" s="1"/>
  <c r="K29" i="42"/>
  <c r="H29" i="42"/>
  <c r="H30" i="42" s="1"/>
  <c r="H6" i="42" s="1"/>
  <c r="U29" i="42"/>
  <c r="U30" i="42" s="1"/>
  <c r="U6" i="42" s="1"/>
  <c r="M29" i="42"/>
  <c r="M30" i="42" s="1"/>
  <c r="M6" i="42" s="1"/>
  <c r="H20" i="38"/>
  <c r="R20" i="38"/>
  <c r="P11" i="38"/>
  <c r="D19" i="41" s="1"/>
  <c r="E11" i="38"/>
  <c r="D8" i="41" s="1"/>
  <c r="S11" i="38"/>
  <c r="D22" i="41" s="1"/>
  <c r="H11" i="38"/>
  <c r="D11" i="41" s="1"/>
  <c r="O11" i="38"/>
  <c r="D18" i="41" s="1"/>
  <c r="F11" i="38"/>
  <c r="D9" i="41" s="1"/>
  <c r="C10" i="38"/>
  <c r="C19" i="38"/>
  <c r="C9" i="38"/>
  <c r="C18" i="38"/>
  <c r="J63" i="38"/>
  <c r="J65" i="38" s="1"/>
  <c r="R63" i="38"/>
  <c r="R65" i="38" s="1"/>
  <c r="C59" i="38"/>
  <c r="C61" i="38" s="1"/>
  <c r="K59" i="38"/>
  <c r="K61" i="38" s="1"/>
  <c r="S59" i="38"/>
  <c r="S61" i="38" s="1"/>
  <c r="T63" i="38"/>
  <c r="T65" i="38" s="1"/>
  <c r="I63" i="38"/>
  <c r="I65" i="38" s="1"/>
  <c r="Q63" i="38"/>
  <c r="Q65" i="38" s="1"/>
  <c r="H63" i="38"/>
  <c r="H65" i="38" s="1"/>
  <c r="F59" i="38"/>
  <c r="F61" i="38" s="1"/>
  <c r="N59" i="38"/>
  <c r="N61" i="38" s="1"/>
  <c r="L59" i="38"/>
  <c r="L61" i="38" s="1"/>
  <c r="G63" i="38"/>
  <c r="G65" i="38" s="1"/>
  <c r="O63" i="38"/>
  <c r="O65" i="38" s="1"/>
  <c r="E59" i="38"/>
  <c r="E61" i="38" s="1"/>
  <c r="M59" i="38"/>
  <c r="M61" i="38" s="1"/>
  <c r="U59" i="38"/>
  <c r="U61" i="38" s="1"/>
  <c r="P59" i="38"/>
  <c r="P61" i="38" s="1"/>
  <c r="F63" i="38"/>
  <c r="F65" i="38" s="1"/>
  <c r="N63" i="38"/>
  <c r="N65" i="38" s="1"/>
  <c r="L63" i="38"/>
  <c r="L65" i="38" s="1"/>
  <c r="G59" i="38"/>
  <c r="G61" i="38" s="1"/>
  <c r="O59" i="38"/>
  <c r="O61" i="38" s="1"/>
  <c r="E63" i="38"/>
  <c r="E65" i="38" s="1"/>
  <c r="M63" i="38"/>
  <c r="M65" i="38" s="1"/>
  <c r="U63" i="38"/>
  <c r="U65" i="38" s="1"/>
  <c r="P63" i="38"/>
  <c r="P65" i="38" s="1"/>
  <c r="J59" i="38"/>
  <c r="J61" i="38" s="1"/>
  <c r="R59" i="38"/>
  <c r="R61" i="38" s="1"/>
  <c r="C63" i="38"/>
  <c r="C65" i="38" s="1"/>
  <c r="K63" i="38"/>
  <c r="K65" i="38" s="1"/>
  <c r="S63" i="38"/>
  <c r="S65" i="38" s="1"/>
  <c r="T59" i="38"/>
  <c r="T61" i="38" s="1"/>
  <c r="I59" i="38"/>
  <c r="I61" i="38" s="1"/>
  <c r="Q59" i="38"/>
  <c r="Q61" i="38" s="1"/>
  <c r="H59" i="38"/>
  <c r="H61" i="38" s="1"/>
  <c r="B63" i="38"/>
  <c r="B65" i="38" s="1"/>
  <c r="B15" i="38" s="1"/>
  <c r="F5" i="41" s="1"/>
  <c r="D9" i="50"/>
  <c r="F25" i="50"/>
  <c r="D27" i="50"/>
  <c r="F27" i="50" s="1"/>
  <c r="F34" i="50" s="1"/>
  <c r="F7" i="40"/>
  <c r="C45" i="40" s="1"/>
  <c r="C47" i="40" s="1"/>
  <c r="E46" i="40" s="1"/>
  <c r="E15" i="40"/>
  <c r="D6" i="38"/>
  <c r="E6" i="50"/>
  <c r="F6" i="50" s="1"/>
  <c r="O55" i="28"/>
  <c r="O54" i="28"/>
  <c r="D10" i="50"/>
  <c r="X7" i="40"/>
  <c r="C10" i="50"/>
  <c r="O13" i="40"/>
  <c r="Q15" i="28"/>
  <c r="R13" i="28"/>
  <c r="R37" i="28"/>
  <c r="S34" i="28"/>
  <c r="R26" i="28"/>
  <c r="Q31" i="28"/>
  <c r="S23" i="28"/>
  <c r="T18" i="28"/>
  <c r="R10" i="28"/>
  <c r="S4" i="28"/>
  <c r="P42" i="28"/>
  <c r="P49" i="28" s="1"/>
  <c r="Q40" i="28"/>
  <c r="S45" i="28"/>
  <c r="R46" i="28"/>
  <c r="C57" i="40"/>
  <c r="E56" i="40" s="1"/>
  <c r="C50" i="40" l="1"/>
  <c r="G54" i="40" s="1"/>
  <c r="T29" i="42"/>
  <c r="T30" i="42" s="1"/>
  <c r="T6" i="42" s="1"/>
  <c r="G29" i="42"/>
  <c r="G30" i="42" s="1"/>
  <c r="G6" i="42" s="1"/>
  <c r="F29" i="42"/>
  <c r="F30" i="42" s="1"/>
  <c r="F6" i="42" s="1"/>
  <c r="P29" i="42"/>
  <c r="P30" i="42" s="1"/>
  <c r="P6" i="42" s="1"/>
  <c r="Q29" i="42"/>
  <c r="Q30" i="42" s="1"/>
  <c r="Q6" i="42" s="1"/>
  <c r="C20" i="38"/>
  <c r="I30" i="42"/>
  <c r="I6" i="42" s="1"/>
  <c r="I29" i="42"/>
  <c r="O29" i="42"/>
  <c r="O30" i="42" s="1"/>
  <c r="O6" i="42" s="1"/>
  <c r="G32" i="38"/>
  <c r="G14" i="38" s="1"/>
  <c r="E10" i="41" s="1"/>
  <c r="P14" i="38"/>
  <c r="E19" i="41" s="1"/>
  <c r="P32" i="38"/>
  <c r="O33" i="38"/>
  <c r="O15" i="38" s="1"/>
  <c r="F18" i="41" s="1"/>
  <c r="F14" i="38"/>
  <c r="E9" i="41" s="1"/>
  <c r="F32" i="38"/>
  <c r="T33" i="38"/>
  <c r="T15" i="38" s="1"/>
  <c r="F23" i="41" s="1"/>
  <c r="R15" i="38"/>
  <c r="F21" i="41" s="1"/>
  <c r="R33" i="38"/>
  <c r="C33" i="38"/>
  <c r="C15" i="38" s="1"/>
  <c r="F6" i="41" s="1"/>
  <c r="T14" i="38"/>
  <c r="E23" i="41" s="1"/>
  <c r="T32" i="38"/>
  <c r="L33" i="38"/>
  <c r="L15" i="38" s="1"/>
  <c r="F15" i="41" s="1"/>
  <c r="H15" i="38"/>
  <c r="F11" i="41" s="1"/>
  <c r="H33" i="38"/>
  <c r="H32" i="38"/>
  <c r="H14" i="38" s="1"/>
  <c r="E11" i="41" s="1"/>
  <c r="J14" i="38"/>
  <c r="E13" i="41" s="1"/>
  <c r="J32" i="38"/>
  <c r="M32" i="38"/>
  <c r="M14" i="38" s="1"/>
  <c r="E16" i="41" s="1"/>
  <c r="Q15" i="38"/>
  <c r="F20" i="41" s="1"/>
  <c r="Q33" i="38"/>
  <c r="K32" i="38"/>
  <c r="K14" i="38" s="1"/>
  <c r="E14" i="41" s="1"/>
  <c r="I14" i="38"/>
  <c r="E12" i="41" s="1"/>
  <c r="I32" i="38"/>
  <c r="U33" i="38"/>
  <c r="U15" i="38" s="1"/>
  <c r="F24" i="41" s="1"/>
  <c r="R14" i="38"/>
  <c r="E21" i="41" s="1"/>
  <c r="R32" i="38"/>
  <c r="M33" i="38"/>
  <c r="M15" i="38" s="1"/>
  <c r="F16" i="41" s="1"/>
  <c r="U14" i="38"/>
  <c r="E24" i="41" s="1"/>
  <c r="U32" i="38"/>
  <c r="G33" i="38"/>
  <c r="G15" i="38" s="1"/>
  <c r="F10" i="41" s="1"/>
  <c r="S14" i="38"/>
  <c r="E22" i="41" s="1"/>
  <c r="S32" i="38"/>
  <c r="J33" i="38"/>
  <c r="J15" i="38" s="1"/>
  <c r="F13" i="41" s="1"/>
  <c r="S15" i="38"/>
  <c r="F22" i="41" s="1"/>
  <c r="S33" i="38"/>
  <c r="E33" i="38"/>
  <c r="E15" i="38" s="1"/>
  <c r="F8" i="41" s="1"/>
  <c r="N15" i="38"/>
  <c r="F17" i="41" s="1"/>
  <c r="N33" i="38"/>
  <c r="L32" i="38"/>
  <c r="L14" i="38" s="1"/>
  <c r="E15" i="41" s="1"/>
  <c r="Q14" i="38"/>
  <c r="E20" i="41" s="1"/>
  <c r="Q32" i="38"/>
  <c r="K33" i="38"/>
  <c r="K15" i="38" s="1"/>
  <c r="F14" i="41" s="1"/>
  <c r="P15" i="38"/>
  <c r="F19" i="41" s="1"/>
  <c r="P33" i="38"/>
  <c r="O32" i="38"/>
  <c r="O14" i="38" s="1"/>
  <c r="E18" i="41" s="1"/>
  <c r="F15" i="38"/>
  <c r="F9" i="41" s="1"/>
  <c r="F33" i="38"/>
  <c r="E32" i="38"/>
  <c r="E14" i="38" s="1"/>
  <c r="E8" i="41" s="1"/>
  <c r="N14" i="38"/>
  <c r="E17" i="41" s="1"/>
  <c r="N32" i="38"/>
  <c r="I33" i="38"/>
  <c r="I15" i="38" s="1"/>
  <c r="F12" i="41" s="1"/>
  <c r="C14" i="38"/>
  <c r="E6" i="41" s="1"/>
  <c r="C32" i="38"/>
  <c r="C28" i="42"/>
  <c r="C30" i="42" s="1"/>
  <c r="C64" i="42"/>
  <c r="C11" i="38"/>
  <c r="D6" i="41" s="1"/>
  <c r="C7" i="41"/>
  <c r="D15" i="38"/>
  <c r="F7" i="41" s="1"/>
  <c r="D14" i="38"/>
  <c r="E7" i="41" s="1"/>
  <c r="E7" i="50"/>
  <c r="F7" i="50" s="1"/>
  <c r="F8" i="40"/>
  <c r="F15" i="40"/>
  <c r="E5" i="53"/>
  <c r="F5" i="53" s="1"/>
  <c r="E9" i="50"/>
  <c r="F9" i="50" s="1"/>
  <c r="E20" i="40"/>
  <c r="D4" i="38"/>
  <c r="D5" i="38"/>
  <c r="P54" i="28"/>
  <c r="P55" i="28"/>
  <c r="G20" i="40"/>
  <c r="P13" i="40"/>
  <c r="R31" i="28"/>
  <c r="S26" i="28"/>
  <c r="R40" i="28"/>
  <c r="Q42" i="28"/>
  <c r="Q49" i="28" s="1"/>
  <c r="U18" i="28"/>
  <c r="T23" i="28"/>
  <c r="S37" i="28"/>
  <c r="T34" i="28"/>
  <c r="S46" i="28"/>
  <c r="T45" i="28"/>
  <c r="T4" i="28"/>
  <c r="S10" i="28"/>
  <c r="R15" i="28"/>
  <c r="S13" i="28"/>
  <c r="E55" i="40"/>
  <c r="E45" i="40"/>
  <c r="F20" i="40" l="1"/>
  <c r="D29" i="42"/>
  <c r="D30" i="42" s="1"/>
  <c r="D6" i="42" s="1"/>
  <c r="C27" i="42"/>
  <c r="C6" i="42"/>
  <c r="D9" i="38"/>
  <c r="D18" i="38"/>
  <c r="D10" i="38"/>
  <c r="D19" i="38"/>
  <c r="E10" i="50"/>
  <c r="F10" i="50" s="1"/>
  <c r="Q55" i="28"/>
  <c r="Q54" i="28"/>
  <c r="H20" i="40"/>
  <c r="Q13" i="40"/>
  <c r="U23" i="28"/>
  <c r="V18" i="28"/>
  <c r="T37" i="28"/>
  <c r="U34" i="28"/>
  <c r="T10" i="28"/>
  <c r="U4" i="28"/>
  <c r="R42" i="28"/>
  <c r="R49" i="28" s="1"/>
  <c r="S40" i="28"/>
  <c r="T13" i="28"/>
  <c r="S15" i="28"/>
  <c r="T46" i="28"/>
  <c r="U45" i="28"/>
  <c r="T26" i="28"/>
  <c r="S31" i="28"/>
  <c r="E26" i="35"/>
  <c r="U27" i="36"/>
  <c r="T27" i="36"/>
  <c r="S27" i="36"/>
  <c r="R27" i="36"/>
  <c r="Q27" i="36"/>
  <c r="P27" i="36"/>
  <c r="O27" i="36"/>
  <c r="N27" i="36"/>
  <c r="M27" i="36"/>
  <c r="L27" i="36"/>
  <c r="K27" i="36"/>
  <c r="J27" i="36"/>
  <c r="I27" i="36"/>
  <c r="H27" i="36"/>
  <c r="G27" i="36"/>
  <c r="F27" i="36"/>
  <c r="E27" i="36"/>
  <c r="D27" i="36"/>
  <c r="C27" i="36"/>
  <c r="B27" i="36"/>
  <c r="U26" i="36"/>
  <c r="T26" i="36"/>
  <c r="S26" i="36"/>
  <c r="R26" i="36"/>
  <c r="Q26" i="36"/>
  <c r="P26" i="36"/>
  <c r="O26" i="36"/>
  <c r="N26" i="36"/>
  <c r="M26" i="36"/>
  <c r="L26" i="36"/>
  <c r="K26" i="36"/>
  <c r="J26" i="36"/>
  <c r="I26" i="36"/>
  <c r="H26" i="36"/>
  <c r="G26" i="36"/>
  <c r="F26" i="36"/>
  <c r="E26" i="36"/>
  <c r="D26" i="36"/>
  <c r="C26" i="36"/>
  <c r="B26" i="36"/>
  <c r="U25" i="36"/>
  <c r="T25" i="36"/>
  <c r="S25" i="36"/>
  <c r="R25" i="36"/>
  <c r="Q25" i="36"/>
  <c r="P25" i="36"/>
  <c r="O25" i="36"/>
  <c r="N25" i="36"/>
  <c r="M25" i="36"/>
  <c r="L25" i="36"/>
  <c r="K25" i="36"/>
  <c r="J25" i="36"/>
  <c r="I25" i="36"/>
  <c r="H25" i="36"/>
  <c r="G25" i="36"/>
  <c r="F25" i="36"/>
  <c r="E25" i="36"/>
  <c r="D25" i="36"/>
  <c r="C25" i="36"/>
  <c r="B25" i="36"/>
  <c r="U14" i="36"/>
  <c r="T14" i="36"/>
  <c r="S14" i="36"/>
  <c r="R14" i="36"/>
  <c r="Q14" i="36"/>
  <c r="P14" i="36"/>
  <c r="O14" i="36"/>
  <c r="N14" i="36"/>
  <c r="M14" i="36"/>
  <c r="L14" i="36"/>
  <c r="K14" i="36"/>
  <c r="J14" i="36"/>
  <c r="I14" i="36"/>
  <c r="H14" i="36"/>
  <c r="G14" i="36"/>
  <c r="F14" i="36"/>
  <c r="E14" i="36"/>
  <c r="D14" i="36"/>
  <c r="C14" i="36"/>
  <c r="B14" i="36"/>
  <c r="U11" i="36"/>
  <c r="T11" i="36"/>
  <c r="S11" i="36"/>
  <c r="R11" i="36"/>
  <c r="Q11" i="36"/>
  <c r="P11" i="36"/>
  <c r="O11" i="36"/>
  <c r="N11" i="36"/>
  <c r="M11" i="36"/>
  <c r="L11" i="36"/>
  <c r="K11" i="36"/>
  <c r="J11" i="36"/>
  <c r="I11" i="36"/>
  <c r="H11" i="36"/>
  <c r="G11" i="36"/>
  <c r="F11" i="36"/>
  <c r="E11" i="36"/>
  <c r="D11" i="36"/>
  <c r="C11" i="36"/>
  <c r="B11" i="36"/>
  <c r="U8" i="36"/>
  <c r="T8" i="36"/>
  <c r="S8" i="36"/>
  <c r="R8" i="36"/>
  <c r="Q8" i="36"/>
  <c r="P8" i="36"/>
  <c r="O8" i="36"/>
  <c r="N8" i="36"/>
  <c r="M8" i="36"/>
  <c r="L8" i="36"/>
  <c r="K8" i="36"/>
  <c r="J8" i="36"/>
  <c r="I8" i="36"/>
  <c r="H8" i="36"/>
  <c r="G8" i="36"/>
  <c r="F8" i="36"/>
  <c r="E8" i="36"/>
  <c r="D8" i="36"/>
  <c r="C8" i="36"/>
  <c r="B8" i="36"/>
  <c r="U5" i="36"/>
  <c r="T5" i="36"/>
  <c r="S5" i="36"/>
  <c r="R5" i="36"/>
  <c r="Q5" i="36"/>
  <c r="P5" i="36"/>
  <c r="O5" i="36"/>
  <c r="N5" i="36"/>
  <c r="M5" i="36"/>
  <c r="L5" i="36"/>
  <c r="K5" i="36"/>
  <c r="J5" i="36"/>
  <c r="I5" i="36"/>
  <c r="H5" i="36"/>
  <c r="G5" i="36"/>
  <c r="F5" i="36"/>
  <c r="E5" i="36"/>
  <c r="D5" i="36"/>
  <c r="C5" i="36"/>
  <c r="B5" i="36"/>
  <c r="U4" i="36"/>
  <c r="T4" i="36"/>
  <c r="S4" i="36"/>
  <c r="R4" i="36"/>
  <c r="Q4" i="36"/>
  <c r="P4" i="36"/>
  <c r="O4" i="36"/>
  <c r="N4" i="36"/>
  <c r="M4" i="36"/>
  <c r="L4" i="36"/>
  <c r="K4" i="36"/>
  <c r="J4" i="36"/>
  <c r="I4" i="36"/>
  <c r="H4" i="36"/>
  <c r="G4" i="36"/>
  <c r="F4" i="36"/>
  <c r="E4" i="36"/>
  <c r="D4" i="36"/>
  <c r="C4" i="36"/>
  <c r="B4" i="36"/>
  <c r="U3" i="36"/>
  <c r="T3" i="36"/>
  <c r="S3" i="36"/>
  <c r="R3" i="36"/>
  <c r="Q3" i="36"/>
  <c r="P3" i="36"/>
  <c r="O3" i="36"/>
  <c r="N3" i="36"/>
  <c r="M3" i="36"/>
  <c r="L3" i="36"/>
  <c r="K3" i="36"/>
  <c r="J3" i="36"/>
  <c r="I3" i="36"/>
  <c r="H3" i="36"/>
  <c r="G3" i="36"/>
  <c r="F3" i="36"/>
  <c r="E3" i="36"/>
  <c r="D3" i="36"/>
  <c r="C3" i="36"/>
  <c r="B3" i="36"/>
  <c r="U60" i="35"/>
  <c r="T60" i="35"/>
  <c r="S60" i="35"/>
  <c r="R60" i="35"/>
  <c r="Q60" i="35"/>
  <c r="P60" i="35"/>
  <c r="O60" i="35"/>
  <c r="N60" i="35"/>
  <c r="M60" i="35"/>
  <c r="L60" i="35"/>
  <c r="K60" i="35"/>
  <c r="J60" i="35"/>
  <c r="I60" i="35"/>
  <c r="H60" i="35"/>
  <c r="G60" i="35"/>
  <c r="F60" i="35"/>
  <c r="E60" i="35"/>
  <c r="D60" i="35"/>
  <c r="C60" i="35"/>
  <c r="B60" i="35"/>
  <c r="U57" i="35"/>
  <c r="T57" i="35"/>
  <c r="S57" i="35"/>
  <c r="R57" i="35"/>
  <c r="Q57" i="35"/>
  <c r="P57" i="35"/>
  <c r="O57" i="35"/>
  <c r="N57" i="35"/>
  <c r="M57" i="35"/>
  <c r="L57" i="35"/>
  <c r="K57" i="35"/>
  <c r="J57" i="35"/>
  <c r="I57" i="35"/>
  <c r="H57" i="35"/>
  <c r="G57" i="35"/>
  <c r="F57" i="35"/>
  <c r="E57" i="35"/>
  <c r="D57" i="35"/>
  <c r="C57" i="35"/>
  <c r="B57" i="35"/>
  <c r="U53" i="35"/>
  <c r="T53" i="35"/>
  <c r="S53" i="35"/>
  <c r="R53" i="35"/>
  <c r="Q53" i="35"/>
  <c r="P53" i="35"/>
  <c r="O53" i="35"/>
  <c r="N53" i="35"/>
  <c r="M53" i="35"/>
  <c r="L53" i="35"/>
  <c r="K53" i="35"/>
  <c r="J53" i="35"/>
  <c r="I53" i="35"/>
  <c r="H53" i="35"/>
  <c r="G53" i="35"/>
  <c r="F53" i="35"/>
  <c r="E53" i="35"/>
  <c r="D53" i="35"/>
  <c r="C53" i="35"/>
  <c r="B53" i="35"/>
  <c r="U52" i="35"/>
  <c r="T52" i="35"/>
  <c r="S52" i="35"/>
  <c r="R52" i="35"/>
  <c r="Q52" i="35"/>
  <c r="P52" i="35"/>
  <c r="O52" i="35"/>
  <c r="N52" i="35"/>
  <c r="M52" i="35"/>
  <c r="L52" i="35"/>
  <c r="K52" i="35"/>
  <c r="J52" i="35"/>
  <c r="I52" i="35"/>
  <c r="H52" i="35"/>
  <c r="G52" i="35"/>
  <c r="F52" i="35"/>
  <c r="E52" i="35"/>
  <c r="D52" i="35"/>
  <c r="C52" i="35"/>
  <c r="B52" i="35"/>
  <c r="U50" i="35"/>
  <c r="T50" i="35"/>
  <c r="T24" i="35" s="1"/>
  <c r="T25" i="35" s="1"/>
  <c r="S50" i="35"/>
  <c r="R50" i="35"/>
  <c r="R24" i="35" s="1"/>
  <c r="R25" i="35" s="1"/>
  <c r="Q50" i="35"/>
  <c r="P50" i="35"/>
  <c r="P24" i="35" s="1"/>
  <c r="P25" i="35" s="1"/>
  <c r="O50" i="35"/>
  <c r="N50" i="35"/>
  <c r="N24" i="35" s="1"/>
  <c r="N25" i="35" s="1"/>
  <c r="M50" i="35"/>
  <c r="L50" i="35"/>
  <c r="L24" i="35" s="1"/>
  <c r="L25" i="35" s="1"/>
  <c r="K50" i="35"/>
  <c r="J50" i="35"/>
  <c r="J24" i="35" s="1"/>
  <c r="J25" i="35" s="1"/>
  <c r="I50" i="35"/>
  <c r="H50" i="35"/>
  <c r="H24" i="35" s="1"/>
  <c r="H25" i="35" s="1"/>
  <c r="G50" i="35"/>
  <c r="F50" i="35"/>
  <c r="F24" i="35" s="1"/>
  <c r="F25" i="35" s="1"/>
  <c r="E50" i="35"/>
  <c r="D50" i="35"/>
  <c r="D24" i="35" s="1"/>
  <c r="D25" i="35" s="1"/>
  <c r="C50" i="35"/>
  <c r="B50" i="35"/>
  <c r="B24" i="35" s="1"/>
  <c r="B25" i="35" s="1"/>
  <c r="B26" i="35" s="1"/>
  <c r="U43" i="35"/>
  <c r="T43" i="35"/>
  <c r="S43" i="35"/>
  <c r="R43" i="35"/>
  <c r="Q43" i="35"/>
  <c r="P43" i="35"/>
  <c r="O43" i="35"/>
  <c r="N43" i="35"/>
  <c r="M43" i="35"/>
  <c r="L43" i="35"/>
  <c r="K43" i="35"/>
  <c r="J43" i="35"/>
  <c r="I43" i="35"/>
  <c r="H43" i="35"/>
  <c r="G43" i="35"/>
  <c r="F43" i="35"/>
  <c r="E43" i="35"/>
  <c r="D43" i="35"/>
  <c r="C43" i="35"/>
  <c r="B43" i="35"/>
  <c r="N38" i="35"/>
  <c r="F38" i="35"/>
  <c r="U37" i="35"/>
  <c r="U38" i="35" s="1"/>
  <c r="T37" i="35"/>
  <c r="T38" i="35" s="1"/>
  <c r="S37" i="35"/>
  <c r="S38" i="35" s="1"/>
  <c r="R37" i="35"/>
  <c r="R38" i="35" s="1"/>
  <c r="Q37" i="35"/>
  <c r="Q38" i="35" s="1"/>
  <c r="P37" i="35"/>
  <c r="P38" i="35" s="1"/>
  <c r="O37" i="35"/>
  <c r="O38" i="35" s="1"/>
  <c r="N37" i="35"/>
  <c r="M37" i="35"/>
  <c r="M38" i="35" s="1"/>
  <c r="L37" i="35"/>
  <c r="L38" i="35" s="1"/>
  <c r="K37" i="35"/>
  <c r="K38" i="35" s="1"/>
  <c r="J37" i="35"/>
  <c r="J38" i="35" s="1"/>
  <c r="I37" i="35"/>
  <c r="I38" i="35" s="1"/>
  <c r="H37" i="35"/>
  <c r="H38" i="35" s="1"/>
  <c r="G37" i="35"/>
  <c r="G38" i="35" s="1"/>
  <c r="F37" i="35"/>
  <c r="E37" i="35"/>
  <c r="E38" i="35" s="1"/>
  <c r="D37" i="35"/>
  <c r="D38" i="35" s="1"/>
  <c r="C37" i="35"/>
  <c r="C38" i="35" s="1"/>
  <c r="B37" i="35"/>
  <c r="B38" i="35" s="1"/>
  <c r="B39" i="35" s="1"/>
  <c r="B15" i="35" s="1"/>
  <c r="U33" i="35"/>
  <c r="T33" i="35"/>
  <c r="S33" i="35"/>
  <c r="R33" i="35"/>
  <c r="Q33" i="35"/>
  <c r="P33" i="35"/>
  <c r="O33" i="35"/>
  <c r="N33" i="35"/>
  <c r="M33" i="35"/>
  <c r="L33" i="35"/>
  <c r="K33" i="35"/>
  <c r="J33" i="35"/>
  <c r="I33" i="35"/>
  <c r="H33" i="35"/>
  <c r="G33" i="35"/>
  <c r="F33" i="35"/>
  <c r="E33" i="35"/>
  <c r="D33" i="35"/>
  <c r="C33" i="35"/>
  <c r="B33" i="35"/>
  <c r="B34" i="35" s="1"/>
  <c r="F30" i="35"/>
  <c r="G30" i="35" s="1"/>
  <c r="H30" i="35" s="1"/>
  <c r="I30" i="35" s="1"/>
  <c r="J30" i="35" s="1"/>
  <c r="K30" i="35" s="1"/>
  <c r="L30" i="35" s="1"/>
  <c r="M30" i="35" s="1"/>
  <c r="N30" i="35" s="1"/>
  <c r="O30" i="35" s="1"/>
  <c r="P30" i="35" s="1"/>
  <c r="Q30" i="35" s="1"/>
  <c r="R30" i="35" s="1"/>
  <c r="S30" i="35" s="1"/>
  <c r="T30" i="35" s="1"/>
  <c r="U30" i="35" s="1"/>
  <c r="D30" i="35"/>
  <c r="E30" i="35" s="1"/>
  <c r="C30" i="35"/>
  <c r="Q25" i="35"/>
  <c r="O25" i="35"/>
  <c r="I25" i="35"/>
  <c r="G25" i="35"/>
  <c r="U24" i="35"/>
  <c r="U25" i="35" s="1"/>
  <c r="S24" i="35"/>
  <c r="S25" i="35" s="1"/>
  <c r="Q24" i="35"/>
  <c r="O24" i="35"/>
  <c r="M24" i="35"/>
  <c r="M25" i="35" s="1"/>
  <c r="K24" i="35"/>
  <c r="K25" i="35" s="1"/>
  <c r="I24" i="35"/>
  <c r="G24" i="35"/>
  <c r="E24" i="35"/>
  <c r="E25" i="35" s="1"/>
  <c r="C24" i="35"/>
  <c r="C25" i="35" s="1"/>
  <c r="C26" i="35" s="1"/>
  <c r="U20" i="35"/>
  <c r="T20" i="35"/>
  <c r="S20" i="35"/>
  <c r="R20" i="35"/>
  <c r="Q20" i="35"/>
  <c r="P20" i="35"/>
  <c r="O20" i="35"/>
  <c r="N20" i="35"/>
  <c r="M20" i="35"/>
  <c r="L20" i="35"/>
  <c r="K20" i="35"/>
  <c r="J20" i="35"/>
  <c r="I20" i="35"/>
  <c r="H20" i="35"/>
  <c r="G20" i="35"/>
  <c r="F20" i="35"/>
  <c r="E20" i="35"/>
  <c r="D20" i="35"/>
  <c r="C20" i="35"/>
  <c r="B20" i="35"/>
  <c r="B21" i="35" s="1"/>
  <c r="D17" i="35"/>
  <c r="E17" i="35" s="1"/>
  <c r="F17" i="35" s="1"/>
  <c r="G17" i="35" s="1"/>
  <c r="H17" i="35" s="1"/>
  <c r="I17" i="35" s="1"/>
  <c r="J17" i="35" s="1"/>
  <c r="K17" i="35" s="1"/>
  <c r="L17" i="35" s="1"/>
  <c r="M17" i="35" s="1"/>
  <c r="N17" i="35" s="1"/>
  <c r="O17" i="35" s="1"/>
  <c r="P17" i="35" s="1"/>
  <c r="Q17" i="35" s="1"/>
  <c r="R17" i="35" s="1"/>
  <c r="S17" i="35" s="1"/>
  <c r="T17" i="35" s="1"/>
  <c r="U17" i="35" s="1"/>
  <c r="C17" i="35"/>
  <c r="B14" i="35"/>
  <c r="S12" i="35"/>
  <c r="O12" i="35"/>
  <c r="N12" i="35"/>
  <c r="K12" i="35"/>
  <c r="C12" i="35"/>
  <c r="T11" i="35"/>
  <c r="R11" i="35"/>
  <c r="N11" i="35"/>
  <c r="L11" i="35"/>
  <c r="J11" i="35"/>
  <c r="D11" i="35"/>
  <c r="B11" i="35"/>
  <c r="O8" i="35"/>
  <c r="K8" i="35"/>
  <c r="J8" i="35"/>
  <c r="G8" i="35"/>
  <c r="U7" i="35"/>
  <c r="U12" i="35" s="1"/>
  <c r="T7" i="35"/>
  <c r="T12" i="35" s="1"/>
  <c r="S7" i="35"/>
  <c r="S8" i="35" s="1"/>
  <c r="R7" i="35"/>
  <c r="R12" i="35" s="1"/>
  <c r="Q7" i="35"/>
  <c r="Q12" i="35" s="1"/>
  <c r="P7" i="35"/>
  <c r="P8" i="35" s="1"/>
  <c r="O7" i="35"/>
  <c r="N7" i="35"/>
  <c r="N8" i="35" s="1"/>
  <c r="M7" i="35"/>
  <c r="M12" i="35" s="1"/>
  <c r="L7" i="35"/>
  <c r="L12" i="35" s="1"/>
  <c r="K7" i="35"/>
  <c r="J7" i="35"/>
  <c r="J12" i="35" s="1"/>
  <c r="I7" i="35"/>
  <c r="I12" i="35" s="1"/>
  <c r="H7" i="35"/>
  <c r="H8" i="35" s="1"/>
  <c r="G7" i="35"/>
  <c r="G12" i="35" s="1"/>
  <c r="F7" i="35"/>
  <c r="F8" i="35" s="1"/>
  <c r="E7" i="35"/>
  <c r="E12" i="35" s="1"/>
  <c r="D7" i="35"/>
  <c r="D12" i="35" s="1"/>
  <c r="C7" i="35"/>
  <c r="C8" i="35" s="1"/>
  <c r="B7" i="35"/>
  <c r="B12" i="35" s="1"/>
  <c r="P4" i="35"/>
  <c r="N4" i="35"/>
  <c r="J4" i="35"/>
  <c r="H4" i="35"/>
  <c r="F4" i="35"/>
  <c r="U2" i="35"/>
  <c r="U11" i="35" s="1"/>
  <c r="T2" i="35"/>
  <c r="T4" i="35" s="1"/>
  <c r="S2" i="35"/>
  <c r="S11" i="35" s="1"/>
  <c r="R2" i="35"/>
  <c r="R4" i="35" s="1"/>
  <c r="Q2" i="35"/>
  <c r="Q11" i="35" s="1"/>
  <c r="P2" i="35"/>
  <c r="P11" i="35" s="1"/>
  <c r="O2" i="35"/>
  <c r="N2" i="35"/>
  <c r="M2" i="35"/>
  <c r="M11" i="35" s="1"/>
  <c r="L2" i="35"/>
  <c r="L4" i="35" s="1"/>
  <c r="K2" i="35"/>
  <c r="K11" i="35" s="1"/>
  <c r="J2" i="35"/>
  <c r="I2" i="35"/>
  <c r="I11" i="35" s="1"/>
  <c r="H2" i="35"/>
  <c r="H11" i="35" s="1"/>
  <c r="G2" i="35"/>
  <c r="F2" i="35"/>
  <c r="F11" i="35" s="1"/>
  <c r="E2" i="35"/>
  <c r="E11" i="35" s="1"/>
  <c r="D2" i="35"/>
  <c r="D4" i="35" s="1"/>
  <c r="C2" i="35"/>
  <c r="B2" i="35"/>
  <c r="B4" i="35" s="1"/>
  <c r="C1" i="35"/>
  <c r="D1" i="35" s="1"/>
  <c r="E1" i="35" s="1"/>
  <c r="F1" i="35" s="1"/>
  <c r="G1" i="35" s="1"/>
  <c r="H1" i="35" s="1"/>
  <c r="I1" i="35" s="1"/>
  <c r="J1" i="35" s="1"/>
  <c r="K1" i="35" s="1"/>
  <c r="L1" i="35" s="1"/>
  <c r="M1" i="35" s="1"/>
  <c r="N1" i="35" s="1"/>
  <c r="O1" i="35" s="1"/>
  <c r="P1" i="35" s="1"/>
  <c r="Q1" i="35" s="1"/>
  <c r="R1" i="35" s="1"/>
  <c r="S1" i="35" s="1"/>
  <c r="T1" i="35" s="1"/>
  <c r="U1" i="35" s="1"/>
  <c r="D11" i="38" l="1"/>
  <c r="D7" i="41" s="1"/>
  <c r="D20" i="38"/>
  <c r="E29" i="42"/>
  <c r="E30" i="42" s="1"/>
  <c r="E6" i="42" s="1"/>
  <c r="R55" i="28"/>
  <c r="R54" i="28"/>
  <c r="R13" i="40" s="1"/>
  <c r="I20" i="40"/>
  <c r="U10" i="28"/>
  <c r="V4" i="28"/>
  <c r="T31" i="28"/>
  <c r="U26" i="28"/>
  <c r="T15" i="28"/>
  <c r="U13" i="28"/>
  <c r="V23" i="28"/>
  <c r="W18" i="28"/>
  <c r="W23" i="28" s="1"/>
  <c r="U46" i="28"/>
  <c r="V45" i="28"/>
  <c r="T40" i="28"/>
  <c r="S42" i="28"/>
  <c r="S49" i="28" s="1"/>
  <c r="U37" i="28"/>
  <c r="V34" i="28"/>
  <c r="B13" i="35"/>
  <c r="C21" i="35"/>
  <c r="C14" i="35"/>
  <c r="C11" i="35"/>
  <c r="C4" i="35"/>
  <c r="K9" i="35" s="1"/>
  <c r="G4" i="35"/>
  <c r="G11" i="35"/>
  <c r="O4" i="35"/>
  <c r="O11" i="35"/>
  <c r="G9" i="35"/>
  <c r="C9" i="35"/>
  <c r="H12" i="35"/>
  <c r="D26" i="35"/>
  <c r="D14" i="35" s="1"/>
  <c r="K4" i="35"/>
  <c r="B8" i="35"/>
  <c r="B9" i="35" s="1"/>
  <c r="L8" i="35"/>
  <c r="R8" i="35"/>
  <c r="F12" i="35"/>
  <c r="P12" i="35"/>
  <c r="C39" i="35"/>
  <c r="C15" i="35" s="1"/>
  <c r="S4" i="35"/>
  <c r="D8" i="35"/>
  <c r="T8" i="35"/>
  <c r="C34" i="35"/>
  <c r="E4" i="35"/>
  <c r="I4" i="35"/>
  <c r="M4" i="35"/>
  <c r="Q4" i="35"/>
  <c r="U4" i="35"/>
  <c r="E8" i="35"/>
  <c r="I8" i="35"/>
  <c r="I9" i="35" s="1"/>
  <c r="M8" i="35"/>
  <c r="M9" i="35" s="1"/>
  <c r="Q8" i="35"/>
  <c r="U8" i="35"/>
  <c r="S55" i="28" l="1"/>
  <c r="S54" i="28"/>
  <c r="S13" i="40" s="1"/>
  <c r="J20" i="40"/>
  <c r="V37" i="28"/>
  <c r="W34" i="28"/>
  <c r="W37" i="28" s="1"/>
  <c r="W45" i="28"/>
  <c r="W46" i="28" s="1"/>
  <c r="V46" i="28"/>
  <c r="U15" i="28"/>
  <c r="V13" i="28"/>
  <c r="V10" i="28"/>
  <c r="W4" i="28"/>
  <c r="W10" i="28" s="1"/>
  <c r="T42" i="28"/>
  <c r="T49" i="28" s="1"/>
  <c r="U40" i="28"/>
  <c r="U31" i="28"/>
  <c r="V26" i="28"/>
  <c r="Q13" i="35"/>
  <c r="M13" i="35"/>
  <c r="K13" i="35"/>
  <c r="S9" i="35"/>
  <c r="S13" i="35" s="1"/>
  <c r="N9" i="35"/>
  <c r="N13" i="35" s="1"/>
  <c r="R9" i="35"/>
  <c r="R13" i="35" s="1"/>
  <c r="D39" i="35"/>
  <c r="U9" i="35"/>
  <c r="E9" i="35"/>
  <c r="I13" i="35"/>
  <c r="T9" i="35"/>
  <c r="T13" i="35" s="1"/>
  <c r="L9" i="35"/>
  <c r="L13" i="35" s="1"/>
  <c r="D21" i="35"/>
  <c r="J9" i="35"/>
  <c r="J13" i="35" s="1"/>
  <c r="F9" i="35"/>
  <c r="F13" i="35" s="1"/>
  <c r="Q9" i="35"/>
  <c r="U13" i="35"/>
  <c r="E13" i="35"/>
  <c r="D9" i="35"/>
  <c r="D13" i="35" s="1"/>
  <c r="G13" i="35"/>
  <c r="O9" i="35"/>
  <c r="O13" i="35" s="1"/>
  <c r="P9" i="35"/>
  <c r="P13" i="35" s="1"/>
  <c r="C13" i="35"/>
  <c r="H9" i="35"/>
  <c r="H13" i="35" s="1"/>
  <c r="T54" i="28" l="1"/>
  <c r="T55" i="28"/>
  <c r="K20" i="40"/>
  <c r="T13" i="40"/>
  <c r="V40" i="28"/>
  <c r="U42" i="28"/>
  <c r="U49" i="28" s="1"/>
  <c r="V15" i="28"/>
  <c r="W13" i="28"/>
  <c r="W15" i="28" s="1"/>
  <c r="V31" i="28"/>
  <c r="W26" i="28"/>
  <c r="W31" i="28" s="1"/>
  <c r="D15" i="35"/>
  <c r="D34" i="35"/>
  <c r="E39" i="35"/>
  <c r="E21" i="35"/>
  <c r="E14" i="35"/>
  <c r="F26" i="35"/>
  <c r="U55" i="28" l="1"/>
  <c r="U54" i="28"/>
  <c r="L20" i="40"/>
  <c r="U13" i="40"/>
  <c r="V42" i="28"/>
  <c r="V49" i="28" s="1"/>
  <c r="W40" i="28"/>
  <c r="W42" i="28" s="1"/>
  <c r="W49" i="28" s="1"/>
  <c r="E34" i="35"/>
  <c r="F39" i="35"/>
  <c r="E15" i="35"/>
  <c r="F14" i="35"/>
  <c r="F21" i="35"/>
  <c r="G26" i="35"/>
  <c r="W55" i="28" l="1"/>
  <c r="W54" i="28"/>
  <c r="V55" i="28"/>
  <c r="V54" i="28"/>
  <c r="V13" i="40" s="1"/>
  <c r="M20" i="40"/>
  <c r="W13" i="40"/>
  <c r="G14" i="35"/>
  <c r="G21" i="35"/>
  <c r="H26" i="35"/>
  <c r="F15" i="35"/>
  <c r="F34" i="35"/>
  <c r="G39" i="35"/>
  <c r="N20" i="40" l="1"/>
  <c r="N34" i="40" s="1"/>
  <c r="X13" i="40"/>
  <c r="H14" i="35"/>
  <c r="I26" i="35"/>
  <c r="H21" i="35"/>
  <c r="G15" i="35"/>
  <c r="H39" i="35"/>
  <c r="G34" i="35"/>
  <c r="O20" i="40" l="1"/>
  <c r="O34" i="40" s="1"/>
  <c r="J26" i="35"/>
  <c r="I14" i="35"/>
  <c r="I21" i="35"/>
  <c r="I39" i="35"/>
  <c r="H34" i="35"/>
  <c r="H15" i="35"/>
  <c r="P20" i="40" l="1"/>
  <c r="P34" i="40" s="1"/>
  <c r="J39" i="35"/>
  <c r="I34" i="35"/>
  <c r="I15" i="35"/>
  <c r="J14" i="35"/>
  <c r="K26" i="35"/>
  <c r="J21" i="35"/>
  <c r="Q20" i="40" l="1"/>
  <c r="Q34" i="40" s="1"/>
  <c r="K21" i="35"/>
  <c r="K14" i="35"/>
  <c r="L26" i="35"/>
  <c r="J34" i="35"/>
  <c r="K39" i="35"/>
  <c r="J15" i="35"/>
  <c r="R20" i="40" l="1"/>
  <c r="R34" i="40" s="1"/>
  <c r="L14" i="35"/>
  <c r="M26" i="35"/>
  <c r="L21" i="35"/>
  <c r="K15" i="35"/>
  <c r="L39" i="35"/>
  <c r="K34" i="35"/>
  <c r="S20" i="40" l="1"/>
  <c r="S34" i="40" s="1"/>
  <c r="N26" i="35"/>
  <c r="M14" i="35"/>
  <c r="M21" i="35"/>
  <c r="L15" i="35"/>
  <c r="L34" i="35"/>
  <c r="M39" i="35"/>
  <c r="T20" i="40" l="1"/>
  <c r="T34" i="40" s="1"/>
  <c r="M15" i="35"/>
  <c r="M34" i="35"/>
  <c r="N39" i="35"/>
  <c r="N14" i="35"/>
  <c r="O26" i="35"/>
  <c r="N21" i="35"/>
  <c r="U20" i="40" l="1"/>
  <c r="U34" i="40" s="1"/>
  <c r="O39" i="35"/>
  <c r="N15" i="35"/>
  <c r="N34" i="35"/>
  <c r="O14" i="35"/>
  <c r="O21" i="35"/>
  <c r="P26" i="35"/>
  <c r="V20" i="40" l="1"/>
  <c r="V34" i="40" s="1"/>
  <c r="P14" i="35"/>
  <c r="Q26" i="35"/>
  <c r="P21" i="35"/>
  <c r="O15" i="35"/>
  <c r="P39" i="35"/>
  <c r="O34" i="35"/>
  <c r="W20" i="40" l="1"/>
  <c r="X15" i="40"/>
  <c r="Q21" i="35"/>
  <c r="R26" i="35"/>
  <c r="Q14" i="35"/>
  <c r="P34" i="35"/>
  <c r="Q39" i="35"/>
  <c r="P15" i="35"/>
  <c r="W34" i="40" l="1"/>
  <c r="X20" i="40"/>
  <c r="R14" i="35"/>
  <c r="S26" i="35"/>
  <c r="R21" i="35"/>
  <c r="R39" i="35"/>
  <c r="Q15" i="35"/>
  <c r="Q34" i="35"/>
  <c r="R15" i="35" l="1"/>
  <c r="S39" i="35"/>
  <c r="R34" i="35"/>
  <c r="S21" i="35"/>
  <c r="S14" i="35"/>
  <c r="T26" i="35"/>
  <c r="T14" i="35" l="1"/>
  <c r="U26" i="35"/>
  <c r="T21" i="35"/>
  <c r="S15" i="35"/>
  <c r="T39" i="35"/>
  <c r="S34" i="35"/>
  <c r="T15" i="35" l="1"/>
  <c r="T34" i="35"/>
  <c r="U39" i="35"/>
  <c r="U21" i="35"/>
  <c r="U14" i="35"/>
  <c r="U34" i="35" l="1"/>
  <c r="U15" i="35"/>
  <c r="I10" i="32" l="1"/>
  <c r="J10" i="32" s="1"/>
  <c r="H10" i="32"/>
  <c r="I7" i="32"/>
  <c r="H7" i="32"/>
  <c r="G7" i="32"/>
  <c r="J7" i="32" l="1"/>
  <c r="K10" i="32"/>
  <c r="L10" i="32" l="1"/>
  <c r="K7" i="32"/>
  <c r="M10" i="32" l="1"/>
  <c r="L7" i="32"/>
  <c r="M7" i="32" l="1"/>
  <c r="N10" i="32"/>
  <c r="O10" i="32" l="1"/>
  <c r="N7" i="32"/>
  <c r="P10" i="32" l="1"/>
  <c r="P7" i="32" s="1"/>
  <c r="O7" i="32"/>
  <c r="E3" i="31" l="1"/>
  <c r="L54" i="31"/>
  <c r="K54" i="31"/>
  <c r="J54" i="31"/>
  <c r="I54" i="31"/>
  <c r="H54" i="31"/>
  <c r="G54" i="31"/>
  <c r="F54" i="31"/>
  <c r="E54" i="31"/>
  <c r="D54" i="31"/>
  <c r="C54" i="31"/>
  <c r="L48" i="31"/>
  <c r="D48" i="31"/>
  <c r="L47" i="31"/>
  <c r="K47" i="31"/>
  <c r="J47" i="31"/>
  <c r="I47" i="31"/>
  <c r="H47" i="31"/>
  <c r="G47" i="31"/>
  <c r="F47" i="31"/>
  <c r="E47" i="31"/>
  <c r="D47" i="31"/>
  <c r="C47" i="31"/>
  <c r="L46" i="31"/>
  <c r="K46" i="31"/>
  <c r="K48" i="31" s="1"/>
  <c r="J46" i="31"/>
  <c r="I46" i="31"/>
  <c r="H46" i="31"/>
  <c r="H48" i="31" s="1"/>
  <c r="G46" i="31"/>
  <c r="G48" i="31" s="1"/>
  <c r="F46" i="31"/>
  <c r="E46" i="31"/>
  <c r="D46" i="31"/>
  <c r="C46" i="31"/>
  <c r="C48" i="31" s="1"/>
  <c r="I52" i="31" l="1"/>
  <c r="I56" i="31" s="1"/>
  <c r="I8" i="31" s="1"/>
  <c r="I13" i="31" s="1"/>
  <c r="E48" i="31"/>
  <c r="E51" i="31" s="1"/>
  <c r="E55" i="31" s="1"/>
  <c r="E7" i="31" s="1"/>
  <c r="E12" i="31" s="1"/>
  <c r="I48" i="31"/>
  <c r="I51" i="31" s="1"/>
  <c r="I55" i="31" s="1"/>
  <c r="I7" i="31" s="1"/>
  <c r="J48" i="31"/>
  <c r="J52" i="31" s="1"/>
  <c r="J56" i="31" s="1"/>
  <c r="J8" i="31" s="1"/>
  <c r="J13" i="31" s="1"/>
  <c r="J51" i="31"/>
  <c r="J55" i="31" s="1"/>
  <c r="J7" i="31" s="1"/>
  <c r="C52" i="31"/>
  <c r="M47" i="31"/>
  <c r="G52" i="31"/>
  <c r="G56" i="31" s="1"/>
  <c r="G8" i="31" s="1"/>
  <c r="G13" i="31" s="1"/>
  <c r="K52" i="31"/>
  <c r="C56" i="31"/>
  <c r="C8" i="31" s="1"/>
  <c r="M54" i="31"/>
  <c r="K56" i="31"/>
  <c r="K8" i="31" s="1"/>
  <c r="K13" i="31" s="1"/>
  <c r="F48" i="31"/>
  <c r="F52" i="31" s="1"/>
  <c r="F56" i="31" s="1"/>
  <c r="F8" i="31" s="1"/>
  <c r="F13" i="31" s="1"/>
  <c r="D51" i="31"/>
  <c r="D55" i="31" s="1"/>
  <c r="D7" i="31" s="1"/>
  <c r="H51" i="31"/>
  <c r="H55" i="31" s="1"/>
  <c r="H7" i="31" s="1"/>
  <c r="L51" i="31"/>
  <c r="L55" i="31" s="1"/>
  <c r="L7" i="31" s="1"/>
  <c r="C51" i="31"/>
  <c r="C55" i="31" s="1"/>
  <c r="C7" i="31" s="1"/>
  <c r="G51" i="31"/>
  <c r="G55" i="31" s="1"/>
  <c r="G7" i="31" s="1"/>
  <c r="K51" i="31"/>
  <c r="K55" i="31" s="1"/>
  <c r="K7" i="31" s="1"/>
  <c r="D52" i="31"/>
  <c r="D56" i="31" s="1"/>
  <c r="D8" i="31" s="1"/>
  <c r="D13" i="31" s="1"/>
  <c r="H52" i="31"/>
  <c r="H56" i="31" s="1"/>
  <c r="H8" i="31" s="1"/>
  <c r="H13" i="31" s="1"/>
  <c r="L52" i="31"/>
  <c r="L56" i="31" s="1"/>
  <c r="L8" i="31" s="1"/>
  <c r="L13" i="31" s="1"/>
  <c r="M46" i="31"/>
  <c r="I9" i="31" l="1"/>
  <c r="I12" i="31"/>
  <c r="I14" i="31" s="1"/>
  <c r="F51" i="31"/>
  <c r="F55" i="31" s="1"/>
  <c r="F7" i="31" s="1"/>
  <c r="F9" i="31" s="1"/>
  <c r="E52" i="31"/>
  <c r="E56" i="31" s="1"/>
  <c r="E8" i="31" s="1"/>
  <c r="G12" i="31"/>
  <c r="G14" i="31" s="1"/>
  <c r="G9" i="31"/>
  <c r="C13" i="31"/>
  <c r="M8" i="31"/>
  <c r="C9" i="31"/>
  <c r="C12" i="31"/>
  <c r="M7" i="31"/>
  <c r="F12" i="31"/>
  <c r="F14" i="31" s="1"/>
  <c r="J12" i="31"/>
  <c r="J14" i="31" s="1"/>
  <c r="J9" i="31"/>
  <c r="M48" i="31"/>
  <c r="M52" i="31" s="1"/>
  <c r="M56" i="31" s="1"/>
  <c r="L9" i="31"/>
  <c r="L12" i="31"/>
  <c r="L14" i="31" s="1"/>
  <c r="I24" i="31"/>
  <c r="I16" i="31"/>
  <c r="I18" i="31"/>
  <c r="I17" i="31"/>
  <c r="K9" i="31"/>
  <c r="K12" i="31"/>
  <c r="K14" i="31" s="1"/>
  <c r="H12" i="31"/>
  <c r="H14" i="31" s="1"/>
  <c r="H9" i="31"/>
  <c r="D9" i="31"/>
  <c r="D12" i="31"/>
  <c r="D14" i="31" s="1"/>
  <c r="E13" i="31" l="1"/>
  <c r="E14" i="31" s="1"/>
  <c r="F24" i="31" s="1"/>
  <c r="E9" i="31"/>
  <c r="M51" i="31"/>
  <c r="M55" i="31" s="1"/>
  <c r="I19" i="31"/>
  <c r="D17" i="31"/>
  <c r="D16" i="31"/>
  <c r="D18" i="31"/>
  <c r="F17" i="31"/>
  <c r="F18" i="31"/>
  <c r="F16" i="31"/>
  <c r="L17" i="31"/>
  <c r="L24" i="31"/>
  <c r="L16" i="31"/>
  <c r="L18" i="31"/>
  <c r="M9" i="31"/>
  <c r="E24" i="31"/>
  <c r="H24" i="31"/>
  <c r="H16" i="31"/>
  <c r="H17" i="31"/>
  <c r="H18" i="31"/>
  <c r="J17" i="31"/>
  <c r="J18" i="31"/>
  <c r="J16" i="31"/>
  <c r="J24" i="31"/>
  <c r="C14" i="31"/>
  <c r="C17" i="31" s="1"/>
  <c r="M12" i="31"/>
  <c r="K18" i="31"/>
  <c r="K24" i="31"/>
  <c r="K16" i="31"/>
  <c r="K17" i="31"/>
  <c r="G18" i="31"/>
  <c r="G16" i="31"/>
  <c r="G24" i="31"/>
  <c r="G17" i="31"/>
  <c r="J19" i="31" l="1"/>
  <c r="M13" i="31"/>
  <c r="M14" i="31" s="1"/>
  <c r="I20" i="31"/>
  <c r="C10" i="46"/>
  <c r="E18" i="31"/>
  <c r="E16" i="31"/>
  <c r="E17" i="31"/>
  <c r="I21" i="31"/>
  <c r="J24" i="40"/>
  <c r="J32" i="40" s="1"/>
  <c r="J34" i="40" s="1"/>
  <c r="I22" i="31"/>
  <c r="D19" i="31"/>
  <c r="H19" i="31"/>
  <c r="G19" i="31"/>
  <c r="K19" i="31"/>
  <c r="C12" i="46" s="1"/>
  <c r="L19" i="31"/>
  <c r="C13" i="46" s="1"/>
  <c r="F19" i="31"/>
  <c r="J22" i="31"/>
  <c r="J20" i="31"/>
  <c r="C18" i="31"/>
  <c r="C16" i="31"/>
  <c r="C19" i="31" s="1"/>
  <c r="M17" i="31"/>
  <c r="D24" i="31"/>
  <c r="D24" i="40" l="1"/>
  <c r="D13" i="50" s="1"/>
  <c r="C5" i="46"/>
  <c r="K24" i="40"/>
  <c r="K32" i="40" s="1"/>
  <c r="K34" i="40" s="1"/>
  <c r="C11" i="46"/>
  <c r="C24" i="40"/>
  <c r="C4" i="46"/>
  <c r="J21" i="31"/>
  <c r="G21" i="31"/>
  <c r="C8" i="46"/>
  <c r="M18" i="31"/>
  <c r="F20" i="31"/>
  <c r="C7" i="46"/>
  <c r="H20" i="31"/>
  <c r="C9" i="46"/>
  <c r="E19" i="31"/>
  <c r="D29" i="40"/>
  <c r="H21" i="31"/>
  <c r="D22" i="31"/>
  <c r="L22" i="31"/>
  <c r="M24" i="40"/>
  <c r="M32" i="40" s="1"/>
  <c r="M34" i="40" s="1"/>
  <c r="D21" i="31"/>
  <c r="K20" i="31"/>
  <c r="L24" i="40"/>
  <c r="L32" i="40" s="1"/>
  <c r="L34" i="40" s="1"/>
  <c r="M16" i="31"/>
  <c r="D20" i="31"/>
  <c r="G20" i="31"/>
  <c r="H24" i="40"/>
  <c r="H32" i="40" s="1"/>
  <c r="H34" i="40" s="1"/>
  <c r="L21" i="31"/>
  <c r="F21" i="31"/>
  <c r="G24" i="40"/>
  <c r="G32" i="40" s="1"/>
  <c r="G34" i="40" s="1"/>
  <c r="H22" i="31"/>
  <c r="I24" i="40"/>
  <c r="I32" i="40" s="1"/>
  <c r="I34" i="40" s="1"/>
  <c r="G22" i="31"/>
  <c r="L20" i="31"/>
  <c r="K21" i="31"/>
  <c r="K22" i="31"/>
  <c r="F22" i="31"/>
  <c r="E24" i="40" l="1"/>
  <c r="C6" i="46"/>
  <c r="E22" i="31"/>
  <c r="E20" i="31"/>
  <c r="E21" i="31"/>
  <c r="C13" i="50"/>
  <c r="C29" i="40"/>
  <c r="D8" i="53"/>
  <c r="D15" i="50"/>
  <c r="D32" i="40"/>
  <c r="C22" i="31"/>
  <c r="M22" i="31" s="1"/>
  <c r="C20" i="31"/>
  <c r="M20" i="31" s="1"/>
  <c r="M19" i="31"/>
  <c r="C21" i="31"/>
  <c r="M21" i="31" s="1"/>
  <c r="C15" i="50" l="1"/>
  <c r="C8" i="53"/>
  <c r="E29" i="40"/>
  <c r="E32" i="40" s="1"/>
  <c r="E13" i="50"/>
  <c r="F13" i="50" s="1"/>
  <c r="F24" i="40"/>
  <c r="C32" i="40"/>
  <c r="D16" i="50"/>
  <c r="F29" i="40" l="1"/>
  <c r="C51" i="40"/>
  <c r="X24" i="40"/>
  <c r="C16" i="50"/>
  <c r="F32" i="40"/>
  <c r="E15" i="50"/>
  <c r="F15" i="50" s="1"/>
  <c r="E8" i="53"/>
  <c r="F8" i="53" s="1"/>
  <c r="F10" i="53" s="1"/>
  <c r="C79" i="25"/>
  <c r="D79" i="25"/>
  <c r="E79" i="25"/>
  <c r="F79" i="25"/>
  <c r="G79" i="25"/>
  <c r="H79" i="25"/>
  <c r="I79" i="25"/>
  <c r="J79" i="25"/>
  <c r="K79" i="25"/>
  <c r="L79" i="25"/>
  <c r="M79" i="25"/>
  <c r="N79" i="25"/>
  <c r="O79" i="25"/>
  <c r="P79" i="25"/>
  <c r="Q79" i="25"/>
  <c r="R79" i="25"/>
  <c r="S79" i="25"/>
  <c r="T79" i="25"/>
  <c r="U79" i="25"/>
  <c r="C80" i="25"/>
  <c r="D80" i="25"/>
  <c r="E80" i="25"/>
  <c r="F80" i="25"/>
  <c r="G80" i="25"/>
  <c r="H80" i="25"/>
  <c r="I80" i="25"/>
  <c r="J80" i="25"/>
  <c r="K80" i="25"/>
  <c r="L80" i="25"/>
  <c r="M80" i="25"/>
  <c r="N80" i="25"/>
  <c r="O80" i="25"/>
  <c r="P80" i="25"/>
  <c r="Q80" i="25"/>
  <c r="R80" i="25"/>
  <c r="S80" i="25"/>
  <c r="T80" i="25"/>
  <c r="U80" i="25"/>
  <c r="C89" i="25"/>
  <c r="D89" i="25"/>
  <c r="E89" i="25"/>
  <c r="F89" i="25"/>
  <c r="G89" i="25"/>
  <c r="H89" i="25"/>
  <c r="I89" i="25"/>
  <c r="J89" i="25"/>
  <c r="K89" i="25"/>
  <c r="L89" i="25"/>
  <c r="M89" i="25"/>
  <c r="N89" i="25"/>
  <c r="O89" i="25"/>
  <c r="P89" i="25"/>
  <c r="Q89" i="25"/>
  <c r="R89" i="25"/>
  <c r="S89" i="25"/>
  <c r="T89" i="25"/>
  <c r="U89" i="25"/>
  <c r="C90" i="25"/>
  <c r="D90" i="25"/>
  <c r="E90" i="25"/>
  <c r="F90" i="25"/>
  <c r="G90" i="25"/>
  <c r="H90" i="25"/>
  <c r="I90" i="25"/>
  <c r="J90" i="25"/>
  <c r="K90" i="25"/>
  <c r="L90" i="25"/>
  <c r="M90" i="25"/>
  <c r="N90" i="25"/>
  <c r="O90" i="25"/>
  <c r="P90" i="25"/>
  <c r="Q90" i="25"/>
  <c r="R90" i="25"/>
  <c r="S90" i="25"/>
  <c r="T90" i="25"/>
  <c r="U90" i="25"/>
  <c r="C94" i="25"/>
  <c r="D94" i="25"/>
  <c r="E94" i="25"/>
  <c r="F94" i="25"/>
  <c r="G94" i="25"/>
  <c r="H94" i="25"/>
  <c r="I94" i="25"/>
  <c r="J94" i="25"/>
  <c r="K94" i="25"/>
  <c r="L94" i="25"/>
  <c r="M94" i="25"/>
  <c r="N94" i="25"/>
  <c r="O94" i="25"/>
  <c r="P94" i="25"/>
  <c r="Q94" i="25"/>
  <c r="R94" i="25"/>
  <c r="S94" i="25"/>
  <c r="T94" i="25"/>
  <c r="U94" i="25"/>
  <c r="C95" i="25"/>
  <c r="D95" i="25"/>
  <c r="E95" i="25"/>
  <c r="F95" i="25"/>
  <c r="G95" i="25"/>
  <c r="H95" i="25"/>
  <c r="I95" i="25"/>
  <c r="J95" i="25"/>
  <c r="K95" i="25"/>
  <c r="L95" i="25"/>
  <c r="M95" i="25"/>
  <c r="N95" i="25"/>
  <c r="O95" i="25"/>
  <c r="P95" i="25"/>
  <c r="Q95" i="25"/>
  <c r="R95" i="25"/>
  <c r="S95" i="25"/>
  <c r="T95" i="25"/>
  <c r="U95" i="25"/>
  <c r="B95" i="25"/>
  <c r="B94" i="25"/>
  <c r="B90" i="25"/>
  <c r="B89" i="25"/>
  <c r="B80" i="25"/>
  <c r="B79" i="25"/>
  <c r="I95" i="13"/>
  <c r="E94" i="13"/>
  <c r="C94" i="19"/>
  <c r="D94" i="19"/>
  <c r="E94" i="19"/>
  <c r="F94" i="19"/>
  <c r="G94" i="19"/>
  <c r="H94" i="19"/>
  <c r="I94" i="19"/>
  <c r="J94" i="19"/>
  <c r="K94" i="19"/>
  <c r="L94" i="19"/>
  <c r="M94" i="19"/>
  <c r="N94" i="19"/>
  <c r="O94" i="19"/>
  <c r="P94" i="19"/>
  <c r="Q94" i="19"/>
  <c r="R94" i="19"/>
  <c r="S94" i="19"/>
  <c r="T94" i="19"/>
  <c r="U94" i="19"/>
  <c r="C95" i="19"/>
  <c r="D95" i="19"/>
  <c r="E95" i="19"/>
  <c r="F95" i="19"/>
  <c r="G95" i="19"/>
  <c r="H95" i="19"/>
  <c r="I95" i="19"/>
  <c r="J95" i="19"/>
  <c r="K95" i="19"/>
  <c r="L95" i="19"/>
  <c r="M95" i="19"/>
  <c r="N95" i="19"/>
  <c r="O95" i="19"/>
  <c r="P95" i="19"/>
  <c r="Q95" i="19"/>
  <c r="R95" i="19"/>
  <c r="S95" i="19"/>
  <c r="T95" i="19"/>
  <c r="U95" i="19"/>
  <c r="B95" i="19"/>
  <c r="B94" i="19"/>
  <c r="C89" i="19"/>
  <c r="D89" i="19"/>
  <c r="E89" i="19"/>
  <c r="F89" i="19"/>
  <c r="G89" i="19"/>
  <c r="H89" i="19"/>
  <c r="I89" i="19"/>
  <c r="J89" i="19"/>
  <c r="K89" i="19"/>
  <c r="L89" i="19"/>
  <c r="M89" i="19"/>
  <c r="N89" i="19"/>
  <c r="O89" i="19"/>
  <c r="P89" i="19"/>
  <c r="Q89" i="19"/>
  <c r="R89" i="19"/>
  <c r="S89" i="19"/>
  <c r="T89" i="19"/>
  <c r="U89" i="19"/>
  <c r="C90" i="19"/>
  <c r="D90" i="19"/>
  <c r="E90" i="19"/>
  <c r="F90" i="19"/>
  <c r="G90" i="19"/>
  <c r="H90" i="19"/>
  <c r="I90" i="19"/>
  <c r="J90" i="19"/>
  <c r="K90" i="19"/>
  <c r="L90" i="19"/>
  <c r="M90" i="19"/>
  <c r="N90" i="19"/>
  <c r="O90" i="19"/>
  <c r="P90" i="19"/>
  <c r="Q90" i="19"/>
  <c r="R90" i="19"/>
  <c r="S90" i="19"/>
  <c r="T90" i="19"/>
  <c r="U90" i="19"/>
  <c r="B90" i="19"/>
  <c r="B89" i="19"/>
  <c r="C79" i="19"/>
  <c r="D79" i="19"/>
  <c r="E79" i="19"/>
  <c r="F79" i="19"/>
  <c r="G79" i="19"/>
  <c r="H79" i="19"/>
  <c r="I79" i="19"/>
  <c r="J79" i="19"/>
  <c r="K79" i="19"/>
  <c r="L79" i="19"/>
  <c r="M79" i="19"/>
  <c r="N79" i="19"/>
  <c r="O79" i="19"/>
  <c r="P79" i="19"/>
  <c r="Q79" i="19"/>
  <c r="R79" i="19"/>
  <c r="S79" i="19"/>
  <c r="T79" i="19"/>
  <c r="U79" i="19"/>
  <c r="C80" i="19"/>
  <c r="D80" i="19"/>
  <c r="E80" i="19"/>
  <c r="F80" i="19"/>
  <c r="G80" i="19"/>
  <c r="H80" i="19"/>
  <c r="I80" i="19"/>
  <c r="J80" i="19"/>
  <c r="K80" i="19"/>
  <c r="L80" i="19"/>
  <c r="M80" i="19"/>
  <c r="N80" i="19"/>
  <c r="O80" i="19"/>
  <c r="P80" i="19"/>
  <c r="Q80" i="19"/>
  <c r="R80" i="19"/>
  <c r="S80" i="19"/>
  <c r="T80" i="19"/>
  <c r="U80" i="19"/>
  <c r="B80" i="19"/>
  <c r="B79" i="19"/>
  <c r="C95" i="13"/>
  <c r="D95" i="13"/>
  <c r="E95" i="13"/>
  <c r="F95" i="13"/>
  <c r="G95" i="13"/>
  <c r="H95" i="13"/>
  <c r="J95" i="13"/>
  <c r="K95" i="13"/>
  <c r="L95" i="13"/>
  <c r="M95" i="13"/>
  <c r="N95" i="13"/>
  <c r="O95" i="13"/>
  <c r="P95" i="13"/>
  <c r="Q95" i="13"/>
  <c r="R95" i="13"/>
  <c r="S95" i="13"/>
  <c r="T95" i="13"/>
  <c r="U95" i="13"/>
  <c r="B95" i="13"/>
  <c r="C90" i="13"/>
  <c r="D90" i="13"/>
  <c r="E90" i="13"/>
  <c r="F90" i="13"/>
  <c r="G90" i="13"/>
  <c r="H90" i="13"/>
  <c r="I90" i="13"/>
  <c r="J90" i="13"/>
  <c r="K90" i="13"/>
  <c r="L90" i="13"/>
  <c r="M90" i="13"/>
  <c r="N90" i="13"/>
  <c r="O90" i="13"/>
  <c r="P90" i="13"/>
  <c r="Q90" i="13"/>
  <c r="R90" i="13"/>
  <c r="S90" i="13"/>
  <c r="T90" i="13"/>
  <c r="U90" i="13"/>
  <c r="B90" i="13"/>
  <c r="C80" i="13"/>
  <c r="D80" i="13"/>
  <c r="E80" i="13"/>
  <c r="F80" i="13"/>
  <c r="G80" i="13"/>
  <c r="H80" i="13"/>
  <c r="I80" i="13"/>
  <c r="J80" i="13"/>
  <c r="K80" i="13"/>
  <c r="L80" i="13"/>
  <c r="M80" i="13"/>
  <c r="N80" i="13"/>
  <c r="O80" i="13"/>
  <c r="P80" i="13"/>
  <c r="Q80" i="13"/>
  <c r="R80" i="13"/>
  <c r="S80" i="13"/>
  <c r="T80" i="13"/>
  <c r="U80" i="13"/>
  <c r="B80" i="13"/>
  <c r="X32" i="40" l="1"/>
  <c r="X34" i="40" s="1"/>
  <c r="F34" i="40"/>
  <c r="E16" i="50"/>
  <c r="F16" i="50" s="1"/>
  <c r="F18" i="50" s="1"/>
  <c r="G55" i="40"/>
  <c r="G56" i="40" s="1"/>
  <c r="I54" i="40" s="1"/>
  <c r="C52" i="40"/>
  <c r="C28" i="7"/>
  <c r="D28" i="7"/>
  <c r="E28" i="7"/>
  <c r="F28" i="7"/>
  <c r="G28" i="7"/>
  <c r="H28" i="7"/>
  <c r="I28" i="7"/>
  <c r="J28" i="7"/>
  <c r="K28" i="7"/>
  <c r="L28" i="7"/>
  <c r="M28" i="7"/>
  <c r="N28" i="7"/>
  <c r="O28" i="7"/>
  <c r="P28" i="7"/>
  <c r="Q28" i="7"/>
  <c r="R28" i="7"/>
  <c r="S28" i="7"/>
  <c r="T28" i="7"/>
  <c r="U28" i="7"/>
  <c r="B28" i="7"/>
  <c r="I55" i="40" l="1"/>
  <c r="E50" i="40"/>
  <c r="E51" i="40"/>
  <c r="V48" i="5"/>
  <c r="V43" i="5"/>
  <c r="V24" i="4"/>
  <c r="V27" i="23" l="1"/>
  <c r="C28" i="23"/>
  <c r="D28" i="23"/>
  <c r="E28" i="23"/>
  <c r="F28" i="23"/>
  <c r="G28" i="23"/>
  <c r="H28" i="23"/>
  <c r="I28" i="23"/>
  <c r="J28" i="23"/>
  <c r="K28" i="23"/>
  <c r="L28" i="23"/>
  <c r="M28" i="23"/>
  <c r="N28" i="23"/>
  <c r="O28" i="23"/>
  <c r="P28" i="23"/>
  <c r="Q28" i="23"/>
  <c r="R28" i="23"/>
  <c r="S28" i="23"/>
  <c r="T28" i="23"/>
  <c r="U28" i="23"/>
  <c r="B28" i="23"/>
  <c r="C70" i="24"/>
  <c r="C84" i="25" s="1"/>
  <c r="D70" i="24"/>
  <c r="D84" i="25" s="1"/>
  <c r="E70" i="24"/>
  <c r="F70" i="24"/>
  <c r="F84" i="25" s="1"/>
  <c r="G70" i="24"/>
  <c r="G84" i="25" s="1"/>
  <c r="H70" i="24"/>
  <c r="H84" i="25" s="1"/>
  <c r="I70" i="24"/>
  <c r="J70" i="24"/>
  <c r="J84" i="25" s="1"/>
  <c r="K70" i="24"/>
  <c r="K84" i="25" s="1"/>
  <c r="L70" i="24"/>
  <c r="L84" i="25" s="1"/>
  <c r="M70" i="24"/>
  <c r="N70" i="24"/>
  <c r="N84" i="25" s="1"/>
  <c r="O70" i="24"/>
  <c r="O84" i="25" s="1"/>
  <c r="P70" i="24"/>
  <c r="P84" i="25" s="1"/>
  <c r="Q70" i="24"/>
  <c r="R70" i="24"/>
  <c r="R84" i="25" s="1"/>
  <c r="S70" i="24"/>
  <c r="S84" i="25" s="1"/>
  <c r="T70" i="24"/>
  <c r="T84" i="25" s="1"/>
  <c r="U70" i="24"/>
  <c r="C71" i="24"/>
  <c r="C85" i="25" s="1"/>
  <c r="D71" i="24"/>
  <c r="D85" i="25" s="1"/>
  <c r="E71" i="24"/>
  <c r="E85" i="25" s="1"/>
  <c r="F71" i="24"/>
  <c r="F85" i="25" s="1"/>
  <c r="G71" i="24"/>
  <c r="G85" i="25" s="1"/>
  <c r="H71" i="24"/>
  <c r="H85" i="25" s="1"/>
  <c r="I71" i="24"/>
  <c r="I85" i="25" s="1"/>
  <c r="J71" i="24"/>
  <c r="J85" i="25" s="1"/>
  <c r="K71" i="24"/>
  <c r="K85" i="25" s="1"/>
  <c r="L71" i="24"/>
  <c r="L85" i="25" s="1"/>
  <c r="M71" i="24"/>
  <c r="M85" i="25" s="1"/>
  <c r="N71" i="24"/>
  <c r="N85" i="25" s="1"/>
  <c r="O71" i="24"/>
  <c r="O85" i="25" s="1"/>
  <c r="P71" i="24"/>
  <c r="P85" i="25" s="1"/>
  <c r="Q71" i="24"/>
  <c r="Q85" i="25" s="1"/>
  <c r="R71" i="24"/>
  <c r="R85" i="25" s="1"/>
  <c r="S71" i="24"/>
  <c r="S85" i="25" s="1"/>
  <c r="T71" i="24"/>
  <c r="T85" i="25" s="1"/>
  <c r="U71" i="24"/>
  <c r="U85" i="25" s="1"/>
  <c r="D72" i="24"/>
  <c r="E72" i="24"/>
  <c r="F72" i="24"/>
  <c r="H72" i="24"/>
  <c r="I72" i="24"/>
  <c r="J72" i="24"/>
  <c r="L72" i="24"/>
  <c r="M72" i="24"/>
  <c r="N72" i="24"/>
  <c r="P72" i="24"/>
  <c r="Q72" i="24"/>
  <c r="R72" i="24"/>
  <c r="T72" i="24"/>
  <c r="U72" i="24"/>
  <c r="B71" i="24"/>
  <c r="B85" i="25" s="1"/>
  <c r="B70" i="24"/>
  <c r="B84" i="25" s="1"/>
  <c r="V66" i="24"/>
  <c r="C67" i="24"/>
  <c r="D67" i="24"/>
  <c r="E67" i="24"/>
  <c r="F67" i="24"/>
  <c r="G67" i="24"/>
  <c r="H67" i="24"/>
  <c r="I67" i="24"/>
  <c r="J67" i="24"/>
  <c r="K67" i="24"/>
  <c r="L67" i="24"/>
  <c r="M67" i="24"/>
  <c r="N67" i="24"/>
  <c r="O67" i="24"/>
  <c r="P67" i="24"/>
  <c r="Q67" i="24"/>
  <c r="R67" i="24"/>
  <c r="S67" i="24"/>
  <c r="T67" i="24"/>
  <c r="U67" i="24"/>
  <c r="B67" i="24"/>
  <c r="U62" i="24"/>
  <c r="T62" i="24"/>
  <c r="S62" i="24"/>
  <c r="R62" i="24"/>
  <c r="Q62" i="24"/>
  <c r="P62" i="24"/>
  <c r="O62" i="24"/>
  <c r="N62" i="24"/>
  <c r="M62" i="24"/>
  <c r="L62" i="24"/>
  <c r="K62" i="24"/>
  <c r="J62" i="24"/>
  <c r="I62" i="24"/>
  <c r="H62" i="24"/>
  <c r="G62" i="24"/>
  <c r="F62" i="24"/>
  <c r="E62" i="24"/>
  <c r="D62" i="24"/>
  <c r="C62" i="24"/>
  <c r="B62" i="24"/>
  <c r="V61" i="24"/>
  <c r="V71" i="24" s="1"/>
  <c r="V49" i="22"/>
  <c r="V48" i="22"/>
  <c r="U50" i="22"/>
  <c r="T50" i="22"/>
  <c r="S50" i="22"/>
  <c r="R50" i="22"/>
  <c r="Q50" i="22"/>
  <c r="P50" i="22"/>
  <c r="O50" i="22"/>
  <c r="N50" i="22"/>
  <c r="M50" i="22"/>
  <c r="L50" i="22"/>
  <c r="K50" i="22"/>
  <c r="J50" i="22"/>
  <c r="I50" i="22"/>
  <c r="H50" i="22"/>
  <c r="G50" i="22"/>
  <c r="F50" i="22"/>
  <c r="E50" i="22"/>
  <c r="D50" i="22"/>
  <c r="C50" i="22"/>
  <c r="B50" i="22"/>
  <c r="C45" i="22"/>
  <c r="D45" i="22"/>
  <c r="E45" i="22"/>
  <c r="F45" i="22"/>
  <c r="G45" i="22"/>
  <c r="H45" i="22"/>
  <c r="I45" i="22"/>
  <c r="J45" i="22"/>
  <c r="K45" i="22"/>
  <c r="L45" i="22"/>
  <c r="M45" i="22"/>
  <c r="N45" i="22"/>
  <c r="O45" i="22"/>
  <c r="P45" i="22"/>
  <c r="Q45" i="22"/>
  <c r="R45" i="22"/>
  <c r="S45" i="22"/>
  <c r="T45" i="22"/>
  <c r="U45" i="22"/>
  <c r="B45" i="22"/>
  <c r="V44" i="22"/>
  <c r="C26" i="21"/>
  <c r="D26" i="21"/>
  <c r="E26" i="21"/>
  <c r="F26" i="21"/>
  <c r="G26" i="21"/>
  <c r="H26" i="21"/>
  <c r="I26" i="21"/>
  <c r="J26" i="21"/>
  <c r="K26" i="21"/>
  <c r="L26" i="21"/>
  <c r="M26" i="21"/>
  <c r="N26" i="21"/>
  <c r="O26" i="21"/>
  <c r="P26" i="21"/>
  <c r="Q26" i="21"/>
  <c r="R26" i="21"/>
  <c r="S26" i="21"/>
  <c r="T26" i="21"/>
  <c r="U26" i="21"/>
  <c r="B26" i="21"/>
  <c r="V25" i="21"/>
  <c r="U84" i="25" l="1"/>
  <c r="Q84" i="25"/>
  <c r="M84" i="25"/>
  <c r="I84" i="25"/>
  <c r="E84" i="25"/>
  <c r="S72" i="24"/>
  <c r="S86" i="25" s="1"/>
  <c r="O72" i="24"/>
  <c r="K72" i="24"/>
  <c r="G72" i="24"/>
  <c r="C72" i="24"/>
  <c r="C86" i="25" s="1"/>
  <c r="B72" i="24"/>
  <c r="U81" i="25"/>
  <c r="U96" i="25"/>
  <c r="U86" i="25"/>
  <c r="U91" i="25"/>
  <c r="M81" i="25"/>
  <c r="M91" i="25"/>
  <c r="M96" i="25"/>
  <c r="M86" i="25"/>
  <c r="E81" i="25"/>
  <c r="E86" i="25"/>
  <c r="E91" i="25"/>
  <c r="E96" i="25"/>
  <c r="T81" i="25"/>
  <c r="T86" i="25"/>
  <c r="T91" i="25"/>
  <c r="T96" i="25"/>
  <c r="L81" i="25"/>
  <c r="L86" i="25"/>
  <c r="L91" i="25"/>
  <c r="L96" i="25"/>
  <c r="H81" i="25"/>
  <c r="H86" i="25"/>
  <c r="H91" i="25"/>
  <c r="H96" i="25"/>
  <c r="V85" i="25"/>
  <c r="V90" i="25"/>
  <c r="V80" i="25"/>
  <c r="V95" i="25"/>
  <c r="S81" i="25"/>
  <c r="S91" i="25"/>
  <c r="S96" i="25"/>
  <c r="O81" i="25"/>
  <c r="O86" i="25"/>
  <c r="O91" i="25"/>
  <c r="O96" i="25"/>
  <c r="K81" i="25"/>
  <c r="K86" i="25"/>
  <c r="K91" i="25"/>
  <c r="K96" i="25"/>
  <c r="G81" i="25"/>
  <c r="G86" i="25"/>
  <c r="G91" i="25"/>
  <c r="G96" i="25"/>
  <c r="C81" i="25"/>
  <c r="C91" i="25"/>
  <c r="C96" i="25"/>
  <c r="Q86" i="25"/>
  <c r="Q81" i="25"/>
  <c r="Q91" i="25"/>
  <c r="Q96" i="25"/>
  <c r="I86" i="25"/>
  <c r="I81" i="25"/>
  <c r="I91" i="25"/>
  <c r="I96" i="25"/>
  <c r="P81" i="25"/>
  <c r="P86" i="25"/>
  <c r="P91" i="25"/>
  <c r="P96" i="25"/>
  <c r="D81" i="25"/>
  <c r="D86" i="25"/>
  <c r="D91" i="25"/>
  <c r="D96" i="25"/>
  <c r="B96" i="25"/>
  <c r="B86" i="25"/>
  <c r="B91" i="25"/>
  <c r="B81" i="25"/>
  <c r="R86" i="25"/>
  <c r="R91" i="25"/>
  <c r="R96" i="25"/>
  <c r="R81" i="25"/>
  <c r="N81" i="25"/>
  <c r="N86" i="25"/>
  <c r="N91" i="25"/>
  <c r="N96" i="25"/>
  <c r="J86" i="25"/>
  <c r="J91" i="25"/>
  <c r="J96" i="25"/>
  <c r="J81" i="25"/>
  <c r="F81" i="25"/>
  <c r="F96" i="25"/>
  <c r="F86" i="25"/>
  <c r="F91" i="25"/>
  <c r="V50" i="22"/>
  <c r="V27" i="17" l="1"/>
  <c r="C28" i="17"/>
  <c r="D28" i="17"/>
  <c r="E28" i="17"/>
  <c r="F28" i="17"/>
  <c r="G28" i="17"/>
  <c r="H28" i="17"/>
  <c r="I28" i="17"/>
  <c r="J28" i="17"/>
  <c r="K28" i="17"/>
  <c r="L28" i="17"/>
  <c r="M28" i="17"/>
  <c r="N28" i="17"/>
  <c r="O28" i="17"/>
  <c r="P28" i="17"/>
  <c r="Q28" i="17"/>
  <c r="R28" i="17"/>
  <c r="S28" i="17"/>
  <c r="T28" i="17"/>
  <c r="U28" i="17"/>
  <c r="B28" i="17"/>
  <c r="C70" i="18"/>
  <c r="C84" i="19" s="1"/>
  <c r="D70" i="18"/>
  <c r="D84" i="19" s="1"/>
  <c r="E70" i="18"/>
  <c r="E84" i="19" s="1"/>
  <c r="F70" i="18"/>
  <c r="F84" i="19" s="1"/>
  <c r="G70" i="18"/>
  <c r="G84" i="19" s="1"/>
  <c r="H70" i="18"/>
  <c r="H84" i="19" s="1"/>
  <c r="I70" i="18"/>
  <c r="I84" i="19" s="1"/>
  <c r="J70" i="18"/>
  <c r="J84" i="19" s="1"/>
  <c r="K70" i="18"/>
  <c r="K84" i="19" s="1"/>
  <c r="L70" i="18"/>
  <c r="L84" i="19" s="1"/>
  <c r="M70" i="18"/>
  <c r="M84" i="19" s="1"/>
  <c r="N70" i="18"/>
  <c r="N84" i="19" s="1"/>
  <c r="O70" i="18"/>
  <c r="O84" i="19" s="1"/>
  <c r="P70" i="18"/>
  <c r="P84" i="19" s="1"/>
  <c r="Q70" i="18"/>
  <c r="Q84" i="19" s="1"/>
  <c r="R70" i="18"/>
  <c r="R84" i="19" s="1"/>
  <c r="S70" i="18"/>
  <c r="S84" i="19" s="1"/>
  <c r="T70" i="18"/>
  <c r="T84" i="19" s="1"/>
  <c r="U70" i="18"/>
  <c r="U84" i="19" s="1"/>
  <c r="C71" i="18"/>
  <c r="C85" i="19" s="1"/>
  <c r="D71" i="18"/>
  <c r="D85" i="19" s="1"/>
  <c r="E71" i="18"/>
  <c r="E85" i="19" s="1"/>
  <c r="F71" i="18"/>
  <c r="F85" i="19" s="1"/>
  <c r="G71" i="18"/>
  <c r="G85" i="19" s="1"/>
  <c r="H71" i="18"/>
  <c r="H85" i="19" s="1"/>
  <c r="I71" i="18"/>
  <c r="I85" i="19" s="1"/>
  <c r="J71" i="18"/>
  <c r="J85" i="19" s="1"/>
  <c r="K71" i="18"/>
  <c r="K85" i="19" s="1"/>
  <c r="L71" i="18"/>
  <c r="L85" i="19" s="1"/>
  <c r="M71" i="18"/>
  <c r="M85" i="19" s="1"/>
  <c r="N71" i="18"/>
  <c r="N85" i="19" s="1"/>
  <c r="O71" i="18"/>
  <c r="O85" i="19" s="1"/>
  <c r="P71" i="18"/>
  <c r="P85" i="19" s="1"/>
  <c r="Q71" i="18"/>
  <c r="Q85" i="19" s="1"/>
  <c r="R71" i="18"/>
  <c r="R85" i="19" s="1"/>
  <c r="S71" i="18"/>
  <c r="S85" i="19" s="1"/>
  <c r="T71" i="18"/>
  <c r="T85" i="19" s="1"/>
  <c r="U71" i="18"/>
  <c r="U85" i="19" s="1"/>
  <c r="F72" i="18"/>
  <c r="B71" i="18"/>
  <c r="B85" i="19" s="1"/>
  <c r="B70" i="18"/>
  <c r="B84" i="19" s="1"/>
  <c r="U67" i="18"/>
  <c r="T67" i="18"/>
  <c r="S67" i="18"/>
  <c r="R67" i="18"/>
  <c r="Q67" i="18"/>
  <c r="P67" i="18"/>
  <c r="O67" i="18"/>
  <c r="N67" i="18"/>
  <c r="M67" i="18"/>
  <c r="L67" i="18"/>
  <c r="K67" i="18"/>
  <c r="J67" i="18"/>
  <c r="I67" i="18"/>
  <c r="H67" i="18"/>
  <c r="G67" i="18"/>
  <c r="F67" i="18"/>
  <c r="E67" i="18"/>
  <c r="D67" i="18"/>
  <c r="C67" i="18"/>
  <c r="B67" i="18"/>
  <c r="V66" i="18"/>
  <c r="V65" i="18"/>
  <c r="V61" i="18"/>
  <c r="C62" i="18"/>
  <c r="D62" i="18"/>
  <c r="E62" i="18"/>
  <c r="F62" i="18"/>
  <c r="G62" i="18"/>
  <c r="H62" i="18"/>
  <c r="I62" i="18"/>
  <c r="J62" i="18"/>
  <c r="K62" i="18"/>
  <c r="L62" i="18"/>
  <c r="M62" i="18"/>
  <c r="N62" i="18"/>
  <c r="O62" i="18"/>
  <c r="P62" i="18"/>
  <c r="Q62" i="18"/>
  <c r="R62" i="18"/>
  <c r="S62" i="18"/>
  <c r="T62" i="18"/>
  <c r="U62" i="18"/>
  <c r="B62" i="18"/>
  <c r="U50" i="16"/>
  <c r="T50" i="16"/>
  <c r="S50" i="16"/>
  <c r="R50" i="16"/>
  <c r="Q50" i="16"/>
  <c r="P50" i="16"/>
  <c r="O50" i="16"/>
  <c r="N50" i="16"/>
  <c r="M50" i="16"/>
  <c r="L50" i="16"/>
  <c r="K50" i="16"/>
  <c r="J50" i="16"/>
  <c r="I50" i="16"/>
  <c r="H50" i="16"/>
  <c r="G50" i="16"/>
  <c r="F50" i="16"/>
  <c r="E50" i="16"/>
  <c r="D50" i="16"/>
  <c r="C50" i="16"/>
  <c r="B50" i="16"/>
  <c r="V49" i="16"/>
  <c r="V48" i="16"/>
  <c r="U45" i="16"/>
  <c r="T45" i="16"/>
  <c r="S45" i="16"/>
  <c r="R45" i="16"/>
  <c r="Q45" i="16"/>
  <c r="P45" i="16"/>
  <c r="O45" i="16"/>
  <c r="N45" i="16"/>
  <c r="M45" i="16"/>
  <c r="L45" i="16"/>
  <c r="K45" i="16"/>
  <c r="J45" i="16"/>
  <c r="I45" i="16"/>
  <c r="H45" i="16"/>
  <c r="G45" i="16"/>
  <c r="F45" i="16"/>
  <c r="E45" i="16"/>
  <c r="D45" i="16"/>
  <c r="C45" i="16"/>
  <c r="B45" i="16"/>
  <c r="V44" i="16"/>
  <c r="C26" i="15"/>
  <c r="D26" i="15"/>
  <c r="E26" i="15"/>
  <c r="F26" i="15"/>
  <c r="G26" i="15"/>
  <c r="H26" i="15"/>
  <c r="I26" i="15"/>
  <c r="J26" i="15"/>
  <c r="K26" i="15"/>
  <c r="L26" i="15"/>
  <c r="M26" i="15"/>
  <c r="N26" i="15"/>
  <c r="O26" i="15"/>
  <c r="P26" i="15"/>
  <c r="Q26" i="15"/>
  <c r="R26" i="15"/>
  <c r="S26" i="15"/>
  <c r="T26" i="15"/>
  <c r="U26" i="15"/>
  <c r="B26" i="15"/>
  <c r="V25" i="15"/>
  <c r="R72" i="18" l="1"/>
  <c r="R86" i="19" s="1"/>
  <c r="N72" i="18"/>
  <c r="N86" i="19" s="1"/>
  <c r="J72" i="18"/>
  <c r="U72" i="18"/>
  <c r="U86" i="19" s="1"/>
  <c r="Q72" i="18"/>
  <c r="Q86" i="19" s="1"/>
  <c r="M72" i="18"/>
  <c r="M86" i="19" s="1"/>
  <c r="I72" i="18"/>
  <c r="E72" i="18"/>
  <c r="E86" i="19" s="1"/>
  <c r="T72" i="18"/>
  <c r="P72" i="18"/>
  <c r="P86" i="19" s="1"/>
  <c r="L72" i="18"/>
  <c r="H72" i="18"/>
  <c r="H86" i="19" s="1"/>
  <c r="D72" i="18"/>
  <c r="D86" i="19" s="1"/>
  <c r="B72" i="18"/>
  <c r="B86" i="19" s="1"/>
  <c r="S72" i="18"/>
  <c r="O72" i="18"/>
  <c r="K72" i="18"/>
  <c r="G72" i="18"/>
  <c r="G86" i="19" s="1"/>
  <c r="C72" i="18"/>
  <c r="C86" i="19" s="1"/>
  <c r="O86" i="19"/>
  <c r="O91" i="19"/>
  <c r="O96" i="19"/>
  <c r="O81" i="19"/>
  <c r="C91" i="19"/>
  <c r="C96" i="19"/>
  <c r="C81" i="19"/>
  <c r="B81" i="19"/>
  <c r="B91" i="19"/>
  <c r="B96" i="19"/>
  <c r="U96" i="19"/>
  <c r="U91" i="19"/>
  <c r="U81" i="19"/>
  <c r="M96" i="19"/>
  <c r="M91" i="19"/>
  <c r="M81" i="19"/>
  <c r="T81" i="19"/>
  <c r="T86" i="19"/>
  <c r="T91" i="19"/>
  <c r="T96" i="19"/>
  <c r="P81" i="19"/>
  <c r="P96" i="19"/>
  <c r="P91" i="19"/>
  <c r="L81" i="19"/>
  <c r="L96" i="19"/>
  <c r="L86" i="19"/>
  <c r="L91" i="19"/>
  <c r="H81" i="19"/>
  <c r="H96" i="19"/>
  <c r="H91" i="19"/>
  <c r="D81" i="19"/>
  <c r="D91" i="19"/>
  <c r="D96" i="19"/>
  <c r="S86" i="19"/>
  <c r="S91" i="19"/>
  <c r="S81" i="19"/>
  <c r="S96" i="19"/>
  <c r="K86" i="19"/>
  <c r="K81" i="19"/>
  <c r="K91" i="19"/>
  <c r="K96" i="19"/>
  <c r="R91" i="19"/>
  <c r="R96" i="19"/>
  <c r="R81" i="19"/>
  <c r="N91" i="19"/>
  <c r="N96" i="19"/>
  <c r="N81" i="19"/>
  <c r="J91" i="19"/>
  <c r="J86" i="19"/>
  <c r="J96" i="19"/>
  <c r="J81" i="19"/>
  <c r="F91" i="19"/>
  <c r="F96" i="19"/>
  <c r="F86" i="19"/>
  <c r="F81" i="19"/>
  <c r="V90" i="19"/>
  <c r="V95" i="19"/>
  <c r="V80" i="19"/>
  <c r="G81" i="19"/>
  <c r="G91" i="19"/>
  <c r="G96" i="19"/>
  <c r="Q96" i="19"/>
  <c r="Q81" i="19"/>
  <c r="Q91" i="19"/>
  <c r="I96" i="19"/>
  <c r="I81" i="19"/>
  <c r="I86" i="19"/>
  <c r="I91" i="19"/>
  <c r="E96" i="19"/>
  <c r="E91" i="19"/>
  <c r="E81" i="19"/>
  <c r="V50" i="16"/>
  <c r="V71" i="18"/>
  <c r="V85" i="19" s="1"/>
  <c r="V67" i="18"/>
  <c r="V27" i="7" l="1"/>
  <c r="C70" i="6" l="1"/>
  <c r="D70" i="6"/>
  <c r="E70" i="6"/>
  <c r="F70" i="6"/>
  <c r="G70" i="6"/>
  <c r="H70" i="6"/>
  <c r="I70" i="6"/>
  <c r="J70" i="6"/>
  <c r="K70" i="6"/>
  <c r="L70" i="6"/>
  <c r="M70" i="6"/>
  <c r="N70" i="6"/>
  <c r="O70" i="6"/>
  <c r="P70" i="6"/>
  <c r="Q70" i="6"/>
  <c r="R70" i="6"/>
  <c r="S70" i="6"/>
  <c r="T70" i="6"/>
  <c r="U70" i="6"/>
  <c r="C71" i="6"/>
  <c r="D71" i="6"/>
  <c r="E71" i="6"/>
  <c r="E85" i="13" s="1"/>
  <c r="F71" i="6"/>
  <c r="F85" i="13" s="1"/>
  <c r="G71" i="6"/>
  <c r="H71" i="6"/>
  <c r="I71" i="6"/>
  <c r="I85" i="13" s="1"/>
  <c r="J71" i="6"/>
  <c r="J85" i="13" s="1"/>
  <c r="K71" i="6"/>
  <c r="L71" i="6"/>
  <c r="M71" i="6"/>
  <c r="M85" i="13" s="1"/>
  <c r="N71" i="6"/>
  <c r="N85" i="13" s="1"/>
  <c r="O71" i="6"/>
  <c r="P71" i="6"/>
  <c r="Q71" i="6"/>
  <c r="Q85" i="13" s="1"/>
  <c r="R71" i="6"/>
  <c r="R85" i="13" s="1"/>
  <c r="S71" i="6"/>
  <c r="T71" i="6"/>
  <c r="U71" i="6"/>
  <c r="U85" i="13" s="1"/>
  <c r="B71" i="6"/>
  <c r="B85" i="13" s="1"/>
  <c r="B70" i="6"/>
  <c r="U67" i="6"/>
  <c r="T67" i="6"/>
  <c r="S67" i="6"/>
  <c r="R67" i="6"/>
  <c r="Q67" i="6"/>
  <c r="P67" i="6"/>
  <c r="O67" i="6"/>
  <c r="N67" i="6"/>
  <c r="M67" i="6"/>
  <c r="L67" i="6"/>
  <c r="K67" i="6"/>
  <c r="J67" i="6"/>
  <c r="I67" i="6"/>
  <c r="H67" i="6"/>
  <c r="G67" i="6"/>
  <c r="F67" i="6"/>
  <c r="E67" i="6"/>
  <c r="D67" i="6"/>
  <c r="C67" i="6"/>
  <c r="B67" i="6"/>
  <c r="V66" i="6"/>
  <c r="V65" i="6"/>
  <c r="V67" i="6" s="1"/>
  <c r="V61" i="6"/>
  <c r="C62" i="6"/>
  <c r="D62" i="6"/>
  <c r="E62" i="6"/>
  <c r="F62" i="6"/>
  <c r="G62" i="6"/>
  <c r="H62" i="6"/>
  <c r="I62" i="6"/>
  <c r="J62" i="6"/>
  <c r="K62" i="6"/>
  <c r="L62" i="6"/>
  <c r="M62" i="6"/>
  <c r="N62" i="6"/>
  <c r="O62" i="6"/>
  <c r="P62" i="6"/>
  <c r="Q62" i="6"/>
  <c r="R62" i="6"/>
  <c r="S62" i="6"/>
  <c r="T62" i="6"/>
  <c r="U62" i="6"/>
  <c r="B62" i="6"/>
  <c r="U50" i="5"/>
  <c r="T50" i="5"/>
  <c r="S50" i="5"/>
  <c r="R50" i="5"/>
  <c r="Q50" i="5"/>
  <c r="P50" i="5"/>
  <c r="O50" i="5"/>
  <c r="N50" i="5"/>
  <c r="M50" i="5"/>
  <c r="L50" i="5"/>
  <c r="K50" i="5"/>
  <c r="J50" i="5"/>
  <c r="I50" i="5"/>
  <c r="H50" i="5"/>
  <c r="G50" i="5"/>
  <c r="F50" i="5"/>
  <c r="E50" i="5"/>
  <c r="D50" i="5"/>
  <c r="C50" i="5"/>
  <c r="B50" i="5"/>
  <c r="C45" i="5"/>
  <c r="D45" i="5"/>
  <c r="E45" i="5"/>
  <c r="F45" i="5"/>
  <c r="G45" i="5"/>
  <c r="H45" i="5"/>
  <c r="I45" i="5"/>
  <c r="J45" i="5"/>
  <c r="K45" i="5"/>
  <c r="L45" i="5"/>
  <c r="M45" i="5"/>
  <c r="N45" i="5"/>
  <c r="O45" i="5"/>
  <c r="P45" i="5"/>
  <c r="Q45" i="5"/>
  <c r="R45" i="5"/>
  <c r="S45" i="5"/>
  <c r="T45" i="5"/>
  <c r="U45" i="5"/>
  <c r="B45" i="5"/>
  <c r="C26" i="4"/>
  <c r="D26" i="4"/>
  <c r="E26" i="4"/>
  <c r="F26" i="4"/>
  <c r="G26" i="4"/>
  <c r="H26" i="4"/>
  <c r="I26" i="4"/>
  <c r="J26" i="4"/>
  <c r="K26" i="4"/>
  <c r="L26" i="4"/>
  <c r="M26" i="4"/>
  <c r="N26" i="4"/>
  <c r="O26" i="4"/>
  <c r="P26" i="4"/>
  <c r="Q26" i="4"/>
  <c r="R26" i="4"/>
  <c r="S26" i="4"/>
  <c r="T26" i="4"/>
  <c r="U26" i="4"/>
  <c r="B26" i="4"/>
  <c r="V49" i="5"/>
  <c r="V50" i="5" s="1"/>
  <c r="V44" i="5"/>
  <c r="V45" i="5" s="1"/>
  <c r="V25" i="4"/>
  <c r="V26" i="4" s="1"/>
  <c r="I72" i="6" l="1"/>
  <c r="E72" i="6"/>
  <c r="E86" i="13" s="1"/>
  <c r="J72" i="6"/>
  <c r="J86" i="13" s="1"/>
  <c r="F72" i="6"/>
  <c r="F86" i="13" s="1"/>
  <c r="S72" i="6"/>
  <c r="S86" i="13" s="1"/>
  <c r="S85" i="13"/>
  <c r="O72" i="6"/>
  <c r="O86" i="13" s="1"/>
  <c r="O85" i="13"/>
  <c r="K72" i="6"/>
  <c r="K86" i="13" s="1"/>
  <c r="K85" i="13"/>
  <c r="G72" i="6"/>
  <c r="G86" i="13" s="1"/>
  <c r="G85" i="13"/>
  <c r="C72" i="6"/>
  <c r="C86" i="13" s="1"/>
  <c r="C85" i="13"/>
  <c r="U72" i="6"/>
  <c r="U86" i="13" s="1"/>
  <c r="Q72" i="6"/>
  <c r="Q86" i="13" s="1"/>
  <c r="M72" i="6"/>
  <c r="M86" i="13" s="1"/>
  <c r="N72" i="6"/>
  <c r="N86" i="13" s="1"/>
  <c r="V71" i="6"/>
  <c r="V85" i="13" s="1"/>
  <c r="R72" i="6"/>
  <c r="R86" i="13" s="1"/>
  <c r="T72" i="6"/>
  <c r="T85" i="13"/>
  <c r="P72" i="6"/>
  <c r="P86" i="13" s="1"/>
  <c r="P85" i="13"/>
  <c r="L72" i="6"/>
  <c r="L86" i="13" s="1"/>
  <c r="L85" i="13"/>
  <c r="H72" i="6"/>
  <c r="H86" i="13" s="1"/>
  <c r="H85" i="13"/>
  <c r="D72" i="6"/>
  <c r="D86" i="13" s="1"/>
  <c r="D85" i="13"/>
  <c r="V96" i="13"/>
  <c r="V91" i="13"/>
  <c r="N96" i="13"/>
  <c r="N91" i="13"/>
  <c r="N81" i="13"/>
  <c r="B96" i="13"/>
  <c r="B91" i="13"/>
  <c r="B81" i="13"/>
  <c r="S96" i="13"/>
  <c r="S91" i="13"/>
  <c r="S81" i="13"/>
  <c r="O96" i="13"/>
  <c r="O91" i="13"/>
  <c r="O81" i="13"/>
  <c r="K96" i="13"/>
  <c r="K91" i="13"/>
  <c r="K81" i="13"/>
  <c r="G96" i="13"/>
  <c r="G91" i="13"/>
  <c r="G81" i="13"/>
  <c r="C96" i="13"/>
  <c r="C91" i="13"/>
  <c r="C81" i="13"/>
  <c r="J96" i="13"/>
  <c r="J91" i="13"/>
  <c r="J81" i="13"/>
  <c r="Q91" i="13"/>
  <c r="Q96" i="13"/>
  <c r="Q81" i="13"/>
  <c r="M81" i="13"/>
  <c r="M91" i="13"/>
  <c r="M96" i="13"/>
  <c r="I91" i="13"/>
  <c r="I96" i="13"/>
  <c r="I86" i="13"/>
  <c r="I81" i="13"/>
  <c r="E81" i="13"/>
  <c r="E91" i="13"/>
  <c r="E96" i="13"/>
  <c r="V95" i="13"/>
  <c r="V90" i="13"/>
  <c r="V80" i="13"/>
  <c r="R96" i="13"/>
  <c r="R91" i="13"/>
  <c r="R81" i="13"/>
  <c r="F96" i="13"/>
  <c r="F91" i="13"/>
  <c r="F81" i="13"/>
  <c r="U91" i="13"/>
  <c r="U96" i="13"/>
  <c r="U81" i="13"/>
  <c r="T91" i="13"/>
  <c r="T81" i="13"/>
  <c r="T96" i="13"/>
  <c r="T86" i="13"/>
  <c r="P91" i="13"/>
  <c r="P81" i="13"/>
  <c r="P96" i="13"/>
  <c r="L91" i="13"/>
  <c r="L81" i="13"/>
  <c r="L96" i="13"/>
  <c r="H91" i="13"/>
  <c r="H81" i="13"/>
  <c r="H96" i="13"/>
  <c r="D91" i="13"/>
  <c r="D81" i="13"/>
  <c r="D96" i="13"/>
  <c r="B72" i="6"/>
  <c r="B86" i="13" s="1"/>
  <c r="C12" i="17"/>
  <c r="C32" i="17" s="1"/>
  <c r="D12" i="17"/>
  <c r="D32" i="17" s="1"/>
  <c r="E12" i="17"/>
  <c r="E32" i="17" s="1"/>
  <c r="F12" i="17"/>
  <c r="F32" i="17" s="1"/>
  <c r="G12" i="17"/>
  <c r="G32" i="17" s="1"/>
  <c r="H12" i="17"/>
  <c r="H32" i="17" s="1"/>
  <c r="I12" i="17"/>
  <c r="I32" i="17" s="1"/>
  <c r="J12" i="17"/>
  <c r="J32" i="17" s="1"/>
  <c r="K12" i="17"/>
  <c r="K32" i="17" s="1"/>
  <c r="L12" i="17"/>
  <c r="L32" i="17" s="1"/>
  <c r="M12" i="17"/>
  <c r="M32" i="17" s="1"/>
  <c r="N12" i="17"/>
  <c r="N32" i="17" s="1"/>
  <c r="O12" i="17"/>
  <c r="O32" i="17" s="1"/>
  <c r="P12" i="17"/>
  <c r="P32" i="17" s="1"/>
  <c r="Q12" i="17"/>
  <c r="Q32" i="17" s="1"/>
  <c r="R12" i="17"/>
  <c r="R32" i="17" s="1"/>
  <c r="S12" i="17"/>
  <c r="S32" i="17" s="1"/>
  <c r="T12" i="17"/>
  <c r="T32" i="17" s="1"/>
  <c r="U12" i="17"/>
  <c r="U32" i="17" s="1"/>
  <c r="B12" i="17"/>
  <c r="B32" i="17" s="1"/>
  <c r="D18" i="16" l="1"/>
  <c r="D54" i="16" s="1"/>
  <c r="E18" i="16"/>
  <c r="E54" i="16" s="1"/>
  <c r="F18" i="16"/>
  <c r="F54" i="16" s="1"/>
  <c r="G18" i="16"/>
  <c r="G54" i="16" s="1"/>
  <c r="H18" i="16"/>
  <c r="H54" i="16" s="1"/>
  <c r="I18" i="16"/>
  <c r="I54" i="16" s="1"/>
  <c r="J18" i="16"/>
  <c r="J54" i="16" s="1"/>
  <c r="K18" i="16"/>
  <c r="K54" i="16" s="1"/>
  <c r="L18" i="16"/>
  <c r="L54" i="16" s="1"/>
  <c r="M18" i="16"/>
  <c r="M54" i="16" s="1"/>
  <c r="N18" i="16"/>
  <c r="N54" i="16" s="1"/>
  <c r="O18" i="16"/>
  <c r="O54" i="16" s="1"/>
  <c r="P18" i="16"/>
  <c r="P54" i="16" s="1"/>
  <c r="Q18" i="16"/>
  <c r="Q54" i="16" s="1"/>
  <c r="R18" i="16"/>
  <c r="R54" i="16" s="1"/>
  <c r="S18" i="16"/>
  <c r="S54" i="16" s="1"/>
  <c r="T18" i="16"/>
  <c r="T54" i="16" s="1"/>
  <c r="U18" i="16"/>
  <c r="U54" i="16" s="1"/>
  <c r="V17" i="4" l="1"/>
  <c r="V16" i="4"/>
  <c r="V15" i="4"/>
  <c r="V7" i="4"/>
  <c r="V8" i="4"/>
  <c r="V9" i="4"/>
  <c r="V10" i="4"/>
  <c r="V11" i="4"/>
  <c r="V6" i="4"/>
  <c r="C12" i="23" l="1"/>
  <c r="C32" i="23" s="1"/>
  <c r="D12" i="23"/>
  <c r="D32" i="23" s="1"/>
  <c r="E12" i="23"/>
  <c r="E32" i="23" s="1"/>
  <c r="F12" i="23"/>
  <c r="F32" i="23" s="1"/>
  <c r="G12" i="23"/>
  <c r="G32" i="23" s="1"/>
  <c r="H12" i="23"/>
  <c r="H32" i="23" s="1"/>
  <c r="I12" i="23"/>
  <c r="I32" i="23" s="1"/>
  <c r="J12" i="23"/>
  <c r="J32" i="23" s="1"/>
  <c r="K12" i="23"/>
  <c r="K32" i="23" s="1"/>
  <c r="L12" i="23"/>
  <c r="L32" i="23" s="1"/>
  <c r="M12" i="23"/>
  <c r="M32" i="23" s="1"/>
  <c r="N12" i="23"/>
  <c r="N32" i="23" s="1"/>
  <c r="O12" i="23"/>
  <c r="O32" i="23" s="1"/>
  <c r="P12" i="23"/>
  <c r="P32" i="23" s="1"/>
  <c r="Q12" i="23"/>
  <c r="Q32" i="23" s="1"/>
  <c r="R12" i="23"/>
  <c r="R32" i="23" s="1"/>
  <c r="S12" i="23"/>
  <c r="S32" i="23" s="1"/>
  <c r="T12" i="23"/>
  <c r="T32" i="23" s="1"/>
  <c r="U12" i="23"/>
  <c r="U32" i="23" s="1"/>
  <c r="B12" i="23"/>
  <c r="B32" i="23" s="1"/>
  <c r="V6" i="23"/>
  <c r="U36" i="22" l="1"/>
  <c r="U58" i="22" s="1"/>
  <c r="T36" i="22"/>
  <c r="T58" i="22" s="1"/>
  <c r="S36" i="22"/>
  <c r="S58" i="22" s="1"/>
  <c r="R36" i="22"/>
  <c r="R58" i="22" s="1"/>
  <c r="Q36" i="22"/>
  <c r="Q58" i="22" s="1"/>
  <c r="P36" i="22"/>
  <c r="P58" i="22" s="1"/>
  <c r="O36" i="22"/>
  <c r="O58" i="22" s="1"/>
  <c r="N36" i="22"/>
  <c r="N58" i="22" s="1"/>
  <c r="M36" i="22"/>
  <c r="M58" i="22" s="1"/>
  <c r="L36" i="22"/>
  <c r="L58" i="22" s="1"/>
  <c r="K36" i="22"/>
  <c r="K58" i="22" s="1"/>
  <c r="J36" i="22"/>
  <c r="J58" i="22" s="1"/>
  <c r="I36" i="22"/>
  <c r="I58" i="22" s="1"/>
  <c r="H36" i="22"/>
  <c r="H58" i="22" s="1"/>
  <c r="G36" i="22"/>
  <c r="G58" i="22" s="1"/>
  <c r="F36" i="22"/>
  <c r="F58" i="22" s="1"/>
  <c r="E36" i="22"/>
  <c r="E58" i="22" s="1"/>
  <c r="D36" i="22"/>
  <c r="D58" i="22" s="1"/>
  <c r="C36" i="22"/>
  <c r="C58" i="22" s="1"/>
  <c r="B36" i="22"/>
  <c r="B58" i="22" s="1"/>
  <c r="U30" i="22"/>
  <c r="U57" i="22" s="1"/>
  <c r="T30" i="22"/>
  <c r="T57" i="22" s="1"/>
  <c r="S30" i="22"/>
  <c r="S57" i="22" s="1"/>
  <c r="R30" i="22"/>
  <c r="Q30" i="22"/>
  <c r="Q57" i="22" s="1"/>
  <c r="P30" i="22"/>
  <c r="P57" i="22" s="1"/>
  <c r="O30" i="22"/>
  <c r="O57" i="22" s="1"/>
  <c r="N30" i="22"/>
  <c r="N57" i="22" s="1"/>
  <c r="M30" i="22"/>
  <c r="M57" i="22" s="1"/>
  <c r="L30" i="22"/>
  <c r="L57" i="22" s="1"/>
  <c r="K30" i="22"/>
  <c r="K57" i="22" s="1"/>
  <c r="J30" i="22"/>
  <c r="I30" i="22"/>
  <c r="I57" i="22" s="1"/>
  <c r="H30" i="22"/>
  <c r="H57" i="22" s="1"/>
  <c r="G30" i="22"/>
  <c r="G57" i="22" s="1"/>
  <c r="F30" i="22"/>
  <c r="E30" i="22"/>
  <c r="E57" i="22" s="1"/>
  <c r="D30" i="22"/>
  <c r="D57" i="22" s="1"/>
  <c r="C30" i="22"/>
  <c r="C57" i="22" s="1"/>
  <c r="B30" i="22"/>
  <c r="B38" i="22" l="1"/>
  <c r="B57" i="22"/>
  <c r="F38" i="22"/>
  <c r="F57" i="22"/>
  <c r="J38" i="22"/>
  <c r="J57" i="22"/>
  <c r="R38" i="22"/>
  <c r="R57" i="22"/>
  <c r="N38" i="22"/>
  <c r="E38" i="22"/>
  <c r="I38" i="22"/>
  <c r="M38" i="22"/>
  <c r="Q38" i="22"/>
  <c r="U38" i="22"/>
  <c r="C38" i="22"/>
  <c r="G38" i="22"/>
  <c r="K38" i="22"/>
  <c r="O38" i="22"/>
  <c r="S38" i="22"/>
  <c r="D38" i="22"/>
  <c r="H38" i="22"/>
  <c r="L38" i="22"/>
  <c r="P38" i="22"/>
  <c r="T38" i="22"/>
  <c r="U36" i="16"/>
  <c r="U58" i="16" s="1"/>
  <c r="T36" i="16"/>
  <c r="T58" i="16" s="1"/>
  <c r="S36" i="16"/>
  <c r="S58" i="16" s="1"/>
  <c r="R36" i="16"/>
  <c r="R58" i="16" s="1"/>
  <c r="Q36" i="16"/>
  <c r="Q58" i="16" s="1"/>
  <c r="P36" i="16"/>
  <c r="P58" i="16" s="1"/>
  <c r="O36" i="16"/>
  <c r="O58" i="16" s="1"/>
  <c r="N36" i="16"/>
  <c r="N58" i="16" s="1"/>
  <c r="M36" i="16"/>
  <c r="M58" i="16" s="1"/>
  <c r="L36" i="16"/>
  <c r="L58" i="16" s="1"/>
  <c r="K36" i="16"/>
  <c r="K58" i="16" s="1"/>
  <c r="J36" i="16"/>
  <c r="J58" i="16" s="1"/>
  <c r="I36" i="16"/>
  <c r="I58" i="16" s="1"/>
  <c r="H36" i="16"/>
  <c r="H58" i="16" s="1"/>
  <c r="G36" i="16"/>
  <c r="G58" i="16" s="1"/>
  <c r="F36" i="16"/>
  <c r="F58" i="16" s="1"/>
  <c r="E36" i="16"/>
  <c r="E58" i="16" s="1"/>
  <c r="D36" i="16"/>
  <c r="D58" i="16" s="1"/>
  <c r="C36" i="16"/>
  <c r="C58" i="16" s="1"/>
  <c r="B36" i="16"/>
  <c r="B58" i="16" s="1"/>
  <c r="U30" i="16"/>
  <c r="U57" i="16" s="1"/>
  <c r="T30" i="16"/>
  <c r="T57" i="16" s="1"/>
  <c r="S30" i="16"/>
  <c r="S57" i="16" s="1"/>
  <c r="R30" i="16"/>
  <c r="Q30" i="16"/>
  <c r="Q57" i="16" s="1"/>
  <c r="P30" i="16"/>
  <c r="P57" i="16" s="1"/>
  <c r="O30" i="16"/>
  <c r="O57" i="16" s="1"/>
  <c r="N30" i="16"/>
  <c r="N57" i="16" s="1"/>
  <c r="M30" i="16"/>
  <c r="M57" i="16" s="1"/>
  <c r="L30" i="16"/>
  <c r="L57" i="16" s="1"/>
  <c r="K30" i="16"/>
  <c r="K57" i="16" s="1"/>
  <c r="J30" i="16"/>
  <c r="I30" i="16"/>
  <c r="I57" i="16" s="1"/>
  <c r="H30" i="16"/>
  <c r="H57" i="16" s="1"/>
  <c r="G30" i="16"/>
  <c r="G57" i="16" s="1"/>
  <c r="F30" i="16"/>
  <c r="E30" i="16"/>
  <c r="E57" i="16" s="1"/>
  <c r="D30" i="16"/>
  <c r="D57" i="16" s="1"/>
  <c r="C30" i="16"/>
  <c r="C57" i="16" s="1"/>
  <c r="B30" i="16"/>
  <c r="V35" i="16"/>
  <c r="V34" i="16"/>
  <c r="V33" i="16"/>
  <c r="V36" i="16" s="1"/>
  <c r="V58" i="16" s="1"/>
  <c r="V17" i="16"/>
  <c r="V16" i="16"/>
  <c r="V15" i="16"/>
  <c r="V29" i="16"/>
  <c r="V28" i="16"/>
  <c r="V27" i="16"/>
  <c r="V26" i="16"/>
  <c r="V25" i="16"/>
  <c r="V24" i="16"/>
  <c r="V7" i="16"/>
  <c r="V8" i="16"/>
  <c r="V9" i="16"/>
  <c r="V10" i="16"/>
  <c r="V11" i="16"/>
  <c r="V6" i="16"/>
  <c r="V17" i="15"/>
  <c r="V16" i="15"/>
  <c r="V15" i="15"/>
  <c r="V7" i="15"/>
  <c r="V8" i="15"/>
  <c r="V9" i="15"/>
  <c r="V10" i="15"/>
  <c r="V11" i="15"/>
  <c r="V6" i="15"/>
  <c r="B38" i="16" l="1"/>
  <c r="B57" i="16"/>
  <c r="F38" i="16"/>
  <c r="F57" i="16"/>
  <c r="J38" i="16"/>
  <c r="J57" i="16"/>
  <c r="R38" i="16"/>
  <c r="R57" i="16"/>
  <c r="V18" i="16"/>
  <c r="V54" i="16" s="1"/>
  <c r="V30" i="16"/>
  <c r="V57" i="16" s="1"/>
  <c r="N38" i="16"/>
  <c r="V38" i="16"/>
  <c r="E38" i="16"/>
  <c r="I38" i="16"/>
  <c r="M38" i="16"/>
  <c r="Q38" i="16"/>
  <c r="U38" i="16"/>
  <c r="C38" i="16"/>
  <c r="G38" i="16"/>
  <c r="K38" i="16"/>
  <c r="O38" i="16"/>
  <c r="S38" i="16"/>
  <c r="D38" i="16"/>
  <c r="H38" i="16"/>
  <c r="L38" i="16"/>
  <c r="P38" i="16"/>
  <c r="T38" i="16"/>
  <c r="V26" i="23"/>
  <c r="V28" i="23" l="1"/>
  <c r="V26" i="17"/>
  <c r="V28" i="17" l="1"/>
  <c r="V26" i="7"/>
  <c r="V28" i="7" l="1"/>
  <c r="C36" i="5"/>
  <c r="C58" i="5" s="1"/>
  <c r="D36" i="5"/>
  <c r="D58" i="5" s="1"/>
  <c r="E36" i="5"/>
  <c r="E58" i="5" s="1"/>
  <c r="F36" i="5"/>
  <c r="F58" i="5" s="1"/>
  <c r="G36" i="5"/>
  <c r="G58" i="5" s="1"/>
  <c r="H36" i="5"/>
  <c r="H58" i="5" s="1"/>
  <c r="I36" i="5"/>
  <c r="I58" i="5" s="1"/>
  <c r="J36" i="5"/>
  <c r="J58" i="5" s="1"/>
  <c r="K36" i="5"/>
  <c r="K58" i="5" s="1"/>
  <c r="L36" i="5"/>
  <c r="L58" i="5" s="1"/>
  <c r="M36" i="5"/>
  <c r="M58" i="5" s="1"/>
  <c r="N36" i="5"/>
  <c r="N58" i="5" s="1"/>
  <c r="O36" i="5"/>
  <c r="O58" i="5" s="1"/>
  <c r="P36" i="5"/>
  <c r="P58" i="5" s="1"/>
  <c r="Q36" i="5"/>
  <c r="Q58" i="5" s="1"/>
  <c r="R36" i="5"/>
  <c r="R58" i="5" s="1"/>
  <c r="S36" i="5"/>
  <c r="S58" i="5" s="1"/>
  <c r="T36" i="5"/>
  <c r="T58" i="5" s="1"/>
  <c r="U36" i="5"/>
  <c r="U58" i="5" s="1"/>
  <c r="C30" i="5"/>
  <c r="C57" i="5" s="1"/>
  <c r="D30" i="5"/>
  <c r="D57" i="5" s="1"/>
  <c r="E30" i="5"/>
  <c r="E57" i="5" s="1"/>
  <c r="F30" i="5"/>
  <c r="F57" i="5" s="1"/>
  <c r="G30" i="5"/>
  <c r="G57" i="5" s="1"/>
  <c r="H30" i="5"/>
  <c r="H57" i="5" s="1"/>
  <c r="I30" i="5"/>
  <c r="I57" i="5" s="1"/>
  <c r="J30" i="5"/>
  <c r="J57" i="5" s="1"/>
  <c r="K30" i="5"/>
  <c r="K57" i="5" s="1"/>
  <c r="L30" i="5"/>
  <c r="L57" i="5" s="1"/>
  <c r="M30" i="5"/>
  <c r="M57" i="5" s="1"/>
  <c r="N30" i="5"/>
  <c r="N57" i="5" s="1"/>
  <c r="O30" i="5"/>
  <c r="O57" i="5" s="1"/>
  <c r="P30" i="5"/>
  <c r="P57" i="5" s="1"/>
  <c r="Q30" i="5"/>
  <c r="Q57" i="5" s="1"/>
  <c r="R30" i="5"/>
  <c r="R57" i="5" s="1"/>
  <c r="S30" i="5"/>
  <c r="S57" i="5" s="1"/>
  <c r="T30" i="5"/>
  <c r="T57" i="5" s="1"/>
  <c r="U30" i="5"/>
  <c r="U57" i="5" s="1"/>
  <c r="B36" i="5"/>
  <c r="B58" i="5" s="1"/>
  <c r="B30" i="5"/>
  <c r="B57" i="5" s="1"/>
  <c r="S38" i="5" l="1"/>
  <c r="O38" i="5"/>
  <c r="K38" i="5"/>
  <c r="G38" i="5"/>
  <c r="C38" i="5"/>
  <c r="B38" i="5"/>
  <c r="T38" i="5"/>
  <c r="P38" i="5"/>
  <c r="L38" i="5"/>
  <c r="H38" i="5"/>
  <c r="D38" i="5"/>
  <c r="R38" i="5"/>
  <c r="N38" i="5"/>
  <c r="F38" i="5"/>
  <c r="U38" i="5"/>
  <c r="Q38" i="5"/>
  <c r="M38" i="5"/>
  <c r="I38" i="5"/>
  <c r="E38" i="5"/>
  <c r="J38" i="5"/>
  <c r="C78" i="25"/>
  <c r="D78" i="25" s="1"/>
  <c r="E78" i="25" s="1"/>
  <c r="F78" i="25" s="1"/>
  <c r="G78" i="25" s="1"/>
  <c r="H78" i="25" s="1"/>
  <c r="I78" i="25" s="1"/>
  <c r="J78" i="25" s="1"/>
  <c r="K78" i="25" s="1"/>
  <c r="L78" i="25" s="1"/>
  <c r="M78" i="25" s="1"/>
  <c r="N78" i="25" s="1"/>
  <c r="O78" i="25" s="1"/>
  <c r="P78" i="25" s="1"/>
  <c r="Q78" i="25" s="1"/>
  <c r="R78" i="25" s="1"/>
  <c r="S78" i="25" s="1"/>
  <c r="T78" i="25" s="1"/>
  <c r="U78" i="25" s="1"/>
  <c r="U71" i="25"/>
  <c r="T71" i="25"/>
  <c r="S71" i="25"/>
  <c r="R71" i="25"/>
  <c r="Q71" i="25"/>
  <c r="P71" i="25"/>
  <c r="O71" i="25"/>
  <c r="N71" i="25"/>
  <c r="M71" i="25"/>
  <c r="L71" i="25"/>
  <c r="K71" i="25"/>
  <c r="J71" i="25"/>
  <c r="I71" i="25"/>
  <c r="H71" i="25"/>
  <c r="G71" i="25"/>
  <c r="F71" i="25"/>
  <c r="E71" i="25"/>
  <c r="D71" i="25"/>
  <c r="C71" i="25"/>
  <c r="B71" i="25"/>
  <c r="U70" i="25"/>
  <c r="T70" i="25"/>
  <c r="S70" i="25"/>
  <c r="R70" i="25"/>
  <c r="Q70" i="25"/>
  <c r="P70" i="25"/>
  <c r="O70" i="25"/>
  <c r="N70" i="25"/>
  <c r="M70" i="25"/>
  <c r="L70" i="25"/>
  <c r="K70" i="25"/>
  <c r="J70" i="25"/>
  <c r="I70" i="25"/>
  <c r="H70" i="25"/>
  <c r="G70" i="25"/>
  <c r="F70" i="25"/>
  <c r="E70" i="25"/>
  <c r="D70" i="25"/>
  <c r="C70" i="25"/>
  <c r="B70" i="25"/>
  <c r="U69" i="25"/>
  <c r="T69" i="25"/>
  <c r="S69" i="25"/>
  <c r="R69" i="25"/>
  <c r="Q69" i="25"/>
  <c r="P69" i="25"/>
  <c r="O69" i="25"/>
  <c r="N69" i="25"/>
  <c r="M69" i="25"/>
  <c r="L69" i="25"/>
  <c r="K69" i="25"/>
  <c r="J69" i="25"/>
  <c r="I69" i="25"/>
  <c r="H69" i="25"/>
  <c r="G69" i="25"/>
  <c r="F69" i="25"/>
  <c r="E69" i="25"/>
  <c r="D69" i="25"/>
  <c r="C69" i="25"/>
  <c r="B69" i="25"/>
  <c r="U65" i="25"/>
  <c r="T65" i="25"/>
  <c r="S65" i="25"/>
  <c r="R65" i="25"/>
  <c r="Q65" i="25"/>
  <c r="P65" i="25"/>
  <c r="O65" i="25"/>
  <c r="N65" i="25"/>
  <c r="M65" i="25"/>
  <c r="L65" i="25"/>
  <c r="K65" i="25"/>
  <c r="J65" i="25"/>
  <c r="I65" i="25"/>
  <c r="H65" i="25"/>
  <c r="G65" i="25"/>
  <c r="F65" i="25"/>
  <c r="E65" i="25"/>
  <c r="D65" i="25"/>
  <c r="C65" i="25"/>
  <c r="B65" i="25"/>
  <c r="U64" i="25"/>
  <c r="T64" i="25"/>
  <c r="S64" i="25"/>
  <c r="R64" i="25"/>
  <c r="Q64" i="25"/>
  <c r="P64" i="25"/>
  <c r="O64" i="25"/>
  <c r="N64" i="25"/>
  <c r="M64" i="25"/>
  <c r="L64" i="25"/>
  <c r="K64" i="25"/>
  <c r="J64" i="25"/>
  <c r="I64" i="25"/>
  <c r="H64" i="25"/>
  <c r="G64" i="25"/>
  <c r="F64" i="25"/>
  <c r="E64" i="25"/>
  <c r="D64" i="25"/>
  <c r="C64" i="25"/>
  <c r="B64" i="25"/>
  <c r="U63" i="25"/>
  <c r="T63" i="25"/>
  <c r="S63" i="25"/>
  <c r="R63" i="25"/>
  <c r="Q63" i="25"/>
  <c r="P63" i="25"/>
  <c r="O63" i="25"/>
  <c r="N63" i="25"/>
  <c r="M63" i="25"/>
  <c r="L63" i="25"/>
  <c r="K63" i="25"/>
  <c r="J63" i="25"/>
  <c r="I63" i="25"/>
  <c r="H63" i="25"/>
  <c r="G63" i="25"/>
  <c r="F63" i="25"/>
  <c r="E63" i="25"/>
  <c r="D63" i="25"/>
  <c r="C63" i="25"/>
  <c r="B63" i="25"/>
  <c r="U62" i="25"/>
  <c r="T62" i="25"/>
  <c r="S62" i="25"/>
  <c r="R62" i="25"/>
  <c r="Q62" i="25"/>
  <c r="P62" i="25"/>
  <c r="O62" i="25"/>
  <c r="N62" i="25"/>
  <c r="M62" i="25"/>
  <c r="L62" i="25"/>
  <c r="K62" i="25"/>
  <c r="J62" i="25"/>
  <c r="I62" i="25"/>
  <c r="H62" i="25"/>
  <c r="G62" i="25"/>
  <c r="F62" i="25"/>
  <c r="E62" i="25"/>
  <c r="D62" i="25"/>
  <c r="C62" i="25"/>
  <c r="B62" i="25"/>
  <c r="U61" i="25"/>
  <c r="T61" i="25"/>
  <c r="S61" i="25"/>
  <c r="R61" i="25"/>
  <c r="Q61" i="25"/>
  <c r="P61" i="25"/>
  <c r="O61" i="25"/>
  <c r="N61" i="25"/>
  <c r="M61" i="25"/>
  <c r="L61" i="25"/>
  <c r="K61" i="25"/>
  <c r="J61" i="25"/>
  <c r="I61" i="25"/>
  <c r="H61" i="25"/>
  <c r="G61" i="25"/>
  <c r="F61" i="25"/>
  <c r="E61" i="25"/>
  <c r="D61" i="25"/>
  <c r="C61" i="25"/>
  <c r="B61" i="25"/>
  <c r="U60" i="25"/>
  <c r="T60" i="25"/>
  <c r="S60" i="25"/>
  <c r="R60" i="25"/>
  <c r="Q60" i="25"/>
  <c r="P60" i="25"/>
  <c r="O60" i="25"/>
  <c r="N60" i="25"/>
  <c r="M60" i="25"/>
  <c r="L60" i="25"/>
  <c r="K60" i="25"/>
  <c r="J60" i="25"/>
  <c r="I60" i="25"/>
  <c r="H60" i="25"/>
  <c r="G60" i="25"/>
  <c r="F60" i="25"/>
  <c r="E60" i="25"/>
  <c r="D60" i="25"/>
  <c r="C60" i="25"/>
  <c r="B60" i="25"/>
  <c r="C58" i="25"/>
  <c r="D58" i="25" s="1"/>
  <c r="E58" i="25" s="1"/>
  <c r="F58" i="25" s="1"/>
  <c r="G58" i="25" s="1"/>
  <c r="H58" i="25" s="1"/>
  <c r="I58" i="25" s="1"/>
  <c r="J58" i="25" s="1"/>
  <c r="K58" i="25" s="1"/>
  <c r="L58" i="25" s="1"/>
  <c r="M58" i="25" s="1"/>
  <c r="N58" i="25" s="1"/>
  <c r="O58" i="25" s="1"/>
  <c r="P58" i="25" s="1"/>
  <c r="Q58" i="25" s="1"/>
  <c r="R58" i="25" s="1"/>
  <c r="S58" i="25" s="1"/>
  <c r="T58" i="25" s="1"/>
  <c r="U58" i="25" s="1"/>
  <c r="U53" i="25"/>
  <c r="T53" i="25"/>
  <c r="S53" i="25"/>
  <c r="R53" i="25"/>
  <c r="Q53" i="25"/>
  <c r="P53" i="25"/>
  <c r="O53" i="25"/>
  <c r="N53" i="25"/>
  <c r="M53" i="25"/>
  <c r="L53" i="25"/>
  <c r="K53" i="25"/>
  <c r="J53" i="25"/>
  <c r="I53" i="25"/>
  <c r="H53" i="25"/>
  <c r="G53" i="25"/>
  <c r="F53" i="25"/>
  <c r="E53" i="25"/>
  <c r="D53" i="25"/>
  <c r="C53" i="25"/>
  <c r="B53" i="25"/>
  <c r="U52" i="25"/>
  <c r="T52" i="25"/>
  <c r="S52" i="25"/>
  <c r="R52" i="25"/>
  <c r="Q52" i="25"/>
  <c r="P52" i="25"/>
  <c r="O52" i="25"/>
  <c r="N52" i="25"/>
  <c r="M52" i="25"/>
  <c r="L52" i="25"/>
  <c r="K52" i="25"/>
  <c r="J52" i="25"/>
  <c r="I52" i="25"/>
  <c r="H52" i="25"/>
  <c r="G52" i="25"/>
  <c r="F52" i="25"/>
  <c r="E52" i="25"/>
  <c r="D52" i="25"/>
  <c r="C52" i="25"/>
  <c r="B52" i="25"/>
  <c r="U51" i="25"/>
  <c r="T51" i="25"/>
  <c r="S51" i="25"/>
  <c r="R51" i="25"/>
  <c r="Q51" i="25"/>
  <c r="P51" i="25"/>
  <c r="O51" i="25"/>
  <c r="N51" i="25"/>
  <c r="M51" i="25"/>
  <c r="L51" i="25"/>
  <c r="K51" i="25"/>
  <c r="J51" i="25"/>
  <c r="I51" i="25"/>
  <c r="H51" i="25"/>
  <c r="G51" i="25"/>
  <c r="F51" i="25"/>
  <c r="E51" i="25"/>
  <c r="D51" i="25"/>
  <c r="C51" i="25"/>
  <c r="B51" i="25"/>
  <c r="U47" i="25"/>
  <c r="T47" i="25"/>
  <c r="S47" i="25"/>
  <c r="R47" i="25"/>
  <c r="Q47" i="25"/>
  <c r="P47" i="25"/>
  <c r="O47" i="25"/>
  <c r="N47" i="25"/>
  <c r="M47" i="25"/>
  <c r="L47" i="25"/>
  <c r="K47" i="25"/>
  <c r="J47" i="25"/>
  <c r="I47" i="25"/>
  <c r="H47" i="25"/>
  <c r="G47" i="25"/>
  <c r="F47" i="25"/>
  <c r="E47" i="25"/>
  <c r="D47" i="25"/>
  <c r="C47" i="25"/>
  <c r="B47" i="25"/>
  <c r="U46" i="25"/>
  <c r="T46" i="25"/>
  <c r="S46" i="25"/>
  <c r="R46" i="25"/>
  <c r="Q46" i="25"/>
  <c r="P46" i="25"/>
  <c r="O46" i="25"/>
  <c r="N46" i="25"/>
  <c r="M46" i="25"/>
  <c r="L46" i="25"/>
  <c r="K46" i="25"/>
  <c r="J46" i="25"/>
  <c r="I46" i="25"/>
  <c r="H46" i="25"/>
  <c r="G46" i="25"/>
  <c r="F46" i="25"/>
  <c r="E46" i="25"/>
  <c r="D46" i="25"/>
  <c r="C46" i="25"/>
  <c r="B46" i="25"/>
  <c r="U45" i="25"/>
  <c r="T45" i="25"/>
  <c r="S45" i="25"/>
  <c r="R45" i="25"/>
  <c r="Q45" i="25"/>
  <c r="P45" i="25"/>
  <c r="O45" i="25"/>
  <c r="N45" i="25"/>
  <c r="M45" i="25"/>
  <c r="L45" i="25"/>
  <c r="K45" i="25"/>
  <c r="J45" i="25"/>
  <c r="I45" i="25"/>
  <c r="H45" i="25"/>
  <c r="G45" i="25"/>
  <c r="F45" i="25"/>
  <c r="E45" i="25"/>
  <c r="D45" i="25"/>
  <c r="C45" i="25"/>
  <c r="B45" i="25"/>
  <c r="U44" i="25"/>
  <c r="T44" i="25"/>
  <c r="S44" i="25"/>
  <c r="R44" i="25"/>
  <c r="Q44" i="25"/>
  <c r="P44" i="25"/>
  <c r="O44" i="25"/>
  <c r="N44" i="25"/>
  <c r="M44" i="25"/>
  <c r="L44" i="25"/>
  <c r="K44" i="25"/>
  <c r="J44" i="25"/>
  <c r="I44" i="25"/>
  <c r="H44" i="25"/>
  <c r="G44" i="25"/>
  <c r="F44" i="25"/>
  <c r="E44" i="25"/>
  <c r="D44" i="25"/>
  <c r="C44" i="25"/>
  <c r="B44" i="25"/>
  <c r="U43" i="25"/>
  <c r="T43" i="25"/>
  <c r="S43" i="25"/>
  <c r="R43" i="25"/>
  <c r="Q43" i="25"/>
  <c r="P43" i="25"/>
  <c r="O43" i="25"/>
  <c r="N43" i="25"/>
  <c r="M43" i="25"/>
  <c r="L43" i="25"/>
  <c r="K43" i="25"/>
  <c r="J43" i="25"/>
  <c r="I43" i="25"/>
  <c r="H43" i="25"/>
  <c r="G43" i="25"/>
  <c r="F43" i="25"/>
  <c r="E43" i="25"/>
  <c r="D43" i="25"/>
  <c r="C43" i="25"/>
  <c r="B43" i="25"/>
  <c r="U42" i="25"/>
  <c r="T42" i="25"/>
  <c r="S42" i="25"/>
  <c r="R42" i="25"/>
  <c r="Q42" i="25"/>
  <c r="P42" i="25"/>
  <c r="O42" i="25"/>
  <c r="N42" i="25"/>
  <c r="M42" i="25"/>
  <c r="L42" i="25"/>
  <c r="K42" i="25"/>
  <c r="J42" i="25"/>
  <c r="I42" i="25"/>
  <c r="H42" i="25"/>
  <c r="G42" i="25"/>
  <c r="F42" i="25"/>
  <c r="E42" i="25"/>
  <c r="D42" i="25"/>
  <c r="C42" i="25"/>
  <c r="B42" i="25"/>
  <c r="C40" i="25"/>
  <c r="D40" i="25" s="1"/>
  <c r="E40" i="25" s="1"/>
  <c r="F40" i="25" s="1"/>
  <c r="G40" i="25" s="1"/>
  <c r="H40" i="25" s="1"/>
  <c r="I40" i="25" s="1"/>
  <c r="J40" i="25" s="1"/>
  <c r="K40" i="25" s="1"/>
  <c r="L40" i="25" s="1"/>
  <c r="M40" i="25" s="1"/>
  <c r="N40" i="25" s="1"/>
  <c r="O40" i="25" s="1"/>
  <c r="P40" i="25" s="1"/>
  <c r="Q40" i="25" s="1"/>
  <c r="R40" i="25" s="1"/>
  <c r="S40" i="25" s="1"/>
  <c r="T40" i="25" s="1"/>
  <c r="U40" i="25" s="1"/>
  <c r="C22" i="25"/>
  <c r="D22" i="25" s="1"/>
  <c r="E22" i="25" s="1"/>
  <c r="F22" i="25" s="1"/>
  <c r="G22" i="25" s="1"/>
  <c r="H22" i="25" s="1"/>
  <c r="I22" i="25" s="1"/>
  <c r="J22" i="25" s="1"/>
  <c r="K22" i="25" s="1"/>
  <c r="L22" i="25" s="1"/>
  <c r="M22" i="25" s="1"/>
  <c r="N22" i="25" s="1"/>
  <c r="O22" i="25" s="1"/>
  <c r="P22" i="25" s="1"/>
  <c r="Q22" i="25" s="1"/>
  <c r="R22" i="25" s="1"/>
  <c r="S22" i="25" s="1"/>
  <c r="T22" i="25" s="1"/>
  <c r="U22" i="25" s="1"/>
  <c r="U17" i="25"/>
  <c r="T17" i="25"/>
  <c r="S17" i="25"/>
  <c r="R17" i="25"/>
  <c r="Q17" i="25"/>
  <c r="P17" i="25"/>
  <c r="O17" i="25"/>
  <c r="N17" i="25"/>
  <c r="M17" i="25"/>
  <c r="L17" i="25"/>
  <c r="K17" i="25"/>
  <c r="J17" i="25"/>
  <c r="I17" i="25"/>
  <c r="H17" i="25"/>
  <c r="G17" i="25"/>
  <c r="F17" i="25"/>
  <c r="E17" i="25"/>
  <c r="D17" i="25"/>
  <c r="C17" i="25"/>
  <c r="B17" i="25"/>
  <c r="U16" i="25"/>
  <c r="T16" i="25"/>
  <c r="S16" i="25"/>
  <c r="R16" i="25"/>
  <c r="Q16" i="25"/>
  <c r="P16" i="25"/>
  <c r="O16" i="25"/>
  <c r="N16" i="25"/>
  <c r="M16" i="25"/>
  <c r="L16" i="25"/>
  <c r="K16" i="25"/>
  <c r="J16" i="25"/>
  <c r="I16" i="25"/>
  <c r="H16" i="25"/>
  <c r="G16" i="25"/>
  <c r="F16" i="25"/>
  <c r="E16" i="25"/>
  <c r="D16" i="25"/>
  <c r="C16" i="25"/>
  <c r="B16" i="25"/>
  <c r="U15" i="25"/>
  <c r="T15" i="25"/>
  <c r="S15" i="25"/>
  <c r="R15" i="25"/>
  <c r="Q15" i="25"/>
  <c r="P15" i="25"/>
  <c r="O15" i="25"/>
  <c r="N15" i="25"/>
  <c r="M15" i="25"/>
  <c r="L15" i="25"/>
  <c r="K15" i="25"/>
  <c r="J15" i="25"/>
  <c r="I15" i="25"/>
  <c r="H15" i="25"/>
  <c r="G15" i="25"/>
  <c r="F15" i="25"/>
  <c r="E15" i="25"/>
  <c r="D15" i="25"/>
  <c r="C15" i="25"/>
  <c r="B15" i="25"/>
  <c r="U11" i="25"/>
  <c r="T11" i="25"/>
  <c r="S11" i="25"/>
  <c r="R11" i="25"/>
  <c r="Q11" i="25"/>
  <c r="P11" i="25"/>
  <c r="O11" i="25"/>
  <c r="N11" i="25"/>
  <c r="M11" i="25"/>
  <c r="L11" i="25"/>
  <c r="K11" i="25"/>
  <c r="J11" i="25"/>
  <c r="I11" i="25"/>
  <c r="H11" i="25"/>
  <c r="G11" i="25"/>
  <c r="F11" i="25"/>
  <c r="E11" i="25"/>
  <c r="D11" i="25"/>
  <c r="C11" i="25"/>
  <c r="B11" i="25"/>
  <c r="U10" i="25"/>
  <c r="T10" i="25"/>
  <c r="S10" i="25"/>
  <c r="R10" i="25"/>
  <c r="Q10" i="25"/>
  <c r="P10" i="25"/>
  <c r="O10" i="25"/>
  <c r="N10" i="25"/>
  <c r="M10" i="25"/>
  <c r="L10" i="25"/>
  <c r="K10" i="25"/>
  <c r="J10" i="25"/>
  <c r="I10" i="25"/>
  <c r="H10" i="25"/>
  <c r="G10" i="25"/>
  <c r="F10" i="25"/>
  <c r="E10" i="25"/>
  <c r="D10" i="25"/>
  <c r="C10" i="25"/>
  <c r="B10" i="25"/>
  <c r="U9" i="25"/>
  <c r="T9" i="25"/>
  <c r="S9" i="25"/>
  <c r="R9" i="25"/>
  <c r="Q9" i="25"/>
  <c r="P9" i="25"/>
  <c r="O9" i="25"/>
  <c r="N9" i="25"/>
  <c r="M9" i="25"/>
  <c r="L9" i="25"/>
  <c r="K9" i="25"/>
  <c r="J9" i="25"/>
  <c r="I9" i="25"/>
  <c r="H9" i="25"/>
  <c r="G9" i="25"/>
  <c r="F9" i="25"/>
  <c r="E9" i="25"/>
  <c r="D9" i="25"/>
  <c r="C9" i="25"/>
  <c r="B9" i="25"/>
  <c r="U8" i="25"/>
  <c r="T8" i="25"/>
  <c r="S8" i="25"/>
  <c r="R8" i="25"/>
  <c r="Q8" i="25"/>
  <c r="P8" i="25"/>
  <c r="O8" i="25"/>
  <c r="N8" i="25"/>
  <c r="M8" i="25"/>
  <c r="L8" i="25"/>
  <c r="K8" i="25"/>
  <c r="J8" i="25"/>
  <c r="I8" i="25"/>
  <c r="H8" i="25"/>
  <c r="G8" i="25"/>
  <c r="F8" i="25"/>
  <c r="E8" i="25"/>
  <c r="D8" i="25"/>
  <c r="C8" i="25"/>
  <c r="B8" i="25"/>
  <c r="U7" i="25"/>
  <c r="T7" i="25"/>
  <c r="S7" i="25"/>
  <c r="R7" i="25"/>
  <c r="Q7" i="25"/>
  <c r="P7" i="25"/>
  <c r="O7" i="25"/>
  <c r="N7" i="25"/>
  <c r="M7" i="25"/>
  <c r="L7" i="25"/>
  <c r="K7" i="25"/>
  <c r="J7" i="25"/>
  <c r="I7" i="25"/>
  <c r="H7" i="25"/>
  <c r="G7" i="25"/>
  <c r="F7" i="25"/>
  <c r="E7" i="25"/>
  <c r="D7" i="25"/>
  <c r="C7" i="25"/>
  <c r="B7" i="25"/>
  <c r="U6" i="25"/>
  <c r="T6" i="25"/>
  <c r="S6" i="25"/>
  <c r="R6" i="25"/>
  <c r="Q6" i="25"/>
  <c r="P6" i="25"/>
  <c r="O6" i="25"/>
  <c r="N6" i="25"/>
  <c r="M6" i="25"/>
  <c r="L6" i="25"/>
  <c r="K6" i="25"/>
  <c r="J6" i="25"/>
  <c r="I6" i="25"/>
  <c r="H6" i="25"/>
  <c r="G6" i="25"/>
  <c r="F6" i="25"/>
  <c r="E6" i="25"/>
  <c r="D6" i="25"/>
  <c r="C6" i="25"/>
  <c r="B6" i="25"/>
  <c r="C4" i="25"/>
  <c r="D4" i="25" s="1"/>
  <c r="E4" i="25" s="1"/>
  <c r="F4" i="25" s="1"/>
  <c r="G4" i="25" s="1"/>
  <c r="H4" i="25" s="1"/>
  <c r="I4" i="25" s="1"/>
  <c r="J4" i="25" s="1"/>
  <c r="K4" i="25" s="1"/>
  <c r="L4" i="25" s="1"/>
  <c r="M4" i="25" s="1"/>
  <c r="N4" i="25" s="1"/>
  <c r="O4" i="25" s="1"/>
  <c r="P4" i="25" s="1"/>
  <c r="Q4" i="25" s="1"/>
  <c r="R4" i="25" s="1"/>
  <c r="S4" i="25" s="1"/>
  <c r="T4" i="25" s="1"/>
  <c r="U4" i="25" s="1"/>
  <c r="C69" i="24"/>
  <c r="D69" i="24" s="1"/>
  <c r="E69" i="24" s="1"/>
  <c r="F69" i="24" s="1"/>
  <c r="G69" i="24" s="1"/>
  <c r="H69" i="24" s="1"/>
  <c r="I69" i="24" s="1"/>
  <c r="J69" i="24" s="1"/>
  <c r="K69" i="24" s="1"/>
  <c r="L69" i="24" s="1"/>
  <c r="M69" i="24" s="1"/>
  <c r="N69" i="24" s="1"/>
  <c r="O69" i="24" s="1"/>
  <c r="P69" i="24" s="1"/>
  <c r="Q69" i="24" s="1"/>
  <c r="R69" i="24" s="1"/>
  <c r="S69" i="24" s="1"/>
  <c r="T69" i="24" s="1"/>
  <c r="U69" i="24" s="1"/>
  <c r="V65" i="24"/>
  <c r="C64" i="24"/>
  <c r="D64" i="24" s="1"/>
  <c r="E64" i="24" s="1"/>
  <c r="F64" i="24" s="1"/>
  <c r="G64" i="24" s="1"/>
  <c r="H64" i="24" s="1"/>
  <c r="I64" i="24" s="1"/>
  <c r="J64" i="24" s="1"/>
  <c r="K64" i="24" s="1"/>
  <c r="L64" i="24" s="1"/>
  <c r="M64" i="24" s="1"/>
  <c r="N64" i="24" s="1"/>
  <c r="O64" i="24" s="1"/>
  <c r="P64" i="24" s="1"/>
  <c r="Q64" i="24" s="1"/>
  <c r="R64" i="24" s="1"/>
  <c r="S64" i="24" s="1"/>
  <c r="T64" i="24" s="1"/>
  <c r="U64" i="24" s="1"/>
  <c r="V60" i="24"/>
  <c r="C59" i="24"/>
  <c r="D59" i="24" s="1"/>
  <c r="E59" i="24" s="1"/>
  <c r="F59" i="24" s="1"/>
  <c r="G59" i="24" s="1"/>
  <c r="H59" i="24" s="1"/>
  <c r="I59" i="24" s="1"/>
  <c r="J59" i="24" s="1"/>
  <c r="K59" i="24" s="1"/>
  <c r="L59" i="24" s="1"/>
  <c r="M59" i="24" s="1"/>
  <c r="N59" i="24" s="1"/>
  <c r="O59" i="24" s="1"/>
  <c r="P59" i="24" s="1"/>
  <c r="Q59" i="24" s="1"/>
  <c r="R59" i="24" s="1"/>
  <c r="S59" i="24" s="1"/>
  <c r="T59" i="24" s="1"/>
  <c r="U59" i="24" s="1"/>
  <c r="U53" i="24"/>
  <c r="U35" i="25" s="1"/>
  <c r="T53" i="24"/>
  <c r="T35" i="25" s="1"/>
  <c r="S53" i="24"/>
  <c r="S35" i="25" s="1"/>
  <c r="R53" i="24"/>
  <c r="R35" i="25" s="1"/>
  <c r="Q53" i="24"/>
  <c r="Q35" i="25" s="1"/>
  <c r="P53" i="24"/>
  <c r="P35" i="25" s="1"/>
  <c r="O53" i="24"/>
  <c r="O35" i="25" s="1"/>
  <c r="N53" i="24"/>
  <c r="N35" i="25" s="1"/>
  <c r="M53" i="24"/>
  <c r="M35" i="25" s="1"/>
  <c r="L53" i="24"/>
  <c r="L35" i="25" s="1"/>
  <c r="K53" i="24"/>
  <c r="K35" i="25" s="1"/>
  <c r="J53" i="24"/>
  <c r="J35" i="25" s="1"/>
  <c r="I53" i="24"/>
  <c r="I35" i="25" s="1"/>
  <c r="H53" i="24"/>
  <c r="H35" i="25" s="1"/>
  <c r="G53" i="24"/>
  <c r="G35" i="25" s="1"/>
  <c r="F53" i="24"/>
  <c r="F35" i="25" s="1"/>
  <c r="E53" i="24"/>
  <c r="E35" i="25" s="1"/>
  <c r="D53" i="24"/>
  <c r="D35" i="25" s="1"/>
  <c r="C53" i="24"/>
  <c r="C35" i="25" s="1"/>
  <c r="B53" i="24"/>
  <c r="B35" i="25" s="1"/>
  <c r="U52" i="24"/>
  <c r="U34" i="25" s="1"/>
  <c r="T52" i="24"/>
  <c r="T34" i="25" s="1"/>
  <c r="S52" i="24"/>
  <c r="S34" i="25" s="1"/>
  <c r="R52" i="24"/>
  <c r="R34" i="25" s="1"/>
  <c r="Q52" i="24"/>
  <c r="Q34" i="25" s="1"/>
  <c r="P52" i="24"/>
  <c r="P34" i="25" s="1"/>
  <c r="O52" i="24"/>
  <c r="O34" i="25" s="1"/>
  <c r="N52" i="24"/>
  <c r="N34" i="25" s="1"/>
  <c r="M52" i="24"/>
  <c r="M34" i="25" s="1"/>
  <c r="L52" i="24"/>
  <c r="L34" i="25" s="1"/>
  <c r="K52" i="24"/>
  <c r="K34" i="25" s="1"/>
  <c r="J52" i="24"/>
  <c r="J34" i="25" s="1"/>
  <c r="I52" i="24"/>
  <c r="I34" i="25" s="1"/>
  <c r="H52" i="24"/>
  <c r="H34" i="25" s="1"/>
  <c r="G52" i="24"/>
  <c r="G34" i="25" s="1"/>
  <c r="F52" i="24"/>
  <c r="F34" i="25" s="1"/>
  <c r="E52" i="24"/>
  <c r="E34" i="25" s="1"/>
  <c r="D52" i="24"/>
  <c r="D34" i="25" s="1"/>
  <c r="C52" i="24"/>
  <c r="C34" i="25" s="1"/>
  <c r="B52" i="24"/>
  <c r="B34" i="25" s="1"/>
  <c r="U51" i="24"/>
  <c r="U33" i="25" s="1"/>
  <c r="T51" i="24"/>
  <c r="T33" i="25" s="1"/>
  <c r="S51" i="24"/>
  <c r="S33" i="25" s="1"/>
  <c r="R51" i="24"/>
  <c r="R33" i="25" s="1"/>
  <c r="Q51" i="24"/>
  <c r="Q33" i="25" s="1"/>
  <c r="P51" i="24"/>
  <c r="P33" i="25" s="1"/>
  <c r="O51" i="24"/>
  <c r="O33" i="25" s="1"/>
  <c r="N51" i="24"/>
  <c r="N33" i="25" s="1"/>
  <c r="M51" i="24"/>
  <c r="M33" i="25" s="1"/>
  <c r="L51" i="24"/>
  <c r="L33" i="25" s="1"/>
  <c r="K51" i="24"/>
  <c r="K33" i="25" s="1"/>
  <c r="J51" i="24"/>
  <c r="J33" i="25" s="1"/>
  <c r="I51" i="24"/>
  <c r="I33" i="25" s="1"/>
  <c r="H51" i="24"/>
  <c r="H33" i="25" s="1"/>
  <c r="G51" i="24"/>
  <c r="G33" i="25" s="1"/>
  <c r="F51" i="24"/>
  <c r="F33" i="25" s="1"/>
  <c r="E51" i="24"/>
  <c r="E33" i="25" s="1"/>
  <c r="D51" i="24"/>
  <c r="D33" i="25" s="1"/>
  <c r="C51" i="24"/>
  <c r="C33" i="25" s="1"/>
  <c r="B51" i="24"/>
  <c r="B33" i="25" s="1"/>
  <c r="U47" i="24"/>
  <c r="U29" i="25" s="1"/>
  <c r="T47" i="24"/>
  <c r="T29" i="25" s="1"/>
  <c r="S47" i="24"/>
  <c r="S29" i="25" s="1"/>
  <c r="R47" i="24"/>
  <c r="R29" i="25" s="1"/>
  <c r="Q47" i="24"/>
  <c r="Q29" i="25" s="1"/>
  <c r="P47" i="24"/>
  <c r="P29" i="25" s="1"/>
  <c r="O47" i="24"/>
  <c r="O29" i="25" s="1"/>
  <c r="N47" i="24"/>
  <c r="N29" i="25" s="1"/>
  <c r="M47" i="24"/>
  <c r="M29" i="25" s="1"/>
  <c r="L47" i="24"/>
  <c r="L29" i="25" s="1"/>
  <c r="K47" i="24"/>
  <c r="K29" i="25" s="1"/>
  <c r="J47" i="24"/>
  <c r="J29" i="25" s="1"/>
  <c r="I47" i="24"/>
  <c r="I29" i="25" s="1"/>
  <c r="H47" i="24"/>
  <c r="H29" i="25" s="1"/>
  <c r="G47" i="24"/>
  <c r="G29" i="25" s="1"/>
  <c r="F47" i="24"/>
  <c r="F29" i="25" s="1"/>
  <c r="E47" i="24"/>
  <c r="E29" i="25" s="1"/>
  <c r="D47" i="24"/>
  <c r="D29" i="25" s="1"/>
  <c r="C47" i="24"/>
  <c r="C29" i="25" s="1"/>
  <c r="B47" i="24"/>
  <c r="B29" i="25" s="1"/>
  <c r="U46" i="24"/>
  <c r="U28" i="25" s="1"/>
  <c r="T46" i="24"/>
  <c r="T28" i="25" s="1"/>
  <c r="S46" i="24"/>
  <c r="S28" i="25" s="1"/>
  <c r="R46" i="24"/>
  <c r="R28" i="25" s="1"/>
  <c r="Q46" i="24"/>
  <c r="Q28" i="25" s="1"/>
  <c r="P46" i="24"/>
  <c r="P28" i="25" s="1"/>
  <c r="O46" i="24"/>
  <c r="O28" i="25" s="1"/>
  <c r="N46" i="24"/>
  <c r="N28" i="25" s="1"/>
  <c r="M46" i="24"/>
  <c r="M28" i="25" s="1"/>
  <c r="L46" i="24"/>
  <c r="L28" i="25" s="1"/>
  <c r="K46" i="24"/>
  <c r="K28" i="25" s="1"/>
  <c r="J46" i="24"/>
  <c r="J28" i="25" s="1"/>
  <c r="I46" i="24"/>
  <c r="I28" i="25" s="1"/>
  <c r="H46" i="24"/>
  <c r="H28" i="25" s="1"/>
  <c r="G46" i="24"/>
  <c r="G28" i="25" s="1"/>
  <c r="F46" i="24"/>
  <c r="F28" i="25" s="1"/>
  <c r="E46" i="24"/>
  <c r="E28" i="25" s="1"/>
  <c r="D46" i="24"/>
  <c r="D28" i="25" s="1"/>
  <c r="C46" i="24"/>
  <c r="C28" i="25" s="1"/>
  <c r="B46" i="24"/>
  <c r="B28" i="25" s="1"/>
  <c r="U45" i="24"/>
  <c r="U27" i="25" s="1"/>
  <c r="T45" i="24"/>
  <c r="T27" i="25" s="1"/>
  <c r="S45" i="24"/>
  <c r="S27" i="25" s="1"/>
  <c r="R45" i="24"/>
  <c r="R27" i="25" s="1"/>
  <c r="Q45" i="24"/>
  <c r="Q27" i="25" s="1"/>
  <c r="P45" i="24"/>
  <c r="P27" i="25" s="1"/>
  <c r="O45" i="24"/>
  <c r="O27" i="25" s="1"/>
  <c r="N45" i="24"/>
  <c r="N27" i="25" s="1"/>
  <c r="M45" i="24"/>
  <c r="M27" i="25" s="1"/>
  <c r="L45" i="24"/>
  <c r="L27" i="25" s="1"/>
  <c r="K45" i="24"/>
  <c r="K27" i="25" s="1"/>
  <c r="J45" i="24"/>
  <c r="J27" i="25" s="1"/>
  <c r="I45" i="24"/>
  <c r="I27" i="25" s="1"/>
  <c r="H45" i="24"/>
  <c r="H27" i="25" s="1"/>
  <c r="G45" i="24"/>
  <c r="G27" i="25" s="1"/>
  <c r="F45" i="24"/>
  <c r="F27" i="25" s="1"/>
  <c r="E45" i="24"/>
  <c r="E27" i="25" s="1"/>
  <c r="D45" i="24"/>
  <c r="D27" i="25" s="1"/>
  <c r="C45" i="24"/>
  <c r="C27" i="25" s="1"/>
  <c r="B45" i="24"/>
  <c r="B27" i="25" s="1"/>
  <c r="U44" i="24"/>
  <c r="U26" i="25" s="1"/>
  <c r="T44" i="24"/>
  <c r="T26" i="25" s="1"/>
  <c r="S44" i="24"/>
  <c r="S26" i="25" s="1"/>
  <c r="R44" i="24"/>
  <c r="R26" i="25" s="1"/>
  <c r="Q44" i="24"/>
  <c r="Q26" i="25" s="1"/>
  <c r="P44" i="24"/>
  <c r="P26" i="25" s="1"/>
  <c r="O44" i="24"/>
  <c r="O26" i="25" s="1"/>
  <c r="N44" i="24"/>
  <c r="N26" i="25" s="1"/>
  <c r="M44" i="24"/>
  <c r="M26" i="25" s="1"/>
  <c r="L44" i="24"/>
  <c r="L26" i="25" s="1"/>
  <c r="K44" i="24"/>
  <c r="K26" i="25" s="1"/>
  <c r="J44" i="24"/>
  <c r="J26" i="25" s="1"/>
  <c r="I44" i="24"/>
  <c r="I26" i="25" s="1"/>
  <c r="H44" i="24"/>
  <c r="H26" i="25" s="1"/>
  <c r="G44" i="24"/>
  <c r="G26" i="25" s="1"/>
  <c r="F44" i="24"/>
  <c r="F26" i="25" s="1"/>
  <c r="E44" i="24"/>
  <c r="E26" i="25" s="1"/>
  <c r="D44" i="24"/>
  <c r="D26" i="25" s="1"/>
  <c r="C44" i="24"/>
  <c r="C26" i="25" s="1"/>
  <c r="B44" i="24"/>
  <c r="B26" i="25" s="1"/>
  <c r="U43" i="24"/>
  <c r="U25" i="25" s="1"/>
  <c r="T43" i="24"/>
  <c r="T25" i="25" s="1"/>
  <c r="S43" i="24"/>
  <c r="S25" i="25" s="1"/>
  <c r="R43" i="24"/>
  <c r="R25" i="25" s="1"/>
  <c r="Q43" i="24"/>
  <c r="Q25" i="25" s="1"/>
  <c r="P43" i="24"/>
  <c r="P25" i="25" s="1"/>
  <c r="O43" i="24"/>
  <c r="O25" i="25" s="1"/>
  <c r="N43" i="24"/>
  <c r="N25" i="25" s="1"/>
  <c r="M43" i="24"/>
  <c r="M25" i="25" s="1"/>
  <c r="L43" i="24"/>
  <c r="L25" i="25" s="1"/>
  <c r="K43" i="24"/>
  <c r="K25" i="25" s="1"/>
  <c r="J43" i="24"/>
  <c r="J25" i="25" s="1"/>
  <c r="I43" i="24"/>
  <c r="I25" i="25" s="1"/>
  <c r="H43" i="24"/>
  <c r="H25" i="25" s="1"/>
  <c r="G43" i="24"/>
  <c r="G25" i="25" s="1"/>
  <c r="F43" i="24"/>
  <c r="F25" i="25" s="1"/>
  <c r="E43" i="24"/>
  <c r="E25" i="25" s="1"/>
  <c r="D43" i="24"/>
  <c r="D25" i="25" s="1"/>
  <c r="C43" i="24"/>
  <c r="C25" i="25" s="1"/>
  <c r="B43" i="24"/>
  <c r="B25" i="25" s="1"/>
  <c r="U42" i="24"/>
  <c r="U24" i="25" s="1"/>
  <c r="T42" i="24"/>
  <c r="T24" i="25" s="1"/>
  <c r="S42" i="24"/>
  <c r="S24" i="25" s="1"/>
  <c r="R42" i="24"/>
  <c r="R24" i="25" s="1"/>
  <c r="Q42" i="24"/>
  <c r="Q24" i="25" s="1"/>
  <c r="P42" i="24"/>
  <c r="P24" i="25" s="1"/>
  <c r="O42" i="24"/>
  <c r="O24" i="25" s="1"/>
  <c r="N42" i="24"/>
  <c r="N24" i="25" s="1"/>
  <c r="M42" i="24"/>
  <c r="M24" i="25" s="1"/>
  <c r="L42" i="24"/>
  <c r="L24" i="25" s="1"/>
  <c r="K42" i="24"/>
  <c r="K24" i="25" s="1"/>
  <c r="J42" i="24"/>
  <c r="J24" i="25" s="1"/>
  <c r="I42" i="24"/>
  <c r="I24" i="25" s="1"/>
  <c r="H42" i="24"/>
  <c r="H24" i="25" s="1"/>
  <c r="G42" i="24"/>
  <c r="G24" i="25" s="1"/>
  <c r="F42" i="24"/>
  <c r="F24" i="25" s="1"/>
  <c r="E42" i="24"/>
  <c r="E24" i="25" s="1"/>
  <c r="D42" i="24"/>
  <c r="D24" i="25" s="1"/>
  <c r="C42" i="24"/>
  <c r="C24" i="25" s="1"/>
  <c r="B42" i="24"/>
  <c r="B24" i="25" s="1"/>
  <c r="C40" i="24"/>
  <c r="D40" i="24" s="1"/>
  <c r="E40" i="24" s="1"/>
  <c r="F40" i="24" s="1"/>
  <c r="G40" i="24" s="1"/>
  <c r="H40" i="24" s="1"/>
  <c r="I40" i="24" s="1"/>
  <c r="J40" i="24" s="1"/>
  <c r="K40" i="24" s="1"/>
  <c r="L40" i="24" s="1"/>
  <c r="M40" i="24" s="1"/>
  <c r="N40" i="24" s="1"/>
  <c r="O40" i="24" s="1"/>
  <c r="P40" i="24" s="1"/>
  <c r="Q40" i="24" s="1"/>
  <c r="R40" i="24" s="1"/>
  <c r="S40" i="24" s="1"/>
  <c r="T40" i="24" s="1"/>
  <c r="U40" i="24" s="1"/>
  <c r="U36" i="24"/>
  <c r="U79" i="24" s="1"/>
  <c r="T36" i="24"/>
  <c r="T79" i="24" s="1"/>
  <c r="S36" i="24"/>
  <c r="S79" i="24" s="1"/>
  <c r="R36" i="24"/>
  <c r="R79" i="24" s="1"/>
  <c r="Q36" i="24"/>
  <c r="Q79" i="24" s="1"/>
  <c r="P36" i="24"/>
  <c r="P79" i="24" s="1"/>
  <c r="O36" i="24"/>
  <c r="O79" i="24" s="1"/>
  <c r="N36" i="24"/>
  <c r="N79" i="24" s="1"/>
  <c r="M36" i="24"/>
  <c r="M79" i="24" s="1"/>
  <c r="L36" i="24"/>
  <c r="L79" i="24" s="1"/>
  <c r="K36" i="24"/>
  <c r="K79" i="24" s="1"/>
  <c r="J36" i="24"/>
  <c r="J79" i="24" s="1"/>
  <c r="I36" i="24"/>
  <c r="I79" i="24" s="1"/>
  <c r="H36" i="24"/>
  <c r="H79" i="24" s="1"/>
  <c r="G36" i="24"/>
  <c r="G79" i="24" s="1"/>
  <c r="F36" i="24"/>
  <c r="F79" i="24" s="1"/>
  <c r="E36" i="24"/>
  <c r="E79" i="24" s="1"/>
  <c r="D36" i="24"/>
  <c r="D79" i="24" s="1"/>
  <c r="C36" i="24"/>
  <c r="C79" i="24" s="1"/>
  <c r="B36" i="24"/>
  <c r="B79" i="24" s="1"/>
  <c r="V35" i="24"/>
  <c r="V34" i="24"/>
  <c r="V33" i="24"/>
  <c r="U30" i="24"/>
  <c r="U75" i="24" s="1"/>
  <c r="T30" i="24"/>
  <c r="S30" i="24"/>
  <c r="R30" i="24"/>
  <c r="R75" i="24" s="1"/>
  <c r="Q30" i="24"/>
  <c r="Q75" i="24" s="1"/>
  <c r="P30" i="24"/>
  <c r="O30" i="24"/>
  <c r="N30" i="24"/>
  <c r="N75" i="24" s="1"/>
  <c r="M30" i="24"/>
  <c r="M75" i="24" s="1"/>
  <c r="L30" i="24"/>
  <c r="K30" i="24"/>
  <c r="J30" i="24"/>
  <c r="J75" i="24" s="1"/>
  <c r="I30" i="24"/>
  <c r="I75" i="24" s="1"/>
  <c r="H30" i="24"/>
  <c r="G30" i="24"/>
  <c r="F30" i="24"/>
  <c r="F75" i="24" s="1"/>
  <c r="E30" i="24"/>
  <c r="E75" i="24" s="1"/>
  <c r="D30" i="24"/>
  <c r="C30" i="24"/>
  <c r="B30" i="24"/>
  <c r="B75" i="24" s="1"/>
  <c r="V29" i="24"/>
  <c r="V28" i="24"/>
  <c r="V27" i="24"/>
  <c r="V26" i="24"/>
  <c r="V25" i="24"/>
  <c r="V24" i="24"/>
  <c r="C22" i="24"/>
  <c r="D22" i="24" s="1"/>
  <c r="E22" i="24" s="1"/>
  <c r="F22" i="24" s="1"/>
  <c r="G22" i="24" s="1"/>
  <c r="H22" i="24" s="1"/>
  <c r="I22" i="24" s="1"/>
  <c r="J22" i="24" s="1"/>
  <c r="K22" i="24" s="1"/>
  <c r="L22" i="24" s="1"/>
  <c r="M22" i="24" s="1"/>
  <c r="N22" i="24" s="1"/>
  <c r="O22" i="24" s="1"/>
  <c r="P22" i="24" s="1"/>
  <c r="Q22" i="24" s="1"/>
  <c r="R22" i="24" s="1"/>
  <c r="S22" i="24" s="1"/>
  <c r="T22" i="24" s="1"/>
  <c r="U22" i="24" s="1"/>
  <c r="U18" i="24"/>
  <c r="U78" i="24" s="1"/>
  <c r="T18" i="24"/>
  <c r="T78" i="24" s="1"/>
  <c r="S18" i="24"/>
  <c r="S78" i="24" s="1"/>
  <c r="R18" i="24"/>
  <c r="R78" i="24" s="1"/>
  <c r="Q18" i="24"/>
  <c r="Q78" i="24" s="1"/>
  <c r="P18" i="24"/>
  <c r="P78" i="24" s="1"/>
  <c r="O18" i="24"/>
  <c r="O78" i="24" s="1"/>
  <c r="N18" i="24"/>
  <c r="N78" i="24" s="1"/>
  <c r="M18" i="24"/>
  <c r="M78" i="24" s="1"/>
  <c r="L18" i="24"/>
  <c r="L78" i="24" s="1"/>
  <c r="K18" i="24"/>
  <c r="K78" i="24" s="1"/>
  <c r="J18" i="24"/>
  <c r="J78" i="24" s="1"/>
  <c r="I18" i="24"/>
  <c r="I78" i="24" s="1"/>
  <c r="H18" i="24"/>
  <c r="H78" i="24" s="1"/>
  <c r="G18" i="24"/>
  <c r="G78" i="24" s="1"/>
  <c r="F18" i="24"/>
  <c r="F78" i="24" s="1"/>
  <c r="E18" i="24"/>
  <c r="E78" i="24" s="1"/>
  <c r="D18" i="24"/>
  <c r="D78" i="24" s="1"/>
  <c r="C18" i="24"/>
  <c r="C78" i="24" s="1"/>
  <c r="B18" i="24"/>
  <c r="B78" i="24" s="1"/>
  <c r="V17" i="24"/>
  <c r="V16" i="24"/>
  <c r="V15" i="24"/>
  <c r="U12" i="24"/>
  <c r="U74" i="24" s="1"/>
  <c r="T12" i="24"/>
  <c r="T74" i="24" s="1"/>
  <c r="S12" i="24"/>
  <c r="S74" i="24" s="1"/>
  <c r="R12" i="24"/>
  <c r="R74" i="24" s="1"/>
  <c r="Q12" i="24"/>
  <c r="Q74" i="24" s="1"/>
  <c r="P12" i="24"/>
  <c r="P74" i="24" s="1"/>
  <c r="O12" i="24"/>
  <c r="O74" i="24" s="1"/>
  <c r="N12" i="24"/>
  <c r="N74" i="24" s="1"/>
  <c r="M12" i="24"/>
  <c r="M74" i="24" s="1"/>
  <c r="L12" i="24"/>
  <c r="L74" i="24" s="1"/>
  <c r="K12" i="24"/>
  <c r="K74" i="24" s="1"/>
  <c r="J12" i="24"/>
  <c r="J74" i="24" s="1"/>
  <c r="I12" i="24"/>
  <c r="I74" i="24" s="1"/>
  <c r="H12" i="24"/>
  <c r="H74" i="24" s="1"/>
  <c r="G12" i="24"/>
  <c r="G74" i="24" s="1"/>
  <c r="F12" i="24"/>
  <c r="F74" i="24" s="1"/>
  <c r="E12" i="24"/>
  <c r="E74" i="24" s="1"/>
  <c r="D12" i="24"/>
  <c r="D74" i="24" s="1"/>
  <c r="C12" i="24"/>
  <c r="C74" i="24" s="1"/>
  <c r="B12" i="24"/>
  <c r="B74" i="24" s="1"/>
  <c r="V11" i="24"/>
  <c r="V10" i="24"/>
  <c r="V9" i="24"/>
  <c r="V8" i="24"/>
  <c r="V7" i="24"/>
  <c r="V6" i="24"/>
  <c r="C4" i="24"/>
  <c r="D4" i="24" s="1"/>
  <c r="E4" i="24" s="1"/>
  <c r="F4" i="24" s="1"/>
  <c r="G4" i="24" s="1"/>
  <c r="H4" i="24" s="1"/>
  <c r="I4" i="24" s="1"/>
  <c r="J4" i="24" s="1"/>
  <c r="K4" i="24" s="1"/>
  <c r="L4" i="24" s="1"/>
  <c r="M4" i="24" s="1"/>
  <c r="N4" i="24" s="1"/>
  <c r="O4" i="24" s="1"/>
  <c r="P4" i="24" s="1"/>
  <c r="Q4" i="24" s="1"/>
  <c r="R4" i="24" s="1"/>
  <c r="S4" i="24" s="1"/>
  <c r="T4" i="24" s="1"/>
  <c r="U4" i="24" s="1"/>
  <c r="C25" i="23"/>
  <c r="D25" i="23" s="1"/>
  <c r="E25" i="23" s="1"/>
  <c r="F25" i="23" s="1"/>
  <c r="G25" i="23" s="1"/>
  <c r="H25" i="23" s="1"/>
  <c r="I25" i="23" s="1"/>
  <c r="J25" i="23" s="1"/>
  <c r="K25" i="23" s="1"/>
  <c r="L25" i="23" s="1"/>
  <c r="M25" i="23" s="1"/>
  <c r="N25" i="23" s="1"/>
  <c r="O25" i="23" s="1"/>
  <c r="P25" i="23" s="1"/>
  <c r="Q25" i="23" s="1"/>
  <c r="R25" i="23" s="1"/>
  <c r="S25" i="23" s="1"/>
  <c r="T25" i="23" s="1"/>
  <c r="U25" i="23" s="1"/>
  <c r="U18" i="23"/>
  <c r="T18" i="23"/>
  <c r="S18" i="23"/>
  <c r="R18" i="23"/>
  <c r="Q18" i="23"/>
  <c r="P18" i="23"/>
  <c r="O18" i="23"/>
  <c r="N18" i="23"/>
  <c r="M18" i="23"/>
  <c r="L18" i="23"/>
  <c r="K18" i="23"/>
  <c r="J18" i="23"/>
  <c r="I18" i="23"/>
  <c r="H18" i="23"/>
  <c r="G18" i="23"/>
  <c r="F18" i="23"/>
  <c r="E18" i="23"/>
  <c r="D18" i="23"/>
  <c r="C18" i="23"/>
  <c r="B18" i="23"/>
  <c r="V17" i="23"/>
  <c r="V16" i="23"/>
  <c r="V15" i="23"/>
  <c r="V11" i="23"/>
  <c r="V10" i="23"/>
  <c r="V9" i="23"/>
  <c r="V8" i="23"/>
  <c r="V7" i="23"/>
  <c r="C4" i="23"/>
  <c r="D4" i="23" s="1"/>
  <c r="E4" i="23" s="1"/>
  <c r="F4" i="23" s="1"/>
  <c r="G4" i="23" s="1"/>
  <c r="H4" i="23" s="1"/>
  <c r="I4" i="23" s="1"/>
  <c r="J4" i="23" s="1"/>
  <c r="K4" i="23" s="1"/>
  <c r="L4" i="23" s="1"/>
  <c r="M4" i="23" s="1"/>
  <c r="N4" i="23" s="1"/>
  <c r="O4" i="23" s="1"/>
  <c r="P4" i="23" s="1"/>
  <c r="Q4" i="23" s="1"/>
  <c r="R4" i="23" s="1"/>
  <c r="S4" i="23" s="1"/>
  <c r="T4" i="23" s="1"/>
  <c r="U4" i="23" s="1"/>
  <c r="V43" i="22"/>
  <c r="V35" i="22"/>
  <c r="V34" i="22"/>
  <c r="V33" i="22"/>
  <c r="V29" i="22"/>
  <c r="V28" i="22"/>
  <c r="V27" i="22"/>
  <c r="V26" i="22"/>
  <c r="V25" i="22"/>
  <c r="V24" i="22"/>
  <c r="U18" i="22"/>
  <c r="U54" i="22" s="1"/>
  <c r="T18" i="22"/>
  <c r="T54" i="22" s="1"/>
  <c r="S18" i="22"/>
  <c r="S54" i="22" s="1"/>
  <c r="R18" i="22"/>
  <c r="R54" i="22" s="1"/>
  <c r="Q18" i="22"/>
  <c r="Q54" i="22" s="1"/>
  <c r="P18" i="22"/>
  <c r="P54" i="22" s="1"/>
  <c r="O18" i="22"/>
  <c r="O54" i="22" s="1"/>
  <c r="N18" i="22"/>
  <c r="N54" i="22" s="1"/>
  <c r="M18" i="22"/>
  <c r="M54" i="22" s="1"/>
  <c r="L18" i="22"/>
  <c r="L54" i="22" s="1"/>
  <c r="K18" i="22"/>
  <c r="K54" i="22" s="1"/>
  <c r="J18" i="22"/>
  <c r="J54" i="22" s="1"/>
  <c r="I18" i="22"/>
  <c r="I54" i="22" s="1"/>
  <c r="H18" i="22"/>
  <c r="H54" i="22" s="1"/>
  <c r="G18" i="22"/>
  <c r="G54" i="22" s="1"/>
  <c r="F18" i="22"/>
  <c r="F54" i="22" s="1"/>
  <c r="E18" i="22"/>
  <c r="E54" i="22" s="1"/>
  <c r="D18" i="22"/>
  <c r="D54" i="22" s="1"/>
  <c r="C18" i="22"/>
  <c r="C54" i="22" s="1"/>
  <c r="B18" i="22"/>
  <c r="B54" i="22" s="1"/>
  <c r="V17" i="22"/>
  <c r="V16" i="22"/>
  <c r="V15" i="22"/>
  <c r="U12" i="22"/>
  <c r="U53" i="22" s="1"/>
  <c r="T12" i="22"/>
  <c r="T53" i="22" s="1"/>
  <c r="S12" i="22"/>
  <c r="S53" i="22" s="1"/>
  <c r="R12" i="22"/>
  <c r="R53" i="22" s="1"/>
  <c r="Q12" i="22"/>
  <c r="Q53" i="22" s="1"/>
  <c r="P12" i="22"/>
  <c r="P53" i="22" s="1"/>
  <c r="O12" i="22"/>
  <c r="O53" i="22" s="1"/>
  <c r="N12" i="22"/>
  <c r="N53" i="22" s="1"/>
  <c r="M12" i="22"/>
  <c r="M53" i="22" s="1"/>
  <c r="L12" i="22"/>
  <c r="L53" i="22" s="1"/>
  <c r="K12" i="22"/>
  <c r="K53" i="22" s="1"/>
  <c r="J12" i="22"/>
  <c r="J53" i="22" s="1"/>
  <c r="I12" i="22"/>
  <c r="I53" i="22" s="1"/>
  <c r="H12" i="22"/>
  <c r="H53" i="22" s="1"/>
  <c r="G12" i="22"/>
  <c r="G53" i="22" s="1"/>
  <c r="F12" i="22"/>
  <c r="F53" i="22" s="1"/>
  <c r="E12" i="22"/>
  <c r="E53" i="22" s="1"/>
  <c r="D12" i="22"/>
  <c r="D53" i="22" s="1"/>
  <c r="C12" i="22"/>
  <c r="C53" i="22" s="1"/>
  <c r="B12" i="22"/>
  <c r="B53" i="22" s="1"/>
  <c r="V11" i="22"/>
  <c r="V10" i="22"/>
  <c r="V9" i="22"/>
  <c r="V8" i="22"/>
  <c r="V7" i="22"/>
  <c r="V6" i="22"/>
  <c r="C4" i="22"/>
  <c r="D4" i="22" s="1"/>
  <c r="E4" i="22" s="1"/>
  <c r="F4" i="22" s="1"/>
  <c r="G4" i="22" s="1"/>
  <c r="H4" i="22" s="1"/>
  <c r="I4" i="22" s="1"/>
  <c r="J4" i="22" s="1"/>
  <c r="K4" i="22" s="1"/>
  <c r="L4" i="22" s="1"/>
  <c r="M4" i="22" s="1"/>
  <c r="N4" i="22" s="1"/>
  <c r="O4" i="22" s="1"/>
  <c r="P4" i="22" s="1"/>
  <c r="Q4" i="22" s="1"/>
  <c r="R4" i="22" s="1"/>
  <c r="S4" i="22" s="1"/>
  <c r="T4" i="22" s="1"/>
  <c r="U4" i="22" s="1"/>
  <c r="V24" i="21"/>
  <c r="C23" i="21"/>
  <c r="D23" i="21" s="1"/>
  <c r="E23" i="21" s="1"/>
  <c r="F23" i="21" s="1"/>
  <c r="G23" i="21" s="1"/>
  <c r="H23" i="21" s="1"/>
  <c r="I23" i="21" s="1"/>
  <c r="J23" i="21" s="1"/>
  <c r="K23" i="21" s="1"/>
  <c r="L23" i="21" s="1"/>
  <c r="M23" i="21" s="1"/>
  <c r="N23" i="21" s="1"/>
  <c r="O23" i="21" s="1"/>
  <c r="P23" i="21" s="1"/>
  <c r="Q23" i="21" s="1"/>
  <c r="R23" i="21" s="1"/>
  <c r="S23" i="21" s="1"/>
  <c r="T23" i="21" s="1"/>
  <c r="U23" i="21" s="1"/>
  <c r="U18" i="21"/>
  <c r="U29" i="21" s="1"/>
  <c r="T18" i="21"/>
  <c r="T29" i="21" s="1"/>
  <c r="S18" i="21"/>
  <c r="S29" i="21" s="1"/>
  <c r="R18" i="21"/>
  <c r="R29" i="21" s="1"/>
  <c r="Q18" i="21"/>
  <c r="Q29" i="21" s="1"/>
  <c r="P18" i="21"/>
  <c r="P29" i="21" s="1"/>
  <c r="O18" i="21"/>
  <c r="O29" i="21" s="1"/>
  <c r="N18" i="21"/>
  <c r="N29" i="21" s="1"/>
  <c r="M18" i="21"/>
  <c r="M29" i="21" s="1"/>
  <c r="L18" i="21"/>
  <c r="L29" i="21" s="1"/>
  <c r="K18" i="21"/>
  <c r="K29" i="21" s="1"/>
  <c r="J18" i="21"/>
  <c r="J29" i="21" s="1"/>
  <c r="I18" i="21"/>
  <c r="I29" i="21" s="1"/>
  <c r="H18" i="21"/>
  <c r="H29" i="21" s="1"/>
  <c r="G18" i="21"/>
  <c r="G29" i="21" s="1"/>
  <c r="F18" i="21"/>
  <c r="F29" i="21" s="1"/>
  <c r="E18" i="21"/>
  <c r="E29" i="21" s="1"/>
  <c r="D18" i="21"/>
  <c r="D29" i="21" s="1"/>
  <c r="C18" i="21"/>
  <c r="C29" i="21" s="1"/>
  <c r="B18" i="21"/>
  <c r="B29" i="21" s="1"/>
  <c r="V17" i="21"/>
  <c r="V16" i="21"/>
  <c r="V15" i="21"/>
  <c r="U12" i="21"/>
  <c r="T12" i="21"/>
  <c r="S12" i="21"/>
  <c r="R12" i="21"/>
  <c r="Q12" i="21"/>
  <c r="P12" i="21"/>
  <c r="O12" i="21"/>
  <c r="N12" i="21"/>
  <c r="M12" i="21"/>
  <c r="L12" i="21"/>
  <c r="K12" i="21"/>
  <c r="J12" i="21"/>
  <c r="I12" i="21"/>
  <c r="H12" i="21"/>
  <c r="G12" i="21"/>
  <c r="F12" i="21"/>
  <c r="E12" i="21"/>
  <c r="D12" i="21"/>
  <c r="C12" i="21"/>
  <c r="B12" i="21"/>
  <c r="V11" i="21"/>
  <c r="V10" i="21"/>
  <c r="V9" i="21"/>
  <c r="V8" i="21"/>
  <c r="V7" i="21"/>
  <c r="V6" i="21"/>
  <c r="C4" i="21"/>
  <c r="D4" i="21" s="1"/>
  <c r="E4" i="21" s="1"/>
  <c r="F4" i="21" s="1"/>
  <c r="G4" i="21" s="1"/>
  <c r="H4" i="21" s="1"/>
  <c r="I4" i="21" s="1"/>
  <c r="J4" i="21" s="1"/>
  <c r="K4" i="21" s="1"/>
  <c r="L4" i="21" s="1"/>
  <c r="M4" i="21" s="1"/>
  <c r="N4" i="21" s="1"/>
  <c r="O4" i="21" s="1"/>
  <c r="P4" i="21" s="1"/>
  <c r="Q4" i="21" s="1"/>
  <c r="R4" i="21" s="1"/>
  <c r="S4" i="21" s="1"/>
  <c r="T4" i="21" s="1"/>
  <c r="U4" i="21" s="1"/>
  <c r="C78" i="19"/>
  <c r="D78" i="19" s="1"/>
  <c r="E78" i="19" s="1"/>
  <c r="F78" i="19" s="1"/>
  <c r="G78" i="19" s="1"/>
  <c r="H78" i="19" s="1"/>
  <c r="I78" i="19" s="1"/>
  <c r="J78" i="19" s="1"/>
  <c r="K78" i="19" s="1"/>
  <c r="L78" i="19" s="1"/>
  <c r="M78" i="19" s="1"/>
  <c r="N78" i="19" s="1"/>
  <c r="O78" i="19" s="1"/>
  <c r="P78" i="19" s="1"/>
  <c r="Q78" i="19" s="1"/>
  <c r="R78" i="19" s="1"/>
  <c r="S78" i="19" s="1"/>
  <c r="T78" i="19" s="1"/>
  <c r="U78" i="19" s="1"/>
  <c r="U71" i="19"/>
  <c r="T71" i="19"/>
  <c r="S71" i="19"/>
  <c r="R71" i="19"/>
  <c r="Q71" i="19"/>
  <c r="P71" i="19"/>
  <c r="O71" i="19"/>
  <c r="N71" i="19"/>
  <c r="M71" i="19"/>
  <c r="L71" i="19"/>
  <c r="K71" i="19"/>
  <c r="J71" i="19"/>
  <c r="I71" i="19"/>
  <c r="H71" i="19"/>
  <c r="G71" i="19"/>
  <c r="F71" i="19"/>
  <c r="E71" i="19"/>
  <c r="D71" i="19"/>
  <c r="C71" i="19"/>
  <c r="B71" i="19"/>
  <c r="U70" i="19"/>
  <c r="T70" i="19"/>
  <c r="S70" i="19"/>
  <c r="R70" i="19"/>
  <c r="Q70" i="19"/>
  <c r="P70" i="19"/>
  <c r="O70" i="19"/>
  <c r="N70" i="19"/>
  <c r="M70" i="19"/>
  <c r="L70" i="19"/>
  <c r="K70" i="19"/>
  <c r="J70" i="19"/>
  <c r="I70" i="19"/>
  <c r="H70" i="19"/>
  <c r="G70" i="19"/>
  <c r="F70" i="19"/>
  <c r="E70" i="19"/>
  <c r="D70" i="19"/>
  <c r="C70" i="19"/>
  <c r="B70" i="19"/>
  <c r="U69" i="19"/>
  <c r="T69" i="19"/>
  <c r="S69" i="19"/>
  <c r="R69" i="19"/>
  <c r="Q69" i="19"/>
  <c r="P69" i="19"/>
  <c r="O69" i="19"/>
  <c r="N69" i="19"/>
  <c r="M69" i="19"/>
  <c r="L69" i="19"/>
  <c r="K69" i="19"/>
  <c r="J69" i="19"/>
  <c r="I69" i="19"/>
  <c r="H69" i="19"/>
  <c r="G69" i="19"/>
  <c r="F69" i="19"/>
  <c r="E69" i="19"/>
  <c r="D69" i="19"/>
  <c r="C69" i="19"/>
  <c r="B69" i="19"/>
  <c r="U65" i="19"/>
  <c r="T65" i="19"/>
  <c r="S65" i="19"/>
  <c r="R65" i="19"/>
  <c r="Q65" i="19"/>
  <c r="P65" i="19"/>
  <c r="O65" i="19"/>
  <c r="N65" i="19"/>
  <c r="M65" i="19"/>
  <c r="L65" i="19"/>
  <c r="K65" i="19"/>
  <c r="J65" i="19"/>
  <c r="I65" i="19"/>
  <c r="H65" i="19"/>
  <c r="G65" i="19"/>
  <c r="F65" i="19"/>
  <c r="E65" i="19"/>
  <c r="D65" i="19"/>
  <c r="C65" i="19"/>
  <c r="B65" i="19"/>
  <c r="U64" i="19"/>
  <c r="T64" i="19"/>
  <c r="S64" i="19"/>
  <c r="R64" i="19"/>
  <c r="Q64" i="19"/>
  <c r="P64" i="19"/>
  <c r="O64" i="19"/>
  <c r="N64" i="19"/>
  <c r="M64" i="19"/>
  <c r="L64" i="19"/>
  <c r="K64" i="19"/>
  <c r="J64" i="19"/>
  <c r="I64" i="19"/>
  <c r="H64" i="19"/>
  <c r="G64" i="19"/>
  <c r="F64" i="19"/>
  <c r="E64" i="19"/>
  <c r="D64" i="19"/>
  <c r="C64" i="19"/>
  <c r="B64" i="19"/>
  <c r="U63" i="19"/>
  <c r="T63" i="19"/>
  <c r="S63" i="19"/>
  <c r="R63" i="19"/>
  <c r="Q63" i="19"/>
  <c r="P63" i="19"/>
  <c r="O63" i="19"/>
  <c r="N63" i="19"/>
  <c r="M63" i="19"/>
  <c r="L63" i="19"/>
  <c r="K63" i="19"/>
  <c r="J63" i="19"/>
  <c r="I63" i="19"/>
  <c r="H63" i="19"/>
  <c r="G63" i="19"/>
  <c r="F63" i="19"/>
  <c r="E63" i="19"/>
  <c r="D63" i="19"/>
  <c r="C63" i="19"/>
  <c r="B63" i="19"/>
  <c r="U62" i="19"/>
  <c r="T62" i="19"/>
  <c r="S62" i="19"/>
  <c r="R62" i="19"/>
  <c r="Q62" i="19"/>
  <c r="P62" i="19"/>
  <c r="O62" i="19"/>
  <c r="N62" i="19"/>
  <c r="M62" i="19"/>
  <c r="L62" i="19"/>
  <c r="K62" i="19"/>
  <c r="J62" i="19"/>
  <c r="I62" i="19"/>
  <c r="H62" i="19"/>
  <c r="G62" i="19"/>
  <c r="F62" i="19"/>
  <c r="E62" i="19"/>
  <c r="D62" i="19"/>
  <c r="C62" i="19"/>
  <c r="B62" i="19"/>
  <c r="U61" i="19"/>
  <c r="T61" i="19"/>
  <c r="S61" i="19"/>
  <c r="R61" i="19"/>
  <c r="Q61" i="19"/>
  <c r="P61" i="19"/>
  <c r="O61" i="19"/>
  <c r="N61" i="19"/>
  <c r="M61" i="19"/>
  <c r="L61" i="19"/>
  <c r="K61" i="19"/>
  <c r="J61" i="19"/>
  <c r="I61" i="19"/>
  <c r="H61" i="19"/>
  <c r="G61" i="19"/>
  <c r="F61" i="19"/>
  <c r="E61" i="19"/>
  <c r="D61" i="19"/>
  <c r="C61" i="19"/>
  <c r="B61" i="19"/>
  <c r="U60" i="19"/>
  <c r="T60" i="19"/>
  <c r="S60" i="19"/>
  <c r="R60" i="19"/>
  <c r="Q60" i="19"/>
  <c r="P60" i="19"/>
  <c r="O60" i="19"/>
  <c r="N60" i="19"/>
  <c r="M60" i="19"/>
  <c r="L60" i="19"/>
  <c r="K60" i="19"/>
  <c r="J60" i="19"/>
  <c r="I60" i="19"/>
  <c r="H60" i="19"/>
  <c r="G60" i="19"/>
  <c r="F60" i="19"/>
  <c r="E60" i="19"/>
  <c r="D60" i="19"/>
  <c r="C60" i="19"/>
  <c r="B60" i="19"/>
  <c r="C58" i="19"/>
  <c r="D58" i="19" s="1"/>
  <c r="E58" i="19" s="1"/>
  <c r="F58" i="19" s="1"/>
  <c r="G58" i="19" s="1"/>
  <c r="H58" i="19" s="1"/>
  <c r="I58" i="19" s="1"/>
  <c r="J58" i="19" s="1"/>
  <c r="K58" i="19" s="1"/>
  <c r="L58" i="19" s="1"/>
  <c r="M58" i="19" s="1"/>
  <c r="N58" i="19" s="1"/>
  <c r="O58" i="19" s="1"/>
  <c r="P58" i="19" s="1"/>
  <c r="Q58" i="19" s="1"/>
  <c r="R58" i="19" s="1"/>
  <c r="S58" i="19" s="1"/>
  <c r="T58" i="19" s="1"/>
  <c r="U58" i="19" s="1"/>
  <c r="U53" i="19"/>
  <c r="T53" i="19"/>
  <c r="S53" i="19"/>
  <c r="R53" i="19"/>
  <c r="Q53" i="19"/>
  <c r="P53" i="19"/>
  <c r="O53" i="19"/>
  <c r="N53" i="19"/>
  <c r="M53" i="19"/>
  <c r="L53" i="19"/>
  <c r="K53" i="19"/>
  <c r="J53" i="19"/>
  <c r="I53" i="19"/>
  <c r="H53" i="19"/>
  <c r="G53" i="19"/>
  <c r="F53" i="19"/>
  <c r="E53" i="19"/>
  <c r="D53" i="19"/>
  <c r="C53" i="19"/>
  <c r="B53" i="19"/>
  <c r="U52" i="19"/>
  <c r="T52" i="19"/>
  <c r="S52" i="19"/>
  <c r="R52" i="19"/>
  <c r="Q52" i="19"/>
  <c r="P52" i="19"/>
  <c r="O52" i="19"/>
  <c r="N52" i="19"/>
  <c r="M52" i="19"/>
  <c r="L52" i="19"/>
  <c r="K52" i="19"/>
  <c r="J52" i="19"/>
  <c r="I52" i="19"/>
  <c r="H52" i="19"/>
  <c r="G52" i="19"/>
  <c r="F52" i="19"/>
  <c r="E52" i="19"/>
  <c r="D52" i="19"/>
  <c r="C52" i="19"/>
  <c r="B52" i="19"/>
  <c r="U51" i="19"/>
  <c r="T51" i="19"/>
  <c r="S51" i="19"/>
  <c r="R51" i="19"/>
  <c r="Q51" i="19"/>
  <c r="P51" i="19"/>
  <c r="O51" i="19"/>
  <c r="N51" i="19"/>
  <c r="M51" i="19"/>
  <c r="L51" i="19"/>
  <c r="K51" i="19"/>
  <c r="J51" i="19"/>
  <c r="I51" i="19"/>
  <c r="H51" i="19"/>
  <c r="G51" i="19"/>
  <c r="F51" i="19"/>
  <c r="E51" i="19"/>
  <c r="D51" i="19"/>
  <c r="C51" i="19"/>
  <c r="B51" i="19"/>
  <c r="U47" i="19"/>
  <c r="T47" i="19"/>
  <c r="S47" i="19"/>
  <c r="R47" i="19"/>
  <c r="Q47" i="19"/>
  <c r="P47" i="19"/>
  <c r="O47" i="19"/>
  <c r="N47" i="19"/>
  <c r="M47" i="19"/>
  <c r="L47" i="19"/>
  <c r="K47" i="19"/>
  <c r="J47" i="19"/>
  <c r="I47" i="19"/>
  <c r="H47" i="19"/>
  <c r="G47" i="19"/>
  <c r="F47" i="19"/>
  <c r="E47" i="19"/>
  <c r="D47" i="19"/>
  <c r="C47" i="19"/>
  <c r="B47" i="19"/>
  <c r="U46" i="19"/>
  <c r="T46" i="19"/>
  <c r="S46" i="19"/>
  <c r="R46" i="19"/>
  <c r="Q46" i="19"/>
  <c r="P46" i="19"/>
  <c r="O46" i="19"/>
  <c r="N46" i="19"/>
  <c r="M46" i="19"/>
  <c r="L46" i="19"/>
  <c r="K46" i="19"/>
  <c r="J46" i="19"/>
  <c r="I46" i="19"/>
  <c r="H46" i="19"/>
  <c r="G46" i="19"/>
  <c r="F46" i="19"/>
  <c r="E46" i="19"/>
  <c r="D46" i="19"/>
  <c r="C46" i="19"/>
  <c r="B46" i="19"/>
  <c r="U45" i="19"/>
  <c r="T45" i="19"/>
  <c r="S45" i="19"/>
  <c r="R45" i="19"/>
  <c r="Q45" i="19"/>
  <c r="P45" i="19"/>
  <c r="O45" i="19"/>
  <c r="N45" i="19"/>
  <c r="M45" i="19"/>
  <c r="L45" i="19"/>
  <c r="K45" i="19"/>
  <c r="J45" i="19"/>
  <c r="I45" i="19"/>
  <c r="H45" i="19"/>
  <c r="G45" i="19"/>
  <c r="F45" i="19"/>
  <c r="E45" i="19"/>
  <c r="D45" i="19"/>
  <c r="C45" i="19"/>
  <c r="B45" i="19"/>
  <c r="U44" i="19"/>
  <c r="T44" i="19"/>
  <c r="S44" i="19"/>
  <c r="R44" i="19"/>
  <c r="Q44" i="19"/>
  <c r="P44" i="19"/>
  <c r="O44" i="19"/>
  <c r="N44" i="19"/>
  <c r="M44" i="19"/>
  <c r="L44" i="19"/>
  <c r="K44" i="19"/>
  <c r="J44" i="19"/>
  <c r="I44" i="19"/>
  <c r="H44" i="19"/>
  <c r="G44" i="19"/>
  <c r="F44" i="19"/>
  <c r="E44" i="19"/>
  <c r="D44" i="19"/>
  <c r="C44" i="19"/>
  <c r="B44" i="19"/>
  <c r="U43" i="19"/>
  <c r="T43" i="19"/>
  <c r="S43" i="19"/>
  <c r="R43" i="19"/>
  <c r="Q43" i="19"/>
  <c r="P43" i="19"/>
  <c r="O43" i="19"/>
  <c r="N43" i="19"/>
  <c r="M43" i="19"/>
  <c r="L43" i="19"/>
  <c r="K43" i="19"/>
  <c r="J43" i="19"/>
  <c r="I43" i="19"/>
  <c r="H43" i="19"/>
  <c r="G43" i="19"/>
  <c r="F43" i="19"/>
  <c r="E43" i="19"/>
  <c r="D43" i="19"/>
  <c r="C43" i="19"/>
  <c r="B43" i="19"/>
  <c r="U42" i="19"/>
  <c r="T42" i="19"/>
  <c r="S42" i="19"/>
  <c r="R42" i="19"/>
  <c r="Q42" i="19"/>
  <c r="P42" i="19"/>
  <c r="O42" i="19"/>
  <c r="N42" i="19"/>
  <c r="M42" i="19"/>
  <c r="L42" i="19"/>
  <c r="K42" i="19"/>
  <c r="J42" i="19"/>
  <c r="I42" i="19"/>
  <c r="H42" i="19"/>
  <c r="G42" i="19"/>
  <c r="F42" i="19"/>
  <c r="E42" i="19"/>
  <c r="D42" i="19"/>
  <c r="C42" i="19"/>
  <c r="B42" i="19"/>
  <c r="C40" i="19"/>
  <c r="D40" i="19" s="1"/>
  <c r="E40" i="19" s="1"/>
  <c r="F40" i="19" s="1"/>
  <c r="G40" i="19" s="1"/>
  <c r="H40" i="19" s="1"/>
  <c r="I40" i="19" s="1"/>
  <c r="J40" i="19" s="1"/>
  <c r="K40" i="19" s="1"/>
  <c r="L40" i="19" s="1"/>
  <c r="M40" i="19" s="1"/>
  <c r="N40" i="19" s="1"/>
  <c r="O40" i="19" s="1"/>
  <c r="P40" i="19" s="1"/>
  <c r="Q40" i="19" s="1"/>
  <c r="R40" i="19" s="1"/>
  <c r="S40" i="19" s="1"/>
  <c r="T40" i="19" s="1"/>
  <c r="U40" i="19" s="1"/>
  <c r="C22" i="19"/>
  <c r="D22" i="19" s="1"/>
  <c r="E22" i="19" s="1"/>
  <c r="F22" i="19" s="1"/>
  <c r="G22" i="19" s="1"/>
  <c r="H22" i="19" s="1"/>
  <c r="I22" i="19" s="1"/>
  <c r="J22" i="19" s="1"/>
  <c r="K22" i="19" s="1"/>
  <c r="L22" i="19" s="1"/>
  <c r="M22" i="19" s="1"/>
  <c r="N22" i="19" s="1"/>
  <c r="O22" i="19" s="1"/>
  <c r="P22" i="19" s="1"/>
  <c r="Q22" i="19" s="1"/>
  <c r="R22" i="19" s="1"/>
  <c r="S22" i="19" s="1"/>
  <c r="T22" i="19" s="1"/>
  <c r="U22" i="19" s="1"/>
  <c r="U17" i="19"/>
  <c r="T17" i="19"/>
  <c r="S17" i="19"/>
  <c r="R17" i="19"/>
  <c r="Q17" i="19"/>
  <c r="P17" i="19"/>
  <c r="O17" i="19"/>
  <c r="N17" i="19"/>
  <c r="M17" i="19"/>
  <c r="L17" i="19"/>
  <c r="K17" i="19"/>
  <c r="J17" i="19"/>
  <c r="I17" i="19"/>
  <c r="H17" i="19"/>
  <c r="G17" i="19"/>
  <c r="F17" i="19"/>
  <c r="E17" i="19"/>
  <c r="D17" i="19"/>
  <c r="C17" i="19"/>
  <c r="B17" i="19"/>
  <c r="U16" i="19"/>
  <c r="T16" i="19"/>
  <c r="S16" i="19"/>
  <c r="R16" i="19"/>
  <c r="Q16" i="19"/>
  <c r="P16" i="19"/>
  <c r="O16" i="19"/>
  <c r="N16" i="19"/>
  <c r="M16" i="19"/>
  <c r="L16" i="19"/>
  <c r="K16" i="19"/>
  <c r="J16" i="19"/>
  <c r="I16" i="19"/>
  <c r="H16" i="19"/>
  <c r="G16" i="19"/>
  <c r="F16" i="19"/>
  <c r="E16" i="19"/>
  <c r="D16" i="19"/>
  <c r="C16" i="19"/>
  <c r="B16" i="19"/>
  <c r="U15" i="19"/>
  <c r="T15" i="19"/>
  <c r="S15" i="19"/>
  <c r="R15" i="19"/>
  <c r="Q15" i="19"/>
  <c r="P15" i="19"/>
  <c r="O15" i="19"/>
  <c r="N15" i="19"/>
  <c r="M15" i="19"/>
  <c r="L15" i="19"/>
  <c r="K15" i="19"/>
  <c r="J15" i="19"/>
  <c r="I15" i="19"/>
  <c r="H15" i="19"/>
  <c r="G15" i="19"/>
  <c r="F15" i="19"/>
  <c r="E15" i="19"/>
  <c r="D15" i="19"/>
  <c r="C15" i="19"/>
  <c r="B15" i="19"/>
  <c r="U11" i="19"/>
  <c r="T11" i="19"/>
  <c r="S11" i="19"/>
  <c r="R11" i="19"/>
  <c r="Q11" i="19"/>
  <c r="P11" i="19"/>
  <c r="O11" i="19"/>
  <c r="N11" i="19"/>
  <c r="M11" i="19"/>
  <c r="L11" i="19"/>
  <c r="K11" i="19"/>
  <c r="J11" i="19"/>
  <c r="I11" i="19"/>
  <c r="H11" i="19"/>
  <c r="G11" i="19"/>
  <c r="F11" i="19"/>
  <c r="E11" i="19"/>
  <c r="D11" i="19"/>
  <c r="C11" i="19"/>
  <c r="B11" i="19"/>
  <c r="U10" i="19"/>
  <c r="T10" i="19"/>
  <c r="S10" i="19"/>
  <c r="R10" i="19"/>
  <c r="Q10" i="19"/>
  <c r="P10" i="19"/>
  <c r="O10" i="19"/>
  <c r="N10" i="19"/>
  <c r="M10" i="19"/>
  <c r="L10" i="19"/>
  <c r="K10" i="19"/>
  <c r="J10" i="19"/>
  <c r="I10" i="19"/>
  <c r="H10" i="19"/>
  <c r="G10" i="19"/>
  <c r="F10" i="19"/>
  <c r="E10" i="19"/>
  <c r="D10" i="19"/>
  <c r="C10" i="19"/>
  <c r="B10" i="19"/>
  <c r="U9" i="19"/>
  <c r="T9" i="19"/>
  <c r="S9" i="19"/>
  <c r="R9" i="19"/>
  <c r="Q9" i="19"/>
  <c r="P9" i="19"/>
  <c r="O9" i="19"/>
  <c r="N9" i="19"/>
  <c r="M9" i="19"/>
  <c r="L9" i="19"/>
  <c r="K9" i="19"/>
  <c r="J9" i="19"/>
  <c r="I9" i="19"/>
  <c r="H9" i="19"/>
  <c r="G9" i="19"/>
  <c r="F9" i="19"/>
  <c r="E9" i="19"/>
  <c r="D9" i="19"/>
  <c r="C9" i="19"/>
  <c r="B9" i="19"/>
  <c r="U8" i="19"/>
  <c r="T8" i="19"/>
  <c r="S8" i="19"/>
  <c r="R8" i="19"/>
  <c r="Q8" i="19"/>
  <c r="P8" i="19"/>
  <c r="O8" i="19"/>
  <c r="N8" i="19"/>
  <c r="M8" i="19"/>
  <c r="L8" i="19"/>
  <c r="K8" i="19"/>
  <c r="J8" i="19"/>
  <c r="I8" i="19"/>
  <c r="H8" i="19"/>
  <c r="G8" i="19"/>
  <c r="F8" i="19"/>
  <c r="E8" i="19"/>
  <c r="D8" i="19"/>
  <c r="C8" i="19"/>
  <c r="B8" i="19"/>
  <c r="U7" i="19"/>
  <c r="T7" i="19"/>
  <c r="S7" i="19"/>
  <c r="R7" i="19"/>
  <c r="Q7" i="19"/>
  <c r="P7" i="19"/>
  <c r="O7" i="19"/>
  <c r="N7" i="19"/>
  <c r="M7" i="19"/>
  <c r="L7" i="19"/>
  <c r="K7" i="19"/>
  <c r="J7" i="19"/>
  <c r="I7" i="19"/>
  <c r="H7" i="19"/>
  <c r="G7" i="19"/>
  <c r="F7" i="19"/>
  <c r="E7" i="19"/>
  <c r="D7" i="19"/>
  <c r="C7" i="19"/>
  <c r="B7" i="19"/>
  <c r="U6" i="19"/>
  <c r="T6" i="19"/>
  <c r="S6" i="19"/>
  <c r="R6" i="19"/>
  <c r="Q6" i="19"/>
  <c r="P6" i="19"/>
  <c r="O6" i="19"/>
  <c r="N6" i="19"/>
  <c r="M6" i="19"/>
  <c r="L6" i="19"/>
  <c r="K6" i="19"/>
  <c r="J6" i="19"/>
  <c r="I6" i="19"/>
  <c r="H6" i="19"/>
  <c r="G6" i="19"/>
  <c r="F6" i="19"/>
  <c r="E6" i="19"/>
  <c r="D6" i="19"/>
  <c r="C6" i="19"/>
  <c r="B6" i="19"/>
  <c r="C4" i="19"/>
  <c r="D4" i="19" s="1"/>
  <c r="E4" i="19" s="1"/>
  <c r="F4" i="19" s="1"/>
  <c r="G4" i="19" s="1"/>
  <c r="H4" i="19" s="1"/>
  <c r="I4" i="19" s="1"/>
  <c r="J4" i="19" s="1"/>
  <c r="K4" i="19" s="1"/>
  <c r="L4" i="19" s="1"/>
  <c r="M4" i="19" s="1"/>
  <c r="N4" i="19" s="1"/>
  <c r="O4" i="19" s="1"/>
  <c r="P4" i="19" s="1"/>
  <c r="Q4" i="19" s="1"/>
  <c r="R4" i="19" s="1"/>
  <c r="S4" i="19" s="1"/>
  <c r="T4" i="19" s="1"/>
  <c r="U4" i="19" s="1"/>
  <c r="C69" i="18"/>
  <c r="D69" i="18" s="1"/>
  <c r="E69" i="18" s="1"/>
  <c r="F69" i="18" s="1"/>
  <c r="G69" i="18" s="1"/>
  <c r="H69" i="18" s="1"/>
  <c r="I69" i="18" s="1"/>
  <c r="J69" i="18" s="1"/>
  <c r="K69" i="18" s="1"/>
  <c r="L69" i="18" s="1"/>
  <c r="M69" i="18" s="1"/>
  <c r="N69" i="18" s="1"/>
  <c r="O69" i="18" s="1"/>
  <c r="P69" i="18" s="1"/>
  <c r="Q69" i="18" s="1"/>
  <c r="R69" i="18" s="1"/>
  <c r="S69" i="18" s="1"/>
  <c r="T69" i="18" s="1"/>
  <c r="U69" i="18" s="1"/>
  <c r="C64" i="18"/>
  <c r="D64" i="18" s="1"/>
  <c r="E64" i="18" s="1"/>
  <c r="F64" i="18" s="1"/>
  <c r="G64" i="18" s="1"/>
  <c r="H64" i="18" s="1"/>
  <c r="I64" i="18" s="1"/>
  <c r="J64" i="18" s="1"/>
  <c r="K64" i="18" s="1"/>
  <c r="L64" i="18" s="1"/>
  <c r="M64" i="18" s="1"/>
  <c r="N64" i="18" s="1"/>
  <c r="O64" i="18" s="1"/>
  <c r="P64" i="18" s="1"/>
  <c r="Q64" i="18" s="1"/>
  <c r="R64" i="18" s="1"/>
  <c r="S64" i="18" s="1"/>
  <c r="T64" i="18" s="1"/>
  <c r="U64" i="18" s="1"/>
  <c r="V60" i="18"/>
  <c r="C59" i="18"/>
  <c r="D59" i="18" s="1"/>
  <c r="E59" i="18" s="1"/>
  <c r="F59" i="18" s="1"/>
  <c r="G59" i="18" s="1"/>
  <c r="H59" i="18" s="1"/>
  <c r="I59" i="18" s="1"/>
  <c r="J59" i="18" s="1"/>
  <c r="K59" i="18" s="1"/>
  <c r="L59" i="18" s="1"/>
  <c r="M59" i="18" s="1"/>
  <c r="N59" i="18" s="1"/>
  <c r="O59" i="18" s="1"/>
  <c r="P59" i="18" s="1"/>
  <c r="Q59" i="18" s="1"/>
  <c r="R59" i="18" s="1"/>
  <c r="S59" i="18" s="1"/>
  <c r="T59" i="18" s="1"/>
  <c r="U59" i="18" s="1"/>
  <c r="U53" i="18"/>
  <c r="U35" i="19" s="1"/>
  <c r="T53" i="18"/>
  <c r="T35" i="19" s="1"/>
  <c r="S53" i="18"/>
  <c r="S35" i="19" s="1"/>
  <c r="R53" i="18"/>
  <c r="R35" i="19" s="1"/>
  <c r="Q53" i="18"/>
  <c r="Q35" i="19" s="1"/>
  <c r="P53" i="18"/>
  <c r="P35" i="19" s="1"/>
  <c r="O53" i="18"/>
  <c r="O35" i="19" s="1"/>
  <c r="N53" i="18"/>
  <c r="N35" i="19" s="1"/>
  <c r="M53" i="18"/>
  <c r="M35" i="19" s="1"/>
  <c r="L53" i="18"/>
  <c r="L35" i="19" s="1"/>
  <c r="K53" i="18"/>
  <c r="K35" i="19" s="1"/>
  <c r="J53" i="18"/>
  <c r="J35" i="19" s="1"/>
  <c r="I53" i="18"/>
  <c r="I35" i="19" s="1"/>
  <c r="H53" i="18"/>
  <c r="H35" i="19" s="1"/>
  <c r="G53" i="18"/>
  <c r="G35" i="19" s="1"/>
  <c r="F53" i="18"/>
  <c r="F35" i="19" s="1"/>
  <c r="E53" i="18"/>
  <c r="E35" i="19" s="1"/>
  <c r="D53" i="18"/>
  <c r="D35" i="19" s="1"/>
  <c r="C53" i="18"/>
  <c r="C35" i="19" s="1"/>
  <c r="B53" i="18"/>
  <c r="B35" i="19" s="1"/>
  <c r="U52" i="18"/>
  <c r="U34" i="19" s="1"/>
  <c r="T52" i="18"/>
  <c r="T34" i="19" s="1"/>
  <c r="S52" i="18"/>
  <c r="S34" i="19" s="1"/>
  <c r="R52" i="18"/>
  <c r="R34" i="19" s="1"/>
  <c r="Q52" i="18"/>
  <c r="Q34" i="19" s="1"/>
  <c r="P52" i="18"/>
  <c r="P34" i="19" s="1"/>
  <c r="O52" i="18"/>
  <c r="O34" i="19" s="1"/>
  <c r="N52" i="18"/>
  <c r="N34" i="19" s="1"/>
  <c r="M52" i="18"/>
  <c r="M34" i="19" s="1"/>
  <c r="L52" i="18"/>
  <c r="L34" i="19" s="1"/>
  <c r="K52" i="18"/>
  <c r="K34" i="19" s="1"/>
  <c r="J52" i="18"/>
  <c r="J34" i="19" s="1"/>
  <c r="I52" i="18"/>
  <c r="I34" i="19" s="1"/>
  <c r="H52" i="18"/>
  <c r="H34" i="19" s="1"/>
  <c r="G52" i="18"/>
  <c r="G34" i="19" s="1"/>
  <c r="F52" i="18"/>
  <c r="F34" i="19" s="1"/>
  <c r="E52" i="18"/>
  <c r="E34" i="19" s="1"/>
  <c r="D52" i="18"/>
  <c r="D34" i="19" s="1"/>
  <c r="C52" i="18"/>
  <c r="C34" i="19" s="1"/>
  <c r="B52" i="18"/>
  <c r="B34" i="19" s="1"/>
  <c r="U51" i="18"/>
  <c r="U33" i="19" s="1"/>
  <c r="T51" i="18"/>
  <c r="T33" i="19" s="1"/>
  <c r="S51" i="18"/>
  <c r="S33" i="19" s="1"/>
  <c r="R51" i="18"/>
  <c r="R33" i="19" s="1"/>
  <c r="Q51" i="18"/>
  <c r="Q33" i="19" s="1"/>
  <c r="P51" i="18"/>
  <c r="P33" i="19" s="1"/>
  <c r="O51" i="18"/>
  <c r="O33" i="19" s="1"/>
  <c r="N51" i="18"/>
  <c r="N33" i="19" s="1"/>
  <c r="M51" i="18"/>
  <c r="M33" i="19" s="1"/>
  <c r="L51" i="18"/>
  <c r="L33" i="19" s="1"/>
  <c r="K51" i="18"/>
  <c r="K33" i="19" s="1"/>
  <c r="J51" i="18"/>
  <c r="J33" i="19" s="1"/>
  <c r="I51" i="18"/>
  <c r="I33" i="19" s="1"/>
  <c r="H51" i="18"/>
  <c r="H33" i="19" s="1"/>
  <c r="G51" i="18"/>
  <c r="G33" i="19" s="1"/>
  <c r="F51" i="18"/>
  <c r="F33" i="19" s="1"/>
  <c r="E51" i="18"/>
  <c r="E33" i="19" s="1"/>
  <c r="D51" i="18"/>
  <c r="D33" i="19" s="1"/>
  <c r="C51" i="18"/>
  <c r="C33" i="19" s="1"/>
  <c r="B51" i="18"/>
  <c r="B33" i="19" s="1"/>
  <c r="U47" i="18"/>
  <c r="U29" i="19" s="1"/>
  <c r="T47" i="18"/>
  <c r="T29" i="19" s="1"/>
  <c r="S47" i="18"/>
  <c r="S29" i="19" s="1"/>
  <c r="R47" i="18"/>
  <c r="R29" i="19" s="1"/>
  <c r="Q47" i="18"/>
  <c r="Q29" i="19" s="1"/>
  <c r="P47" i="18"/>
  <c r="P29" i="19" s="1"/>
  <c r="O47" i="18"/>
  <c r="O29" i="19" s="1"/>
  <c r="N47" i="18"/>
  <c r="N29" i="19" s="1"/>
  <c r="M47" i="18"/>
  <c r="M29" i="19" s="1"/>
  <c r="L47" i="18"/>
  <c r="L29" i="19" s="1"/>
  <c r="K47" i="18"/>
  <c r="K29" i="19" s="1"/>
  <c r="J47" i="18"/>
  <c r="J29" i="19" s="1"/>
  <c r="I47" i="18"/>
  <c r="I29" i="19" s="1"/>
  <c r="H47" i="18"/>
  <c r="H29" i="19" s="1"/>
  <c r="G47" i="18"/>
  <c r="G29" i="19" s="1"/>
  <c r="F47" i="18"/>
  <c r="F29" i="19" s="1"/>
  <c r="E47" i="18"/>
  <c r="E29" i="19" s="1"/>
  <c r="D47" i="18"/>
  <c r="D29" i="19" s="1"/>
  <c r="C47" i="18"/>
  <c r="C29" i="19" s="1"/>
  <c r="B47" i="18"/>
  <c r="B29" i="19" s="1"/>
  <c r="U46" i="18"/>
  <c r="U28" i="19" s="1"/>
  <c r="T46" i="18"/>
  <c r="T28" i="19" s="1"/>
  <c r="S46" i="18"/>
  <c r="S28" i="19" s="1"/>
  <c r="R46" i="18"/>
  <c r="R28" i="19" s="1"/>
  <c r="Q46" i="18"/>
  <c r="Q28" i="19" s="1"/>
  <c r="P46" i="18"/>
  <c r="P28" i="19" s="1"/>
  <c r="O46" i="18"/>
  <c r="O28" i="19" s="1"/>
  <c r="N46" i="18"/>
  <c r="N28" i="19" s="1"/>
  <c r="M46" i="18"/>
  <c r="M28" i="19" s="1"/>
  <c r="L46" i="18"/>
  <c r="L28" i="19" s="1"/>
  <c r="K46" i="18"/>
  <c r="K28" i="19" s="1"/>
  <c r="J46" i="18"/>
  <c r="J28" i="19" s="1"/>
  <c r="I46" i="18"/>
  <c r="I28" i="19" s="1"/>
  <c r="H46" i="18"/>
  <c r="H28" i="19" s="1"/>
  <c r="G46" i="18"/>
  <c r="G28" i="19" s="1"/>
  <c r="F46" i="18"/>
  <c r="F28" i="19" s="1"/>
  <c r="E46" i="18"/>
  <c r="E28" i="19" s="1"/>
  <c r="D46" i="18"/>
  <c r="D28" i="19" s="1"/>
  <c r="C46" i="18"/>
  <c r="C28" i="19" s="1"/>
  <c r="B46" i="18"/>
  <c r="B28" i="19" s="1"/>
  <c r="U45" i="18"/>
  <c r="U27" i="19" s="1"/>
  <c r="T45" i="18"/>
  <c r="T27" i="19" s="1"/>
  <c r="S45" i="18"/>
  <c r="S27" i="19" s="1"/>
  <c r="R45" i="18"/>
  <c r="R27" i="19" s="1"/>
  <c r="Q45" i="18"/>
  <c r="Q27" i="19" s="1"/>
  <c r="P45" i="18"/>
  <c r="P27" i="19" s="1"/>
  <c r="O45" i="18"/>
  <c r="O27" i="19" s="1"/>
  <c r="N45" i="18"/>
  <c r="N27" i="19" s="1"/>
  <c r="M45" i="18"/>
  <c r="M27" i="19" s="1"/>
  <c r="L45" i="18"/>
  <c r="L27" i="19" s="1"/>
  <c r="K45" i="18"/>
  <c r="K27" i="19" s="1"/>
  <c r="J45" i="18"/>
  <c r="J27" i="19" s="1"/>
  <c r="I45" i="18"/>
  <c r="I27" i="19" s="1"/>
  <c r="H45" i="18"/>
  <c r="H27" i="19" s="1"/>
  <c r="G45" i="18"/>
  <c r="G27" i="19" s="1"/>
  <c r="F45" i="18"/>
  <c r="F27" i="19" s="1"/>
  <c r="E45" i="18"/>
  <c r="E27" i="19" s="1"/>
  <c r="D45" i="18"/>
  <c r="D27" i="19" s="1"/>
  <c r="C45" i="18"/>
  <c r="C27" i="19" s="1"/>
  <c r="B45" i="18"/>
  <c r="B27" i="19" s="1"/>
  <c r="U44" i="18"/>
  <c r="U26" i="19" s="1"/>
  <c r="T44" i="18"/>
  <c r="T26" i="19" s="1"/>
  <c r="S44" i="18"/>
  <c r="S26" i="19" s="1"/>
  <c r="R44" i="18"/>
  <c r="R26" i="19" s="1"/>
  <c r="Q44" i="18"/>
  <c r="Q26" i="19" s="1"/>
  <c r="P44" i="18"/>
  <c r="P26" i="19" s="1"/>
  <c r="O44" i="18"/>
  <c r="O26" i="19" s="1"/>
  <c r="N44" i="18"/>
  <c r="N26" i="19" s="1"/>
  <c r="M44" i="18"/>
  <c r="M26" i="19" s="1"/>
  <c r="L44" i="18"/>
  <c r="L26" i="19" s="1"/>
  <c r="K44" i="18"/>
  <c r="K26" i="19" s="1"/>
  <c r="J44" i="18"/>
  <c r="J26" i="19" s="1"/>
  <c r="I44" i="18"/>
  <c r="I26" i="19" s="1"/>
  <c r="H44" i="18"/>
  <c r="H26" i="19" s="1"/>
  <c r="G44" i="18"/>
  <c r="G26" i="19" s="1"/>
  <c r="F44" i="18"/>
  <c r="F26" i="19" s="1"/>
  <c r="E44" i="18"/>
  <c r="E26" i="19" s="1"/>
  <c r="D44" i="18"/>
  <c r="D26" i="19" s="1"/>
  <c r="C44" i="18"/>
  <c r="C26" i="19" s="1"/>
  <c r="B44" i="18"/>
  <c r="B26" i="19" s="1"/>
  <c r="U43" i="18"/>
  <c r="U25" i="19" s="1"/>
  <c r="T43" i="18"/>
  <c r="T25" i="19" s="1"/>
  <c r="S43" i="18"/>
  <c r="S25" i="19" s="1"/>
  <c r="R43" i="18"/>
  <c r="R25" i="19" s="1"/>
  <c r="Q43" i="18"/>
  <c r="Q25" i="19" s="1"/>
  <c r="P43" i="18"/>
  <c r="P25" i="19" s="1"/>
  <c r="O43" i="18"/>
  <c r="O25" i="19" s="1"/>
  <c r="N43" i="18"/>
  <c r="N25" i="19" s="1"/>
  <c r="M43" i="18"/>
  <c r="M25" i="19" s="1"/>
  <c r="L43" i="18"/>
  <c r="L25" i="19" s="1"/>
  <c r="K43" i="18"/>
  <c r="K25" i="19" s="1"/>
  <c r="J43" i="18"/>
  <c r="J25" i="19" s="1"/>
  <c r="I43" i="18"/>
  <c r="I25" i="19" s="1"/>
  <c r="H43" i="18"/>
  <c r="H25" i="19" s="1"/>
  <c r="G43" i="18"/>
  <c r="G25" i="19" s="1"/>
  <c r="F43" i="18"/>
  <c r="F25" i="19" s="1"/>
  <c r="E43" i="18"/>
  <c r="E25" i="19" s="1"/>
  <c r="D43" i="18"/>
  <c r="D25" i="19" s="1"/>
  <c r="C43" i="18"/>
  <c r="C25" i="19" s="1"/>
  <c r="B43" i="18"/>
  <c r="B25" i="19" s="1"/>
  <c r="U42" i="18"/>
  <c r="U24" i="19" s="1"/>
  <c r="T42" i="18"/>
  <c r="T24" i="19" s="1"/>
  <c r="S42" i="18"/>
  <c r="S24" i="19" s="1"/>
  <c r="R42" i="18"/>
  <c r="R24" i="19" s="1"/>
  <c r="Q42" i="18"/>
  <c r="Q24" i="19" s="1"/>
  <c r="P42" i="18"/>
  <c r="P24" i="19" s="1"/>
  <c r="O42" i="18"/>
  <c r="O24" i="19" s="1"/>
  <c r="N42" i="18"/>
  <c r="N24" i="19" s="1"/>
  <c r="M42" i="18"/>
  <c r="M24" i="19" s="1"/>
  <c r="L42" i="18"/>
  <c r="L24" i="19" s="1"/>
  <c r="K42" i="18"/>
  <c r="K24" i="19" s="1"/>
  <c r="J42" i="18"/>
  <c r="J24" i="19" s="1"/>
  <c r="I42" i="18"/>
  <c r="I24" i="19" s="1"/>
  <c r="H42" i="18"/>
  <c r="H24" i="19" s="1"/>
  <c r="G42" i="18"/>
  <c r="G24" i="19" s="1"/>
  <c r="F42" i="18"/>
  <c r="F24" i="19" s="1"/>
  <c r="E42" i="18"/>
  <c r="E24" i="19" s="1"/>
  <c r="D42" i="18"/>
  <c r="D24" i="19" s="1"/>
  <c r="C42" i="18"/>
  <c r="C24" i="19" s="1"/>
  <c r="B42" i="18"/>
  <c r="B24" i="19" s="1"/>
  <c r="C40" i="18"/>
  <c r="D40" i="18" s="1"/>
  <c r="E40" i="18" s="1"/>
  <c r="F40" i="18" s="1"/>
  <c r="G40" i="18" s="1"/>
  <c r="H40" i="18" s="1"/>
  <c r="I40" i="18" s="1"/>
  <c r="J40" i="18" s="1"/>
  <c r="K40" i="18" s="1"/>
  <c r="L40" i="18" s="1"/>
  <c r="M40" i="18" s="1"/>
  <c r="N40" i="18" s="1"/>
  <c r="O40" i="18" s="1"/>
  <c r="P40" i="18" s="1"/>
  <c r="Q40" i="18" s="1"/>
  <c r="R40" i="18" s="1"/>
  <c r="S40" i="18" s="1"/>
  <c r="T40" i="18" s="1"/>
  <c r="U40" i="18" s="1"/>
  <c r="U36" i="18"/>
  <c r="U79" i="18" s="1"/>
  <c r="T36" i="18"/>
  <c r="T79" i="18" s="1"/>
  <c r="S36" i="18"/>
  <c r="S79" i="18" s="1"/>
  <c r="R36" i="18"/>
  <c r="R79" i="18" s="1"/>
  <c r="Q36" i="18"/>
  <c r="Q79" i="18" s="1"/>
  <c r="P36" i="18"/>
  <c r="P79" i="18" s="1"/>
  <c r="O36" i="18"/>
  <c r="O79" i="18" s="1"/>
  <c r="N36" i="18"/>
  <c r="N79" i="18" s="1"/>
  <c r="M36" i="18"/>
  <c r="M79" i="18" s="1"/>
  <c r="L36" i="18"/>
  <c r="L79" i="18" s="1"/>
  <c r="K36" i="18"/>
  <c r="K79" i="18" s="1"/>
  <c r="J36" i="18"/>
  <c r="J79" i="18" s="1"/>
  <c r="I36" i="18"/>
  <c r="I79" i="18" s="1"/>
  <c r="H36" i="18"/>
  <c r="H79" i="18" s="1"/>
  <c r="G36" i="18"/>
  <c r="G79" i="18" s="1"/>
  <c r="F36" i="18"/>
  <c r="F79" i="18" s="1"/>
  <c r="E36" i="18"/>
  <c r="E79" i="18" s="1"/>
  <c r="D36" i="18"/>
  <c r="D79" i="18" s="1"/>
  <c r="C36" i="18"/>
  <c r="C79" i="18" s="1"/>
  <c r="B36" i="18"/>
  <c r="B79" i="18" s="1"/>
  <c r="V35" i="18"/>
  <c r="V34" i="18"/>
  <c r="V33" i="18"/>
  <c r="U30" i="18"/>
  <c r="U75" i="18" s="1"/>
  <c r="T30" i="18"/>
  <c r="T75" i="18" s="1"/>
  <c r="S30" i="18"/>
  <c r="S75" i="18" s="1"/>
  <c r="R30" i="18"/>
  <c r="R75" i="18" s="1"/>
  <c r="Q30" i="18"/>
  <c r="Q75" i="18" s="1"/>
  <c r="P30" i="18"/>
  <c r="P75" i="18" s="1"/>
  <c r="O30" i="18"/>
  <c r="O75" i="18" s="1"/>
  <c r="N30" i="18"/>
  <c r="N75" i="18" s="1"/>
  <c r="M30" i="18"/>
  <c r="M75" i="18" s="1"/>
  <c r="L30" i="18"/>
  <c r="L75" i="18" s="1"/>
  <c r="K30" i="18"/>
  <c r="K75" i="18" s="1"/>
  <c r="J30" i="18"/>
  <c r="J75" i="18" s="1"/>
  <c r="I30" i="18"/>
  <c r="I75" i="18" s="1"/>
  <c r="H30" i="18"/>
  <c r="H75" i="18" s="1"/>
  <c r="G30" i="18"/>
  <c r="G75" i="18" s="1"/>
  <c r="F30" i="18"/>
  <c r="F75" i="18" s="1"/>
  <c r="E30" i="18"/>
  <c r="E75" i="18" s="1"/>
  <c r="D30" i="18"/>
  <c r="D75" i="18" s="1"/>
  <c r="C30" i="18"/>
  <c r="C75" i="18" s="1"/>
  <c r="B30" i="18"/>
  <c r="B75" i="18" s="1"/>
  <c r="V29" i="18"/>
  <c r="V28" i="18"/>
  <c r="V27" i="18"/>
  <c r="V26" i="18"/>
  <c r="V25" i="18"/>
  <c r="V24" i="18"/>
  <c r="C22" i="18"/>
  <c r="D22" i="18" s="1"/>
  <c r="E22" i="18" s="1"/>
  <c r="F22" i="18" s="1"/>
  <c r="G22" i="18" s="1"/>
  <c r="H22" i="18" s="1"/>
  <c r="I22" i="18" s="1"/>
  <c r="J22" i="18" s="1"/>
  <c r="K22" i="18" s="1"/>
  <c r="L22" i="18" s="1"/>
  <c r="M22" i="18" s="1"/>
  <c r="N22" i="18" s="1"/>
  <c r="O22" i="18" s="1"/>
  <c r="P22" i="18" s="1"/>
  <c r="Q22" i="18" s="1"/>
  <c r="R22" i="18" s="1"/>
  <c r="S22" i="18" s="1"/>
  <c r="T22" i="18" s="1"/>
  <c r="U22" i="18" s="1"/>
  <c r="U18" i="18"/>
  <c r="U78" i="18" s="1"/>
  <c r="T18" i="18"/>
  <c r="T78" i="18" s="1"/>
  <c r="S18" i="18"/>
  <c r="S78" i="18" s="1"/>
  <c r="R18" i="18"/>
  <c r="R78" i="18" s="1"/>
  <c r="Q18" i="18"/>
  <c r="Q78" i="18" s="1"/>
  <c r="P18" i="18"/>
  <c r="P78" i="18" s="1"/>
  <c r="O18" i="18"/>
  <c r="O78" i="18" s="1"/>
  <c r="N18" i="18"/>
  <c r="N78" i="18" s="1"/>
  <c r="M18" i="18"/>
  <c r="M78" i="18" s="1"/>
  <c r="L18" i="18"/>
  <c r="L78" i="18" s="1"/>
  <c r="K18" i="18"/>
  <c r="K78" i="18" s="1"/>
  <c r="J18" i="18"/>
  <c r="J78" i="18" s="1"/>
  <c r="I18" i="18"/>
  <c r="I78" i="18" s="1"/>
  <c r="H18" i="18"/>
  <c r="H78" i="18" s="1"/>
  <c r="G18" i="18"/>
  <c r="G78" i="18" s="1"/>
  <c r="F18" i="18"/>
  <c r="F78" i="18" s="1"/>
  <c r="E18" i="18"/>
  <c r="E78" i="18" s="1"/>
  <c r="D18" i="18"/>
  <c r="D78" i="18" s="1"/>
  <c r="C18" i="18"/>
  <c r="C78" i="18" s="1"/>
  <c r="B18" i="18"/>
  <c r="B78" i="18" s="1"/>
  <c r="V17" i="18"/>
  <c r="V16" i="18"/>
  <c r="V15" i="18"/>
  <c r="U12" i="18"/>
  <c r="U74" i="18" s="1"/>
  <c r="T12" i="18"/>
  <c r="T74" i="18" s="1"/>
  <c r="S12" i="18"/>
  <c r="S74" i="18" s="1"/>
  <c r="R12" i="18"/>
  <c r="R74" i="18" s="1"/>
  <c r="Q12" i="18"/>
  <c r="Q74" i="18" s="1"/>
  <c r="P12" i="18"/>
  <c r="P74" i="18" s="1"/>
  <c r="O12" i="18"/>
  <c r="O74" i="18" s="1"/>
  <c r="N12" i="18"/>
  <c r="N74" i="18" s="1"/>
  <c r="M12" i="18"/>
  <c r="M74" i="18" s="1"/>
  <c r="L12" i="18"/>
  <c r="L74" i="18" s="1"/>
  <c r="K12" i="18"/>
  <c r="K74" i="18" s="1"/>
  <c r="J12" i="18"/>
  <c r="J74" i="18" s="1"/>
  <c r="I12" i="18"/>
  <c r="I74" i="18" s="1"/>
  <c r="H12" i="18"/>
  <c r="H74" i="18" s="1"/>
  <c r="G12" i="18"/>
  <c r="G74" i="18" s="1"/>
  <c r="F12" i="18"/>
  <c r="F74" i="18" s="1"/>
  <c r="E12" i="18"/>
  <c r="E74" i="18" s="1"/>
  <c r="D12" i="18"/>
  <c r="D74" i="18" s="1"/>
  <c r="C12" i="18"/>
  <c r="C74" i="18" s="1"/>
  <c r="B12" i="18"/>
  <c r="B74" i="18" s="1"/>
  <c r="V11" i="18"/>
  <c r="V10" i="18"/>
  <c r="V9" i="18"/>
  <c r="V8" i="18"/>
  <c r="V7" i="18"/>
  <c r="V6" i="18"/>
  <c r="C4" i="18"/>
  <c r="D4" i="18" s="1"/>
  <c r="E4" i="18" s="1"/>
  <c r="F4" i="18" s="1"/>
  <c r="G4" i="18" s="1"/>
  <c r="H4" i="18" s="1"/>
  <c r="I4" i="18" s="1"/>
  <c r="J4" i="18" s="1"/>
  <c r="K4" i="18" s="1"/>
  <c r="L4" i="18" s="1"/>
  <c r="M4" i="18" s="1"/>
  <c r="N4" i="18" s="1"/>
  <c r="O4" i="18" s="1"/>
  <c r="P4" i="18" s="1"/>
  <c r="Q4" i="18" s="1"/>
  <c r="R4" i="18" s="1"/>
  <c r="S4" i="18" s="1"/>
  <c r="T4" i="18" s="1"/>
  <c r="U4" i="18" s="1"/>
  <c r="C25" i="17"/>
  <c r="D25" i="17" s="1"/>
  <c r="E25" i="17" s="1"/>
  <c r="F25" i="17" s="1"/>
  <c r="G25" i="17" s="1"/>
  <c r="H25" i="17" s="1"/>
  <c r="I25" i="17" s="1"/>
  <c r="J25" i="17" s="1"/>
  <c r="K25" i="17" s="1"/>
  <c r="L25" i="17" s="1"/>
  <c r="M25" i="17" s="1"/>
  <c r="N25" i="17" s="1"/>
  <c r="O25" i="17" s="1"/>
  <c r="P25" i="17" s="1"/>
  <c r="Q25" i="17" s="1"/>
  <c r="R25" i="17" s="1"/>
  <c r="S25" i="17" s="1"/>
  <c r="T25" i="17" s="1"/>
  <c r="U25" i="17" s="1"/>
  <c r="U18" i="17"/>
  <c r="T18" i="17"/>
  <c r="T33" i="17" s="1"/>
  <c r="S18" i="17"/>
  <c r="R18" i="17"/>
  <c r="R33" i="17" s="1"/>
  <c r="Q18" i="17"/>
  <c r="Q33" i="17" s="1"/>
  <c r="P18" i="17"/>
  <c r="P33" i="17" s="1"/>
  <c r="O18" i="17"/>
  <c r="N18" i="17"/>
  <c r="N33" i="17" s="1"/>
  <c r="M18" i="17"/>
  <c r="L18" i="17"/>
  <c r="L33" i="17" s="1"/>
  <c r="K18" i="17"/>
  <c r="K33" i="17" s="1"/>
  <c r="J18" i="17"/>
  <c r="J33" i="17" s="1"/>
  <c r="I18" i="17"/>
  <c r="H18" i="17"/>
  <c r="H33" i="17" s="1"/>
  <c r="G18" i="17"/>
  <c r="F18" i="17"/>
  <c r="F33" i="17" s="1"/>
  <c r="E18" i="17"/>
  <c r="D18" i="17"/>
  <c r="D33" i="17" s="1"/>
  <c r="C18" i="17"/>
  <c r="B18" i="17"/>
  <c r="B33" i="17" s="1"/>
  <c r="V17" i="17"/>
  <c r="V16" i="17"/>
  <c r="V15" i="17"/>
  <c r="Q20" i="17"/>
  <c r="V11" i="17"/>
  <c r="V10" i="17"/>
  <c r="V9" i="17"/>
  <c r="V8" i="17"/>
  <c r="V7" i="17"/>
  <c r="V6" i="17"/>
  <c r="C4" i="17"/>
  <c r="D4" i="17" s="1"/>
  <c r="E4" i="17" s="1"/>
  <c r="F4" i="17" s="1"/>
  <c r="G4" i="17" s="1"/>
  <c r="H4" i="17" s="1"/>
  <c r="I4" i="17" s="1"/>
  <c r="J4" i="17" s="1"/>
  <c r="K4" i="17" s="1"/>
  <c r="L4" i="17" s="1"/>
  <c r="M4" i="17" s="1"/>
  <c r="N4" i="17" s="1"/>
  <c r="O4" i="17" s="1"/>
  <c r="P4" i="17" s="1"/>
  <c r="Q4" i="17" s="1"/>
  <c r="R4" i="17" s="1"/>
  <c r="S4" i="17" s="1"/>
  <c r="T4" i="17" s="1"/>
  <c r="U4" i="17" s="1"/>
  <c r="V43" i="16"/>
  <c r="C18" i="16"/>
  <c r="C54" i="16" s="1"/>
  <c r="B18" i="16"/>
  <c r="B54" i="16" s="1"/>
  <c r="U12" i="16"/>
  <c r="U53" i="16" s="1"/>
  <c r="T12" i="16"/>
  <c r="S12" i="16"/>
  <c r="R12" i="16"/>
  <c r="Q12" i="16"/>
  <c r="Q53" i="16" s="1"/>
  <c r="P12" i="16"/>
  <c r="O12" i="16"/>
  <c r="N12" i="16"/>
  <c r="M12" i="16"/>
  <c r="M53" i="16" s="1"/>
  <c r="L12" i="16"/>
  <c r="K12" i="16"/>
  <c r="J12" i="16"/>
  <c r="I12" i="16"/>
  <c r="I53" i="16" s="1"/>
  <c r="H12" i="16"/>
  <c r="G12" i="16"/>
  <c r="F12" i="16"/>
  <c r="E12" i="16"/>
  <c r="E53" i="16" s="1"/>
  <c r="D12" i="16"/>
  <c r="C12" i="16"/>
  <c r="B12" i="16"/>
  <c r="V12" i="16"/>
  <c r="C4" i="16"/>
  <c r="D4" i="16" s="1"/>
  <c r="E4" i="16" s="1"/>
  <c r="F4" i="16" s="1"/>
  <c r="G4" i="16" s="1"/>
  <c r="H4" i="16" s="1"/>
  <c r="I4" i="16" s="1"/>
  <c r="J4" i="16" s="1"/>
  <c r="K4" i="16" s="1"/>
  <c r="L4" i="16" s="1"/>
  <c r="M4" i="16" s="1"/>
  <c r="N4" i="16" s="1"/>
  <c r="O4" i="16" s="1"/>
  <c r="P4" i="16" s="1"/>
  <c r="Q4" i="16" s="1"/>
  <c r="R4" i="16" s="1"/>
  <c r="S4" i="16" s="1"/>
  <c r="T4" i="16" s="1"/>
  <c r="U4" i="16" s="1"/>
  <c r="V24" i="15"/>
  <c r="C23" i="15"/>
  <c r="D23" i="15" s="1"/>
  <c r="E23" i="15" s="1"/>
  <c r="F23" i="15" s="1"/>
  <c r="G23" i="15" s="1"/>
  <c r="H23" i="15" s="1"/>
  <c r="I23" i="15" s="1"/>
  <c r="J23" i="15" s="1"/>
  <c r="K23" i="15" s="1"/>
  <c r="L23" i="15" s="1"/>
  <c r="M23" i="15" s="1"/>
  <c r="N23" i="15" s="1"/>
  <c r="O23" i="15" s="1"/>
  <c r="P23" i="15" s="1"/>
  <c r="Q23" i="15" s="1"/>
  <c r="R23" i="15" s="1"/>
  <c r="S23" i="15" s="1"/>
  <c r="T23" i="15" s="1"/>
  <c r="U23" i="15" s="1"/>
  <c r="U18" i="15"/>
  <c r="U29" i="15" s="1"/>
  <c r="T18" i="15"/>
  <c r="T29" i="15" s="1"/>
  <c r="S18" i="15"/>
  <c r="S29" i="15" s="1"/>
  <c r="R18" i="15"/>
  <c r="R29" i="15" s="1"/>
  <c r="Q18" i="15"/>
  <c r="Q29" i="15" s="1"/>
  <c r="P18" i="15"/>
  <c r="P29" i="15" s="1"/>
  <c r="O18" i="15"/>
  <c r="O29" i="15" s="1"/>
  <c r="N18" i="15"/>
  <c r="N29" i="15" s="1"/>
  <c r="M18" i="15"/>
  <c r="M29" i="15" s="1"/>
  <c r="L18" i="15"/>
  <c r="L29" i="15" s="1"/>
  <c r="K18" i="15"/>
  <c r="K29" i="15" s="1"/>
  <c r="J18" i="15"/>
  <c r="J29" i="15" s="1"/>
  <c r="I18" i="15"/>
  <c r="I29" i="15" s="1"/>
  <c r="H18" i="15"/>
  <c r="H29" i="15" s="1"/>
  <c r="G18" i="15"/>
  <c r="G29" i="15" s="1"/>
  <c r="F18" i="15"/>
  <c r="F29" i="15" s="1"/>
  <c r="E18" i="15"/>
  <c r="E29" i="15" s="1"/>
  <c r="D18" i="15"/>
  <c r="D29" i="15" s="1"/>
  <c r="C18" i="15"/>
  <c r="C29" i="15" s="1"/>
  <c r="B18" i="15"/>
  <c r="B29" i="15" s="1"/>
  <c r="U12" i="15"/>
  <c r="T12" i="15"/>
  <c r="S12" i="15"/>
  <c r="R12" i="15"/>
  <c r="Q12" i="15"/>
  <c r="P12" i="15"/>
  <c r="O12" i="15"/>
  <c r="N12" i="15"/>
  <c r="M12" i="15"/>
  <c r="L12" i="15"/>
  <c r="K12" i="15"/>
  <c r="J12" i="15"/>
  <c r="I12" i="15"/>
  <c r="H12" i="15"/>
  <c r="G12" i="15"/>
  <c r="F12" i="15"/>
  <c r="E12" i="15"/>
  <c r="D12" i="15"/>
  <c r="C12" i="15"/>
  <c r="B12" i="15"/>
  <c r="C4" i="15"/>
  <c r="D4" i="15" s="1"/>
  <c r="E4" i="15" s="1"/>
  <c r="F4" i="15" s="1"/>
  <c r="G4" i="15" s="1"/>
  <c r="H4" i="15" s="1"/>
  <c r="I4" i="15" s="1"/>
  <c r="J4" i="15" s="1"/>
  <c r="K4" i="15" s="1"/>
  <c r="L4" i="15" s="1"/>
  <c r="M4" i="15" s="1"/>
  <c r="N4" i="15" s="1"/>
  <c r="O4" i="15" s="1"/>
  <c r="P4" i="15" s="1"/>
  <c r="Q4" i="15" s="1"/>
  <c r="R4" i="15" s="1"/>
  <c r="S4" i="15" s="1"/>
  <c r="T4" i="15" s="1"/>
  <c r="U4" i="15" s="1"/>
  <c r="C79" i="13"/>
  <c r="D79" i="13"/>
  <c r="E79" i="13"/>
  <c r="F79" i="13"/>
  <c r="G79" i="13"/>
  <c r="H79" i="13"/>
  <c r="I79" i="13"/>
  <c r="J79" i="13"/>
  <c r="K79" i="13"/>
  <c r="L79" i="13"/>
  <c r="M79" i="13"/>
  <c r="N79" i="13"/>
  <c r="O79" i="13"/>
  <c r="P79" i="13"/>
  <c r="Q79" i="13"/>
  <c r="R79" i="13"/>
  <c r="S79" i="13"/>
  <c r="T79" i="13"/>
  <c r="U79" i="13"/>
  <c r="C89" i="13"/>
  <c r="D89" i="13"/>
  <c r="E89" i="13"/>
  <c r="F89" i="13"/>
  <c r="G89" i="13"/>
  <c r="H89" i="13"/>
  <c r="I89" i="13"/>
  <c r="J89" i="13"/>
  <c r="K89" i="13"/>
  <c r="L89" i="13"/>
  <c r="M89" i="13"/>
  <c r="N89" i="13"/>
  <c r="O89" i="13"/>
  <c r="P89" i="13"/>
  <c r="Q89" i="13"/>
  <c r="R89" i="13"/>
  <c r="S89" i="13"/>
  <c r="T89" i="13"/>
  <c r="U89" i="13"/>
  <c r="C94" i="13"/>
  <c r="D94" i="13"/>
  <c r="F94" i="13"/>
  <c r="G94" i="13"/>
  <c r="H94" i="13"/>
  <c r="I94" i="13"/>
  <c r="J94" i="13"/>
  <c r="K94" i="13"/>
  <c r="L94" i="13"/>
  <c r="M94" i="13"/>
  <c r="N94" i="13"/>
  <c r="O94" i="13"/>
  <c r="P94" i="13"/>
  <c r="Q94" i="13"/>
  <c r="R94" i="13"/>
  <c r="S94" i="13"/>
  <c r="T94" i="13"/>
  <c r="U94" i="13"/>
  <c r="B94" i="13"/>
  <c r="B89" i="13"/>
  <c r="B79" i="13"/>
  <c r="C84" i="13"/>
  <c r="D84" i="13"/>
  <c r="E84" i="13"/>
  <c r="F84" i="13"/>
  <c r="G84" i="13"/>
  <c r="H84" i="13"/>
  <c r="I84" i="13"/>
  <c r="J84" i="13"/>
  <c r="K84" i="13"/>
  <c r="L84" i="13"/>
  <c r="M84" i="13"/>
  <c r="N84" i="13"/>
  <c r="O84" i="13"/>
  <c r="P84" i="13"/>
  <c r="Q84" i="13"/>
  <c r="R84" i="13"/>
  <c r="S84" i="13"/>
  <c r="T84" i="13"/>
  <c r="U84" i="13"/>
  <c r="B84" i="13"/>
  <c r="V60" i="6"/>
  <c r="D20" i="16" l="1"/>
  <c r="D53" i="16"/>
  <c r="H20" i="16"/>
  <c r="H53" i="16"/>
  <c r="L20" i="16"/>
  <c r="L53" i="16"/>
  <c r="P20" i="16"/>
  <c r="P53" i="16"/>
  <c r="T20" i="16"/>
  <c r="T53" i="16"/>
  <c r="V45" i="16"/>
  <c r="V53" i="16"/>
  <c r="D38" i="24"/>
  <c r="D75" i="24"/>
  <c r="H38" i="24"/>
  <c r="H75" i="24"/>
  <c r="L38" i="24"/>
  <c r="L75" i="24"/>
  <c r="P38" i="24"/>
  <c r="P75" i="24"/>
  <c r="T38" i="24"/>
  <c r="T75" i="24"/>
  <c r="B20" i="16"/>
  <c r="B53" i="16"/>
  <c r="F20" i="16"/>
  <c r="F53" i="16"/>
  <c r="J20" i="16"/>
  <c r="J53" i="16"/>
  <c r="N20" i="16"/>
  <c r="N53" i="16"/>
  <c r="R20" i="16"/>
  <c r="R53" i="16"/>
  <c r="V12" i="17"/>
  <c r="V32" i="17" s="1"/>
  <c r="V26" i="21"/>
  <c r="V89" i="25"/>
  <c r="V94" i="25"/>
  <c r="V45" i="22"/>
  <c r="V26" i="15"/>
  <c r="V89" i="19"/>
  <c r="V94" i="19"/>
  <c r="C20" i="16"/>
  <c r="C53" i="16"/>
  <c r="G20" i="16"/>
  <c r="G53" i="16"/>
  <c r="K20" i="16"/>
  <c r="K53" i="16"/>
  <c r="O20" i="16"/>
  <c r="O53" i="16"/>
  <c r="S20" i="16"/>
  <c r="S53" i="16"/>
  <c r="V79" i="19"/>
  <c r="C38" i="24"/>
  <c r="C75" i="24"/>
  <c r="G38" i="24"/>
  <c r="G75" i="24"/>
  <c r="K38" i="24"/>
  <c r="K75" i="24"/>
  <c r="O38" i="24"/>
  <c r="O75" i="24"/>
  <c r="S38" i="24"/>
  <c r="S75" i="24"/>
  <c r="V79" i="25"/>
  <c r="V91" i="25"/>
  <c r="V96" i="25"/>
  <c r="B20" i="23"/>
  <c r="B33" i="23"/>
  <c r="F20" i="23"/>
  <c r="F33" i="23"/>
  <c r="J20" i="23"/>
  <c r="J33" i="23"/>
  <c r="N20" i="23"/>
  <c r="N33" i="23"/>
  <c r="R20" i="23"/>
  <c r="R33" i="23"/>
  <c r="C20" i="23"/>
  <c r="C33" i="23"/>
  <c r="G20" i="23"/>
  <c r="G33" i="23"/>
  <c r="K20" i="23"/>
  <c r="K33" i="23"/>
  <c r="O20" i="23"/>
  <c r="O33" i="23"/>
  <c r="S20" i="23"/>
  <c r="S33" i="23"/>
  <c r="D20" i="23"/>
  <c r="D33" i="23"/>
  <c r="H20" i="23"/>
  <c r="H33" i="23"/>
  <c r="L20" i="23"/>
  <c r="L33" i="23"/>
  <c r="P20" i="23"/>
  <c r="P33" i="23"/>
  <c r="T20" i="23"/>
  <c r="T33" i="23"/>
  <c r="E20" i="23"/>
  <c r="E33" i="23"/>
  <c r="I20" i="23"/>
  <c r="I33" i="23"/>
  <c r="M20" i="23"/>
  <c r="M33" i="23"/>
  <c r="Q20" i="23"/>
  <c r="Q33" i="23"/>
  <c r="U20" i="23"/>
  <c r="U33" i="23"/>
  <c r="V91" i="19"/>
  <c r="V96" i="19"/>
  <c r="K20" i="17"/>
  <c r="C20" i="17"/>
  <c r="C33" i="17"/>
  <c r="G20" i="17"/>
  <c r="G33" i="17"/>
  <c r="O20" i="17"/>
  <c r="O33" i="17"/>
  <c r="S20" i="17"/>
  <c r="S33" i="17"/>
  <c r="E20" i="17"/>
  <c r="E33" i="17"/>
  <c r="I20" i="17"/>
  <c r="I33" i="17"/>
  <c r="M20" i="17"/>
  <c r="M33" i="17"/>
  <c r="U20" i="17"/>
  <c r="U33" i="17"/>
  <c r="V67" i="24"/>
  <c r="V70" i="24"/>
  <c r="V62" i="24"/>
  <c r="V81" i="25" s="1"/>
  <c r="V70" i="18"/>
  <c r="V62" i="18"/>
  <c r="V81" i="19" s="1"/>
  <c r="V79" i="13"/>
  <c r="V62" i="6"/>
  <c r="V81" i="13" s="1"/>
  <c r="V36" i="22"/>
  <c r="V58" i="22" s="1"/>
  <c r="B20" i="22"/>
  <c r="J20" i="22"/>
  <c r="N20" i="22"/>
  <c r="F20" i="22"/>
  <c r="R20" i="22"/>
  <c r="V30" i="22"/>
  <c r="V57" i="22" s="1"/>
  <c r="C38" i="18"/>
  <c r="G38" i="18"/>
  <c r="K38" i="18"/>
  <c r="O38" i="18"/>
  <c r="S38" i="18"/>
  <c r="B38" i="18"/>
  <c r="F38" i="18"/>
  <c r="J38" i="18"/>
  <c r="N38" i="18"/>
  <c r="R38" i="18"/>
  <c r="V70" i="6"/>
  <c r="V12" i="23"/>
  <c r="V32" i="23" s="1"/>
  <c r="V18" i="23"/>
  <c r="V33" i="23" s="1"/>
  <c r="B20" i="17"/>
  <c r="F20" i="17"/>
  <c r="J20" i="17"/>
  <c r="N20" i="17"/>
  <c r="R20" i="17"/>
  <c r="V18" i="17"/>
  <c r="V33" i="17" s="1"/>
  <c r="D20" i="17"/>
  <c r="H20" i="17"/>
  <c r="L20" i="17"/>
  <c r="P20" i="17"/>
  <c r="T20" i="17"/>
  <c r="V30" i="24"/>
  <c r="V75" i="24" s="1"/>
  <c r="B38" i="24"/>
  <c r="F38" i="24"/>
  <c r="J38" i="24"/>
  <c r="N38" i="24"/>
  <c r="R38" i="24"/>
  <c r="V36" i="24"/>
  <c r="V79" i="24" s="1"/>
  <c r="E38" i="24"/>
  <c r="I38" i="24"/>
  <c r="M38" i="24"/>
  <c r="Q38" i="24"/>
  <c r="U38" i="24"/>
  <c r="V18" i="22"/>
  <c r="V54" i="22" s="1"/>
  <c r="D20" i="22"/>
  <c r="H20" i="22"/>
  <c r="L20" i="22"/>
  <c r="P20" i="22"/>
  <c r="T20" i="22"/>
  <c r="C20" i="22"/>
  <c r="G20" i="22"/>
  <c r="K20" i="22"/>
  <c r="O20" i="22"/>
  <c r="S20" i="22"/>
  <c r="E20" i="22"/>
  <c r="I20" i="22"/>
  <c r="M20" i="22"/>
  <c r="Q20" i="22"/>
  <c r="U20" i="22"/>
  <c r="V12" i="22"/>
  <c r="V20" i="22" s="1"/>
  <c r="E38" i="18"/>
  <c r="I38" i="18"/>
  <c r="M38" i="18"/>
  <c r="Q38" i="18"/>
  <c r="U38" i="18"/>
  <c r="V36" i="18"/>
  <c r="V79" i="18" s="1"/>
  <c r="D38" i="18"/>
  <c r="H38" i="18"/>
  <c r="L38" i="18"/>
  <c r="P38" i="18"/>
  <c r="T38" i="18"/>
  <c r="V30" i="18"/>
  <c r="V75" i="18" s="1"/>
  <c r="V20" i="16"/>
  <c r="E20" i="16"/>
  <c r="I20" i="16"/>
  <c r="M20" i="16"/>
  <c r="Q20" i="16"/>
  <c r="U20" i="16"/>
  <c r="V60" i="25"/>
  <c r="V42" i="25"/>
  <c r="V61" i="25"/>
  <c r="V43" i="25"/>
  <c r="V62" i="25"/>
  <c r="V44" i="25"/>
  <c r="V63" i="25"/>
  <c r="V45" i="25"/>
  <c r="V64" i="25"/>
  <c r="V46" i="25"/>
  <c r="V65" i="25"/>
  <c r="V47" i="25"/>
  <c r="B66" i="25"/>
  <c r="B48" i="25"/>
  <c r="C66" i="25"/>
  <c r="C48" i="25"/>
  <c r="D66" i="25"/>
  <c r="D48" i="25"/>
  <c r="E66" i="25"/>
  <c r="E48" i="25"/>
  <c r="F66" i="25"/>
  <c r="F48" i="25"/>
  <c r="G66" i="25"/>
  <c r="G48" i="25"/>
  <c r="H66" i="25"/>
  <c r="H48" i="25"/>
  <c r="I66" i="25"/>
  <c r="I48" i="25"/>
  <c r="J66" i="25"/>
  <c r="J48" i="25"/>
  <c r="K66" i="25"/>
  <c r="K48" i="25"/>
  <c r="L66" i="25"/>
  <c r="L48" i="25"/>
  <c r="M66" i="25"/>
  <c r="M48" i="25"/>
  <c r="N66" i="25"/>
  <c r="N48" i="25"/>
  <c r="O66" i="25"/>
  <c r="O48" i="25"/>
  <c r="P66" i="25"/>
  <c r="P48" i="25"/>
  <c r="Q66" i="25"/>
  <c r="Q48" i="25"/>
  <c r="R66" i="25"/>
  <c r="R48" i="25"/>
  <c r="S66" i="25"/>
  <c r="S48" i="25"/>
  <c r="T66" i="25"/>
  <c r="T48" i="25"/>
  <c r="U66" i="25"/>
  <c r="U48" i="25"/>
  <c r="V12" i="21"/>
  <c r="V28" i="21" s="1"/>
  <c r="V69" i="25"/>
  <c r="V51" i="25"/>
  <c r="V70" i="25"/>
  <c r="V52" i="25"/>
  <c r="V71" i="25"/>
  <c r="V53" i="25"/>
  <c r="B72" i="25"/>
  <c r="B54" i="25"/>
  <c r="C72" i="25"/>
  <c r="C54" i="25"/>
  <c r="D72" i="25"/>
  <c r="D54" i="25"/>
  <c r="E72" i="25"/>
  <c r="E54" i="25"/>
  <c r="F72" i="25"/>
  <c r="F54" i="25"/>
  <c r="G72" i="25"/>
  <c r="G54" i="25"/>
  <c r="H72" i="25"/>
  <c r="H54" i="25"/>
  <c r="I72" i="25"/>
  <c r="I54" i="25"/>
  <c r="J72" i="25"/>
  <c r="J54" i="25"/>
  <c r="K72" i="25"/>
  <c r="K54" i="25"/>
  <c r="L72" i="25"/>
  <c r="L54" i="25"/>
  <c r="M72" i="25"/>
  <c r="M54" i="25"/>
  <c r="N72" i="25"/>
  <c r="N54" i="25"/>
  <c r="O72" i="25"/>
  <c r="O54" i="25"/>
  <c r="P72" i="25"/>
  <c r="P54" i="25"/>
  <c r="Q72" i="25"/>
  <c r="Q54" i="25"/>
  <c r="R72" i="25"/>
  <c r="R54" i="25"/>
  <c r="S72" i="25"/>
  <c r="S54" i="25"/>
  <c r="T72" i="25"/>
  <c r="T54" i="25"/>
  <c r="U72" i="25"/>
  <c r="U54" i="25"/>
  <c r="V18" i="21"/>
  <c r="V29" i="21" s="1"/>
  <c r="B20" i="21"/>
  <c r="B30" i="21" s="1"/>
  <c r="C20" i="21"/>
  <c r="C30" i="21" s="1"/>
  <c r="D20" i="21"/>
  <c r="D30" i="21" s="1"/>
  <c r="E20" i="21"/>
  <c r="E30" i="21" s="1"/>
  <c r="F20" i="21"/>
  <c r="F30" i="21" s="1"/>
  <c r="G20" i="21"/>
  <c r="G30" i="21" s="1"/>
  <c r="H20" i="21"/>
  <c r="H30" i="21" s="1"/>
  <c r="I20" i="21"/>
  <c r="I30" i="21" s="1"/>
  <c r="J20" i="21"/>
  <c r="J30" i="21" s="1"/>
  <c r="K20" i="21"/>
  <c r="K30" i="21" s="1"/>
  <c r="L20" i="21"/>
  <c r="L30" i="21" s="1"/>
  <c r="M20" i="21"/>
  <c r="M30" i="21" s="1"/>
  <c r="N20" i="21"/>
  <c r="N30" i="21" s="1"/>
  <c r="O20" i="21"/>
  <c r="O30" i="21" s="1"/>
  <c r="P20" i="21"/>
  <c r="P30" i="21" s="1"/>
  <c r="Q20" i="21"/>
  <c r="Q30" i="21" s="1"/>
  <c r="R20" i="21"/>
  <c r="R30" i="21" s="1"/>
  <c r="S20" i="21"/>
  <c r="S30" i="21" s="1"/>
  <c r="T20" i="21"/>
  <c r="T30" i="21" s="1"/>
  <c r="U20" i="21"/>
  <c r="U30" i="21" s="1"/>
  <c r="B28" i="21"/>
  <c r="C28" i="21"/>
  <c r="D28" i="21"/>
  <c r="E28" i="21"/>
  <c r="F28" i="21"/>
  <c r="G28" i="21"/>
  <c r="H28" i="21"/>
  <c r="I28" i="21"/>
  <c r="J28" i="21"/>
  <c r="K28" i="21"/>
  <c r="L28" i="21"/>
  <c r="M28" i="21"/>
  <c r="N28" i="21"/>
  <c r="O28" i="21"/>
  <c r="P28" i="21"/>
  <c r="Q28" i="21"/>
  <c r="R28" i="21"/>
  <c r="S28" i="21"/>
  <c r="T28" i="21"/>
  <c r="U28" i="21"/>
  <c r="V6" i="25"/>
  <c r="V7" i="25"/>
  <c r="V8" i="25"/>
  <c r="V9" i="25"/>
  <c r="V10" i="25"/>
  <c r="V11" i="25"/>
  <c r="B12" i="25"/>
  <c r="C12" i="25"/>
  <c r="D12" i="25"/>
  <c r="E12" i="25"/>
  <c r="F12" i="25"/>
  <c r="G12" i="25"/>
  <c r="H12" i="25"/>
  <c r="I12" i="25"/>
  <c r="J12" i="25"/>
  <c r="K12" i="25"/>
  <c r="L12" i="25"/>
  <c r="M12" i="25"/>
  <c r="N12" i="25"/>
  <c r="O12" i="25"/>
  <c r="P12" i="25"/>
  <c r="Q12" i="25"/>
  <c r="R12" i="25"/>
  <c r="S12" i="25"/>
  <c r="T12" i="25"/>
  <c r="U12" i="25"/>
  <c r="V12" i="24"/>
  <c r="V74" i="24" s="1"/>
  <c r="V15" i="25"/>
  <c r="V16" i="25"/>
  <c r="V17" i="25"/>
  <c r="B18" i="25"/>
  <c r="C18" i="25"/>
  <c r="D18" i="25"/>
  <c r="E18" i="25"/>
  <c r="F18" i="25"/>
  <c r="G18" i="25"/>
  <c r="H18" i="25"/>
  <c r="I18" i="25"/>
  <c r="J18" i="25"/>
  <c r="K18" i="25"/>
  <c r="L18" i="25"/>
  <c r="M18" i="25"/>
  <c r="N18" i="25"/>
  <c r="O18" i="25"/>
  <c r="P18" i="25"/>
  <c r="Q18" i="25"/>
  <c r="R18" i="25"/>
  <c r="S18" i="25"/>
  <c r="T18" i="25"/>
  <c r="U18" i="25"/>
  <c r="V18" i="24"/>
  <c r="V78" i="24" s="1"/>
  <c r="B20" i="24"/>
  <c r="C20" i="24"/>
  <c r="D20" i="24"/>
  <c r="E20" i="24"/>
  <c r="F20" i="24"/>
  <c r="G20" i="24"/>
  <c r="H20" i="24"/>
  <c r="I20" i="24"/>
  <c r="J20" i="24"/>
  <c r="K20" i="24"/>
  <c r="L20" i="24"/>
  <c r="M20" i="24"/>
  <c r="N20" i="24"/>
  <c r="O20" i="24"/>
  <c r="P20" i="24"/>
  <c r="Q20" i="24"/>
  <c r="R20" i="24"/>
  <c r="S20" i="24"/>
  <c r="T20" i="24"/>
  <c r="U20" i="24"/>
  <c r="V42" i="24"/>
  <c r="V43" i="24"/>
  <c r="V25" i="25" s="1"/>
  <c r="V44" i="24"/>
  <c r="V26" i="25" s="1"/>
  <c r="V45" i="24"/>
  <c r="V27" i="25" s="1"/>
  <c r="V46" i="24"/>
  <c r="V28" i="25" s="1"/>
  <c r="V47" i="24"/>
  <c r="V29" i="25" s="1"/>
  <c r="B48" i="24"/>
  <c r="B76" i="24" s="1"/>
  <c r="C48" i="24"/>
  <c r="C76" i="24" s="1"/>
  <c r="D48" i="24"/>
  <c r="D76" i="24" s="1"/>
  <c r="E48" i="24"/>
  <c r="E76" i="24" s="1"/>
  <c r="F48" i="24"/>
  <c r="F76" i="24" s="1"/>
  <c r="G48" i="24"/>
  <c r="G76" i="24" s="1"/>
  <c r="H48" i="24"/>
  <c r="H76" i="24" s="1"/>
  <c r="I48" i="24"/>
  <c r="I76" i="24" s="1"/>
  <c r="J48" i="24"/>
  <c r="J76" i="24" s="1"/>
  <c r="K48" i="24"/>
  <c r="K76" i="24" s="1"/>
  <c r="L48" i="24"/>
  <c r="L76" i="24" s="1"/>
  <c r="M48" i="24"/>
  <c r="M76" i="24" s="1"/>
  <c r="N48" i="24"/>
  <c r="N76" i="24" s="1"/>
  <c r="O48" i="24"/>
  <c r="O76" i="24" s="1"/>
  <c r="P48" i="24"/>
  <c r="P76" i="24" s="1"/>
  <c r="Q48" i="24"/>
  <c r="Q76" i="24" s="1"/>
  <c r="R48" i="24"/>
  <c r="R76" i="24" s="1"/>
  <c r="S48" i="24"/>
  <c r="S76" i="24" s="1"/>
  <c r="T48" i="24"/>
  <c r="T76" i="24" s="1"/>
  <c r="U48" i="24"/>
  <c r="U76" i="24" s="1"/>
  <c r="V51" i="24"/>
  <c r="V52" i="24"/>
  <c r="V34" i="25" s="1"/>
  <c r="V53" i="24"/>
  <c r="V35" i="25" s="1"/>
  <c r="B54" i="24"/>
  <c r="C54" i="24"/>
  <c r="D54" i="24"/>
  <c r="E54" i="24"/>
  <c r="F54" i="24"/>
  <c r="G54" i="24"/>
  <c r="H54" i="24"/>
  <c r="I54" i="24"/>
  <c r="J54" i="24"/>
  <c r="K54" i="24"/>
  <c r="L54" i="24"/>
  <c r="M54" i="24"/>
  <c r="N54" i="24"/>
  <c r="O54" i="24"/>
  <c r="P54" i="24"/>
  <c r="Q54" i="24"/>
  <c r="R54" i="24"/>
  <c r="S54" i="24"/>
  <c r="T54" i="24"/>
  <c r="U54" i="24"/>
  <c r="V60" i="19"/>
  <c r="V42" i="19"/>
  <c r="V61" i="19"/>
  <c r="V43" i="19"/>
  <c r="V62" i="19"/>
  <c r="V44" i="19"/>
  <c r="V63" i="19"/>
  <c r="V45" i="19"/>
  <c r="V64" i="19"/>
  <c r="V46" i="19"/>
  <c r="V65" i="19"/>
  <c r="V47" i="19"/>
  <c r="B66" i="19"/>
  <c r="B48" i="19"/>
  <c r="C66" i="19"/>
  <c r="C48" i="19"/>
  <c r="D66" i="19"/>
  <c r="D48" i="19"/>
  <c r="E66" i="19"/>
  <c r="E48" i="19"/>
  <c r="F66" i="19"/>
  <c r="F48" i="19"/>
  <c r="G66" i="19"/>
  <c r="G48" i="19"/>
  <c r="H66" i="19"/>
  <c r="H48" i="19"/>
  <c r="I66" i="19"/>
  <c r="I48" i="19"/>
  <c r="J66" i="19"/>
  <c r="J48" i="19"/>
  <c r="K66" i="19"/>
  <c r="K48" i="19"/>
  <c r="L66" i="19"/>
  <c r="L48" i="19"/>
  <c r="M66" i="19"/>
  <c r="M48" i="19"/>
  <c r="N66" i="19"/>
  <c r="N48" i="19"/>
  <c r="O66" i="19"/>
  <c r="O48" i="19"/>
  <c r="P66" i="19"/>
  <c r="P48" i="19"/>
  <c r="Q66" i="19"/>
  <c r="Q48" i="19"/>
  <c r="R66" i="19"/>
  <c r="R48" i="19"/>
  <c r="S66" i="19"/>
  <c r="S48" i="19"/>
  <c r="T66" i="19"/>
  <c r="T48" i="19"/>
  <c r="U66" i="19"/>
  <c r="U48" i="19"/>
  <c r="V12" i="15"/>
  <c r="V28" i="15" s="1"/>
  <c r="V69" i="19"/>
  <c r="V51" i="19"/>
  <c r="V70" i="19"/>
  <c r="V52" i="19"/>
  <c r="V71" i="19"/>
  <c r="V53" i="19"/>
  <c r="B72" i="19"/>
  <c r="B54" i="19"/>
  <c r="C72" i="19"/>
  <c r="C54" i="19"/>
  <c r="D72" i="19"/>
  <c r="D54" i="19"/>
  <c r="E72" i="19"/>
  <c r="E54" i="19"/>
  <c r="F72" i="19"/>
  <c r="F54" i="19"/>
  <c r="G72" i="19"/>
  <c r="G54" i="19"/>
  <c r="H72" i="19"/>
  <c r="H54" i="19"/>
  <c r="I72" i="19"/>
  <c r="I54" i="19"/>
  <c r="J72" i="19"/>
  <c r="J54" i="19"/>
  <c r="K72" i="19"/>
  <c r="K54" i="19"/>
  <c r="L72" i="19"/>
  <c r="L54" i="19"/>
  <c r="M72" i="19"/>
  <c r="M54" i="19"/>
  <c r="N72" i="19"/>
  <c r="N54" i="19"/>
  <c r="O72" i="19"/>
  <c r="O54" i="19"/>
  <c r="P72" i="19"/>
  <c r="P54" i="19"/>
  <c r="Q72" i="19"/>
  <c r="Q54" i="19"/>
  <c r="R72" i="19"/>
  <c r="R54" i="19"/>
  <c r="S72" i="19"/>
  <c r="S54" i="19"/>
  <c r="T72" i="19"/>
  <c r="T54" i="19"/>
  <c r="U72" i="19"/>
  <c r="U54" i="19"/>
  <c r="V18" i="15"/>
  <c r="V29" i="15" s="1"/>
  <c r="B20" i="15"/>
  <c r="B30" i="15" s="1"/>
  <c r="C20" i="15"/>
  <c r="C30" i="15" s="1"/>
  <c r="D20" i="15"/>
  <c r="D30" i="15" s="1"/>
  <c r="E20" i="15"/>
  <c r="E30" i="15" s="1"/>
  <c r="F20" i="15"/>
  <c r="F30" i="15" s="1"/>
  <c r="G20" i="15"/>
  <c r="G30" i="15" s="1"/>
  <c r="H20" i="15"/>
  <c r="H30" i="15" s="1"/>
  <c r="I20" i="15"/>
  <c r="I30" i="15" s="1"/>
  <c r="J20" i="15"/>
  <c r="J30" i="15" s="1"/>
  <c r="K20" i="15"/>
  <c r="K30" i="15" s="1"/>
  <c r="L20" i="15"/>
  <c r="L30" i="15" s="1"/>
  <c r="M20" i="15"/>
  <c r="M30" i="15" s="1"/>
  <c r="N20" i="15"/>
  <c r="N30" i="15" s="1"/>
  <c r="O20" i="15"/>
  <c r="O30" i="15" s="1"/>
  <c r="P20" i="15"/>
  <c r="P30" i="15" s="1"/>
  <c r="Q20" i="15"/>
  <c r="Q30" i="15" s="1"/>
  <c r="R20" i="15"/>
  <c r="R30" i="15" s="1"/>
  <c r="S20" i="15"/>
  <c r="S30" i="15" s="1"/>
  <c r="T20" i="15"/>
  <c r="T30" i="15" s="1"/>
  <c r="U20" i="15"/>
  <c r="U30" i="15" s="1"/>
  <c r="B28" i="15"/>
  <c r="C28" i="15"/>
  <c r="D28" i="15"/>
  <c r="E28" i="15"/>
  <c r="F28" i="15"/>
  <c r="G28" i="15"/>
  <c r="H28" i="15"/>
  <c r="I28" i="15"/>
  <c r="J28" i="15"/>
  <c r="K28" i="15"/>
  <c r="L28" i="15"/>
  <c r="M28" i="15"/>
  <c r="N28" i="15"/>
  <c r="O28" i="15"/>
  <c r="P28" i="15"/>
  <c r="Q28" i="15"/>
  <c r="R28" i="15"/>
  <c r="S28" i="15"/>
  <c r="T28" i="15"/>
  <c r="U28" i="15"/>
  <c r="V6" i="19"/>
  <c r="V7" i="19"/>
  <c r="V8" i="19"/>
  <c r="V9" i="19"/>
  <c r="V10" i="19"/>
  <c r="V11" i="19"/>
  <c r="B12" i="19"/>
  <c r="C12" i="19"/>
  <c r="D12" i="19"/>
  <c r="E12" i="19"/>
  <c r="F12" i="19"/>
  <c r="G12" i="19"/>
  <c r="H12" i="19"/>
  <c r="I12" i="19"/>
  <c r="J12" i="19"/>
  <c r="K12" i="19"/>
  <c r="L12" i="19"/>
  <c r="M12" i="19"/>
  <c r="N12" i="19"/>
  <c r="O12" i="19"/>
  <c r="P12" i="19"/>
  <c r="Q12" i="19"/>
  <c r="R12" i="19"/>
  <c r="S12" i="19"/>
  <c r="T12" i="19"/>
  <c r="U12" i="19"/>
  <c r="V12" i="18"/>
  <c r="V74" i="18" s="1"/>
  <c r="V15" i="19"/>
  <c r="V16" i="19"/>
  <c r="V17" i="19"/>
  <c r="B18" i="19"/>
  <c r="C18" i="19"/>
  <c r="D18" i="19"/>
  <c r="E18" i="19"/>
  <c r="F18" i="19"/>
  <c r="G18" i="19"/>
  <c r="H18" i="19"/>
  <c r="I18" i="19"/>
  <c r="J18" i="19"/>
  <c r="K18" i="19"/>
  <c r="L18" i="19"/>
  <c r="M18" i="19"/>
  <c r="N18" i="19"/>
  <c r="O18" i="19"/>
  <c r="P18" i="19"/>
  <c r="Q18" i="19"/>
  <c r="R18" i="19"/>
  <c r="S18" i="19"/>
  <c r="T18" i="19"/>
  <c r="U18" i="19"/>
  <c r="V18" i="18"/>
  <c r="V78" i="18" s="1"/>
  <c r="B20" i="18"/>
  <c r="C20" i="18"/>
  <c r="D20" i="18"/>
  <c r="E20" i="18"/>
  <c r="F20" i="18"/>
  <c r="G20" i="18"/>
  <c r="H20" i="18"/>
  <c r="I20" i="18"/>
  <c r="J20" i="18"/>
  <c r="K20" i="18"/>
  <c r="L20" i="18"/>
  <c r="M20" i="18"/>
  <c r="N20" i="18"/>
  <c r="O20" i="18"/>
  <c r="P20" i="18"/>
  <c r="Q20" i="18"/>
  <c r="R20" i="18"/>
  <c r="S20" i="18"/>
  <c r="T20" i="18"/>
  <c r="U20" i="18"/>
  <c r="V42" i="18"/>
  <c r="V43" i="18"/>
  <c r="V25" i="19" s="1"/>
  <c r="V44" i="18"/>
  <c r="V26" i="19" s="1"/>
  <c r="V45" i="18"/>
  <c r="V27" i="19" s="1"/>
  <c r="V46" i="18"/>
  <c r="V28" i="19" s="1"/>
  <c r="V47" i="18"/>
  <c r="V29" i="19" s="1"/>
  <c r="B48" i="18"/>
  <c r="B76" i="18" s="1"/>
  <c r="C48" i="18"/>
  <c r="C76" i="18" s="1"/>
  <c r="D48" i="18"/>
  <c r="D76" i="18" s="1"/>
  <c r="E48" i="18"/>
  <c r="E76" i="18" s="1"/>
  <c r="F48" i="18"/>
  <c r="F76" i="18" s="1"/>
  <c r="G48" i="18"/>
  <c r="G76" i="18" s="1"/>
  <c r="H48" i="18"/>
  <c r="H76" i="18" s="1"/>
  <c r="I48" i="18"/>
  <c r="I76" i="18" s="1"/>
  <c r="J48" i="18"/>
  <c r="J76" i="18" s="1"/>
  <c r="K48" i="18"/>
  <c r="K76" i="18" s="1"/>
  <c r="L48" i="18"/>
  <c r="L76" i="18" s="1"/>
  <c r="M48" i="18"/>
  <c r="M76" i="18" s="1"/>
  <c r="N48" i="18"/>
  <c r="N76" i="18" s="1"/>
  <c r="O48" i="18"/>
  <c r="O76" i="18" s="1"/>
  <c r="P48" i="18"/>
  <c r="P76" i="18" s="1"/>
  <c r="Q48" i="18"/>
  <c r="Q76" i="18" s="1"/>
  <c r="R48" i="18"/>
  <c r="R76" i="18" s="1"/>
  <c r="S48" i="18"/>
  <c r="S76" i="18" s="1"/>
  <c r="T48" i="18"/>
  <c r="T76" i="18" s="1"/>
  <c r="U48" i="18"/>
  <c r="U76" i="18" s="1"/>
  <c r="V51" i="18"/>
  <c r="V52" i="18"/>
  <c r="V34" i="19" s="1"/>
  <c r="V53" i="18"/>
  <c r="V35" i="19" s="1"/>
  <c r="B54" i="18"/>
  <c r="C54" i="18"/>
  <c r="D54" i="18"/>
  <c r="E54" i="18"/>
  <c r="F54" i="18"/>
  <c r="G54" i="18"/>
  <c r="H54" i="18"/>
  <c r="I54" i="18"/>
  <c r="J54" i="18"/>
  <c r="K54" i="18"/>
  <c r="L54" i="18"/>
  <c r="M54" i="18"/>
  <c r="N54" i="18"/>
  <c r="O54" i="18"/>
  <c r="P54" i="18"/>
  <c r="Q54" i="18"/>
  <c r="R54" i="18"/>
  <c r="S54" i="18"/>
  <c r="T54" i="18"/>
  <c r="U54" i="18"/>
  <c r="V72" i="24" l="1"/>
  <c r="V86" i="25" s="1"/>
  <c r="V84" i="25"/>
  <c r="V72" i="18"/>
  <c r="V86" i="19" s="1"/>
  <c r="V84" i="19"/>
  <c r="V53" i="22"/>
  <c r="U36" i="25"/>
  <c r="U80" i="24"/>
  <c r="I36" i="25"/>
  <c r="I80" i="24"/>
  <c r="T36" i="25"/>
  <c r="T80" i="24"/>
  <c r="P36" i="25"/>
  <c r="P80" i="24"/>
  <c r="L36" i="25"/>
  <c r="L80" i="24"/>
  <c r="H36" i="25"/>
  <c r="H80" i="24"/>
  <c r="D36" i="25"/>
  <c r="D80" i="24"/>
  <c r="M36" i="25"/>
  <c r="M80" i="24"/>
  <c r="S36" i="25"/>
  <c r="S80" i="24"/>
  <c r="O36" i="25"/>
  <c r="O80" i="24"/>
  <c r="K36" i="25"/>
  <c r="K80" i="24"/>
  <c r="G36" i="25"/>
  <c r="G80" i="24"/>
  <c r="C36" i="25"/>
  <c r="C80" i="24"/>
  <c r="Q36" i="25"/>
  <c r="Q80" i="24"/>
  <c r="E36" i="25"/>
  <c r="E80" i="24"/>
  <c r="R36" i="25"/>
  <c r="R80" i="24"/>
  <c r="N36" i="25"/>
  <c r="N80" i="24"/>
  <c r="J36" i="25"/>
  <c r="J80" i="24"/>
  <c r="F36" i="25"/>
  <c r="F80" i="24"/>
  <c r="B36" i="25"/>
  <c r="B80" i="24"/>
  <c r="V38" i="22"/>
  <c r="V18" i="25"/>
  <c r="U36" i="19"/>
  <c r="U80" i="18"/>
  <c r="Q36" i="19"/>
  <c r="Q80" i="18"/>
  <c r="M36" i="19"/>
  <c r="M80" i="18"/>
  <c r="E36" i="19"/>
  <c r="E80" i="18"/>
  <c r="T36" i="19"/>
  <c r="T80" i="18"/>
  <c r="P36" i="19"/>
  <c r="P80" i="18"/>
  <c r="L36" i="19"/>
  <c r="L80" i="18"/>
  <c r="H36" i="19"/>
  <c r="H80" i="18"/>
  <c r="D36" i="19"/>
  <c r="D80" i="18"/>
  <c r="S36" i="19"/>
  <c r="S80" i="18"/>
  <c r="O36" i="19"/>
  <c r="O80" i="18"/>
  <c r="K36" i="19"/>
  <c r="K80" i="18"/>
  <c r="G36" i="19"/>
  <c r="G80" i="18"/>
  <c r="C36" i="19"/>
  <c r="C80" i="18"/>
  <c r="R36" i="19"/>
  <c r="R80" i="18"/>
  <c r="N36" i="19"/>
  <c r="N80" i="18"/>
  <c r="J36" i="19"/>
  <c r="J80" i="18"/>
  <c r="F36" i="19"/>
  <c r="F80" i="18"/>
  <c r="B36" i="19"/>
  <c r="B80" i="18"/>
  <c r="I36" i="19"/>
  <c r="I80" i="18"/>
  <c r="V18" i="19"/>
  <c r="V84" i="13"/>
  <c r="V72" i="6"/>
  <c r="V86" i="13" s="1"/>
  <c r="V38" i="24"/>
  <c r="U20" i="25"/>
  <c r="Q20" i="25"/>
  <c r="M20" i="25"/>
  <c r="I20" i="25"/>
  <c r="E20" i="25"/>
  <c r="V20" i="23"/>
  <c r="V20" i="17"/>
  <c r="V38" i="18"/>
  <c r="R20" i="19"/>
  <c r="J20" i="19"/>
  <c r="F20" i="19"/>
  <c r="N20" i="19"/>
  <c r="B20" i="19"/>
  <c r="R20" i="25"/>
  <c r="N20" i="25"/>
  <c r="J20" i="25"/>
  <c r="F20" i="25"/>
  <c r="B20" i="25"/>
  <c r="T20" i="25"/>
  <c r="P20" i="25"/>
  <c r="L20" i="25"/>
  <c r="H20" i="25"/>
  <c r="D20" i="25"/>
  <c r="S20" i="25"/>
  <c r="O20" i="25"/>
  <c r="K20" i="25"/>
  <c r="G20" i="25"/>
  <c r="C20" i="25"/>
  <c r="S20" i="19"/>
  <c r="O20" i="19"/>
  <c r="K20" i="19"/>
  <c r="G20" i="19"/>
  <c r="C20" i="19"/>
  <c r="U20" i="19"/>
  <c r="Q20" i="19"/>
  <c r="M20" i="19"/>
  <c r="I20" i="19"/>
  <c r="E20" i="19"/>
  <c r="P20" i="19"/>
  <c r="H20" i="19"/>
  <c r="T20" i="19"/>
  <c r="L20" i="19"/>
  <c r="D20" i="19"/>
  <c r="V33" i="25"/>
  <c r="V54" i="24"/>
  <c r="U30" i="25"/>
  <c r="U56" i="24"/>
  <c r="U38" i="25" s="1"/>
  <c r="T30" i="25"/>
  <c r="T56" i="24"/>
  <c r="T38" i="25" s="1"/>
  <c r="S30" i="25"/>
  <c r="S56" i="24"/>
  <c r="S38" i="25" s="1"/>
  <c r="R30" i="25"/>
  <c r="R56" i="24"/>
  <c r="R38" i="25" s="1"/>
  <c r="Q30" i="25"/>
  <c r="Q56" i="24"/>
  <c r="Q38" i="25" s="1"/>
  <c r="P30" i="25"/>
  <c r="P56" i="24"/>
  <c r="P38" i="25" s="1"/>
  <c r="O30" i="25"/>
  <c r="O56" i="24"/>
  <c r="O38" i="25" s="1"/>
  <c r="N30" i="25"/>
  <c r="N56" i="24"/>
  <c r="N38" i="25" s="1"/>
  <c r="M30" i="25"/>
  <c r="M56" i="24"/>
  <c r="M38" i="25" s="1"/>
  <c r="L30" i="25"/>
  <c r="L56" i="24"/>
  <c r="L38" i="25" s="1"/>
  <c r="K30" i="25"/>
  <c r="K56" i="24"/>
  <c r="K38" i="25" s="1"/>
  <c r="J30" i="25"/>
  <c r="J56" i="24"/>
  <c r="J38" i="25" s="1"/>
  <c r="I30" i="25"/>
  <c r="I56" i="24"/>
  <c r="I38" i="25" s="1"/>
  <c r="H30" i="25"/>
  <c r="H56" i="24"/>
  <c r="H38" i="25" s="1"/>
  <c r="G30" i="25"/>
  <c r="G56" i="24"/>
  <c r="G38" i="25" s="1"/>
  <c r="F30" i="25"/>
  <c r="F56" i="24"/>
  <c r="F38" i="25" s="1"/>
  <c r="E30" i="25"/>
  <c r="E56" i="24"/>
  <c r="E38" i="25" s="1"/>
  <c r="D30" i="25"/>
  <c r="D56" i="24"/>
  <c r="D38" i="25" s="1"/>
  <c r="C30" i="25"/>
  <c r="C56" i="24"/>
  <c r="C38" i="25" s="1"/>
  <c r="B30" i="25"/>
  <c r="B56" i="24"/>
  <c r="B38" i="25" s="1"/>
  <c r="V24" i="25"/>
  <c r="V48" i="24"/>
  <c r="V76" i="24" s="1"/>
  <c r="V12" i="25"/>
  <c r="V20" i="24"/>
  <c r="U74" i="25"/>
  <c r="U56" i="25"/>
  <c r="T74" i="25"/>
  <c r="T56" i="25"/>
  <c r="S74" i="25"/>
  <c r="S56" i="25"/>
  <c r="R74" i="25"/>
  <c r="R56" i="25"/>
  <c r="Q74" i="25"/>
  <c r="Q56" i="25"/>
  <c r="P74" i="25"/>
  <c r="P56" i="25"/>
  <c r="O74" i="25"/>
  <c r="O56" i="25"/>
  <c r="N74" i="25"/>
  <c r="N56" i="25"/>
  <c r="M74" i="25"/>
  <c r="M56" i="25"/>
  <c r="L74" i="25"/>
  <c r="L56" i="25"/>
  <c r="K74" i="25"/>
  <c r="K56" i="25"/>
  <c r="J74" i="25"/>
  <c r="J56" i="25"/>
  <c r="I74" i="25"/>
  <c r="I56" i="25"/>
  <c r="H74" i="25"/>
  <c r="H56" i="25"/>
  <c r="G74" i="25"/>
  <c r="G56" i="25"/>
  <c r="F74" i="25"/>
  <c r="F56" i="25"/>
  <c r="E74" i="25"/>
  <c r="E56" i="25"/>
  <c r="D74" i="25"/>
  <c r="D56" i="25"/>
  <c r="C74" i="25"/>
  <c r="C56" i="25"/>
  <c r="B74" i="25"/>
  <c r="B56" i="25"/>
  <c r="V72" i="25"/>
  <c r="V54" i="25"/>
  <c r="V66" i="25"/>
  <c r="V48" i="25"/>
  <c r="V20" i="21"/>
  <c r="V30" i="21" s="1"/>
  <c r="V33" i="19"/>
  <c r="V54" i="18"/>
  <c r="U30" i="19"/>
  <c r="U56" i="18"/>
  <c r="U38" i="19" s="1"/>
  <c r="T30" i="19"/>
  <c r="T56" i="18"/>
  <c r="T38" i="19" s="1"/>
  <c r="S30" i="19"/>
  <c r="S56" i="18"/>
  <c r="S38" i="19" s="1"/>
  <c r="R30" i="19"/>
  <c r="R56" i="18"/>
  <c r="R38" i="19" s="1"/>
  <c r="Q30" i="19"/>
  <c r="Q56" i="18"/>
  <c r="Q38" i="19" s="1"/>
  <c r="P30" i="19"/>
  <c r="P56" i="18"/>
  <c r="P38" i="19" s="1"/>
  <c r="O30" i="19"/>
  <c r="O56" i="18"/>
  <c r="O38" i="19" s="1"/>
  <c r="N30" i="19"/>
  <c r="N56" i="18"/>
  <c r="N38" i="19" s="1"/>
  <c r="M30" i="19"/>
  <c r="M56" i="18"/>
  <c r="M38" i="19" s="1"/>
  <c r="L30" i="19"/>
  <c r="L56" i="18"/>
  <c r="L38" i="19" s="1"/>
  <c r="K30" i="19"/>
  <c r="K56" i="18"/>
  <c r="K38" i="19" s="1"/>
  <c r="J30" i="19"/>
  <c r="J56" i="18"/>
  <c r="J38" i="19" s="1"/>
  <c r="I30" i="19"/>
  <c r="I56" i="18"/>
  <c r="I38" i="19" s="1"/>
  <c r="H30" i="19"/>
  <c r="H56" i="18"/>
  <c r="H38" i="19" s="1"/>
  <c r="G30" i="19"/>
  <c r="G56" i="18"/>
  <c r="G38" i="19" s="1"/>
  <c r="F30" i="19"/>
  <c r="F56" i="18"/>
  <c r="F38" i="19" s="1"/>
  <c r="E30" i="19"/>
  <c r="E56" i="18"/>
  <c r="E38" i="19" s="1"/>
  <c r="D30" i="19"/>
  <c r="D56" i="18"/>
  <c r="D38" i="19" s="1"/>
  <c r="C30" i="19"/>
  <c r="C56" i="18"/>
  <c r="C38" i="19" s="1"/>
  <c r="B30" i="19"/>
  <c r="V24" i="19"/>
  <c r="V48" i="18"/>
  <c r="V76" i="18" s="1"/>
  <c r="V12" i="19"/>
  <c r="V20" i="18"/>
  <c r="U74" i="19"/>
  <c r="U56" i="19"/>
  <c r="T74" i="19"/>
  <c r="T56" i="19"/>
  <c r="S74" i="19"/>
  <c r="S56" i="19"/>
  <c r="R74" i="19"/>
  <c r="R56" i="19"/>
  <c r="Q74" i="19"/>
  <c r="Q56" i="19"/>
  <c r="P74" i="19"/>
  <c r="P56" i="19"/>
  <c r="O74" i="19"/>
  <c r="O56" i="19"/>
  <c r="N74" i="19"/>
  <c r="N56" i="19"/>
  <c r="M74" i="19"/>
  <c r="M56" i="19"/>
  <c r="L74" i="19"/>
  <c r="L56" i="19"/>
  <c r="K74" i="19"/>
  <c r="K56" i="19"/>
  <c r="J74" i="19"/>
  <c r="J56" i="19"/>
  <c r="I74" i="19"/>
  <c r="I56" i="19"/>
  <c r="H74" i="19"/>
  <c r="H56" i="19"/>
  <c r="G74" i="19"/>
  <c r="G56" i="19"/>
  <c r="F74" i="19"/>
  <c r="F56" i="19"/>
  <c r="E74" i="19"/>
  <c r="E56" i="19"/>
  <c r="D74" i="19"/>
  <c r="D56" i="19"/>
  <c r="C74" i="19"/>
  <c r="C56" i="19"/>
  <c r="B74" i="19"/>
  <c r="B56" i="19"/>
  <c r="V72" i="19"/>
  <c r="V54" i="19"/>
  <c r="V66" i="19"/>
  <c r="V48" i="19"/>
  <c r="V20" i="15"/>
  <c r="V30" i="15" s="1"/>
  <c r="V36" i="25" l="1"/>
  <c r="V80" i="24"/>
  <c r="V36" i="19"/>
  <c r="V80" i="18"/>
  <c r="V74" i="25"/>
  <c r="V56" i="25"/>
  <c r="V20" i="25"/>
  <c r="V30" i="25"/>
  <c r="V56" i="24"/>
  <c r="V38" i="25" s="1"/>
  <c r="V74" i="19"/>
  <c r="V56" i="19"/>
  <c r="V20" i="19"/>
  <c r="V30" i="19"/>
  <c r="V56" i="18"/>
  <c r="V38" i="19" s="1"/>
  <c r="V94" i="13" l="1"/>
  <c r="V89" i="13"/>
  <c r="C69" i="6" l="1"/>
  <c r="D69" i="6" s="1"/>
  <c r="E69" i="6" s="1"/>
  <c r="F69" i="6" s="1"/>
  <c r="G69" i="6" s="1"/>
  <c r="H69" i="6" s="1"/>
  <c r="I69" i="6" s="1"/>
  <c r="J69" i="6" s="1"/>
  <c r="K69" i="6" s="1"/>
  <c r="L69" i="6" s="1"/>
  <c r="M69" i="6" s="1"/>
  <c r="N69" i="6" s="1"/>
  <c r="O69" i="6" s="1"/>
  <c r="P69" i="6" s="1"/>
  <c r="Q69" i="6" s="1"/>
  <c r="R69" i="6" s="1"/>
  <c r="S69" i="6" s="1"/>
  <c r="T69" i="6" s="1"/>
  <c r="U69" i="6" s="1"/>
  <c r="C64" i="6"/>
  <c r="D64" i="6" s="1"/>
  <c r="E64" i="6" s="1"/>
  <c r="F64" i="6" s="1"/>
  <c r="G64" i="6" s="1"/>
  <c r="H64" i="6" s="1"/>
  <c r="I64" i="6" s="1"/>
  <c r="J64" i="6" s="1"/>
  <c r="K64" i="6" s="1"/>
  <c r="L64" i="6" s="1"/>
  <c r="M64" i="6" s="1"/>
  <c r="N64" i="6" s="1"/>
  <c r="O64" i="6" s="1"/>
  <c r="P64" i="6" s="1"/>
  <c r="Q64" i="6" s="1"/>
  <c r="R64" i="6" s="1"/>
  <c r="S64" i="6" s="1"/>
  <c r="T64" i="6" s="1"/>
  <c r="U64" i="6" s="1"/>
  <c r="C59" i="6"/>
  <c r="D59" i="6" s="1"/>
  <c r="E59" i="6" s="1"/>
  <c r="F59" i="6" s="1"/>
  <c r="G59" i="6" s="1"/>
  <c r="H59" i="6" s="1"/>
  <c r="I59" i="6" s="1"/>
  <c r="J59" i="6" s="1"/>
  <c r="K59" i="6" s="1"/>
  <c r="L59" i="6" s="1"/>
  <c r="M59" i="6" s="1"/>
  <c r="N59" i="6" s="1"/>
  <c r="O59" i="6" s="1"/>
  <c r="P59" i="6" s="1"/>
  <c r="Q59" i="6" s="1"/>
  <c r="R59" i="6" s="1"/>
  <c r="S59" i="6" s="1"/>
  <c r="T59" i="6" s="1"/>
  <c r="U59" i="6" s="1"/>
  <c r="C25" i="7"/>
  <c r="D25" i="7" s="1"/>
  <c r="E25" i="7" s="1"/>
  <c r="F25" i="7" s="1"/>
  <c r="G25" i="7" s="1"/>
  <c r="H25" i="7" s="1"/>
  <c r="I25" i="7" s="1"/>
  <c r="J25" i="7" s="1"/>
  <c r="K25" i="7" s="1"/>
  <c r="L25" i="7" s="1"/>
  <c r="M25" i="7" s="1"/>
  <c r="N25" i="7" s="1"/>
  <c r="O25" i="7" s="1"/>
  <c r="P25" i="7" s="1"/>
  <c r="Q25" i="7" s="1"/>
  <c r="R25" i="7" s="1"/>
  <c r="S25" i="7" s="1"/>
  <c r="T25" i="7" s="1"/>
  <c r="U25" i="7" s="1"/>
  <c r="C78" i="13"/>
  <c r="D78" i="13" s="1"/>
  <c r="E78" i="13" s="1"/>
  <c r="F78" i="13" s="1"/>
  <c r="G78" i="13" s="1"/>
  <c r="H78" i="13" s="1"/>
  <c r="I78" i="13" s="1"/>
  <c r="J78" i="13" s="1"/>
  <c r="K78" i="13" s="1"/>
  <c r="L78" i="13" s="1"/>
  <c r="M78" i="13" s="1"/>
  <c r="N78" i="13" s="1"/>
  <c r="O78" i="13" s="1"/>
  <c r="P78" i="13" s="1"/>
  <c r="Q78" i="13" s="1"/>
  <c r="R78" i="13" s="1"/>
  <c r="S78" i="13" s="1"/>
  <c r="T78" i="13" s="1"/>
  <c r="U78" i="13" s="1"/>
  <c r="U71" i="13"/>
  <c r="T71" i="13"/>
  <c r="S71" i="13"/>
  <c r="R71" i="13"/>
  <c r="Q71" i="13"/>
  <c r="P71" i="13"/>
  <c r="O71" i="13"/>
  <c r="N71" i="13"/>
  <c r="M71" i="13"/>
  <c r="L71" i="13"/>
  <c r="K71" i="13"/>
  <c r="J71" i="13"/>
  <c r="I71" i="13"/>
  <c r="H71" i="13"/>
  <c r="G71" i="13"/>
  <c r="F71" i="13"/>
  <c r="E71" i="13"/>
  <c r="D71" i="13"/>
  <c r="C71" i="13"/>
  <c r="B71" i="13"/>
  <c r="U70" i="13"/>
  <c r="T70" i="13"/>
  <c r="S70" i="13"/>
  <c r="R70" i="13"/>
  <c r="Q70" i="13"/>
  <c r="P70" i="13"/>
  <c r="O70" i="13"/>
  <c r="N70" i="13"/>
  <c r="M70" i="13"/>
  <c r="L70" i="13"/>
  <c r="K70" i="13"/>
  <c r="J70" i="13"/>
  <c r="I70" i="13"/>
  <c r="H70" i="13"/>
  <c r="G70" i="13"/>
  <c r="F70" i="13"/>
  <c r="E70" i="13"/>
  <c r="D70" i="13"/>
  <c r="C70" i="13"/>
  <c r="B70" i="13"/>
  <c r="U69" i="13"/>
  <c r="T69" i="13"/>
  <c r="S69" i="13"/>
  <c r="R69" i="13"/>
  <c r="Q69" i="13"/>
  <c r="P69" i="13"/>
  <c r="O69" i="13"/>
  <c r="N69" i="13"/>
  <c r="M69" i="13"/>
  <c r="L69" i="13"/>
  <c r="K69" i="13"/>
  <c r="J69" i="13"/>
  <c r="I69" i="13"/>
  <c r="H69" i="13"/>
  <c r="G69" i="13"/>
  <c r="F69" i="13"/>
  <c r="E69" i="13"/>
  <c r="D69" i="13"/>
  <c r="C69" i="13"/>
  <c r="B69" i="13"/>
  <c r="C60" i="13"/>
  <c r="D60" i="13"/>
  <c r="E60" i="13"/>
  <c r="F60" i="13"/>
  <c r="G60" i="13"/>
  <c r="H60" i="13"/>
  <c r="I60" i="13"/>
  <c r="J60" i="13"/>
  <c r="K60" i="13"/>
  <c r="L60" i="13"/>
  <c r="M60" i="13"/>
  <c r="N60" i="13"/>
  <c r="O60" i="13"/>
  <c r="P60" i="13"/>
  <c r="Q60" i="13"/>
  <c r="R60" i="13"/>
  <c r="S60" i="13"/>
  <c r="T60" i="13"/>
  <c r="U60" i="13"/>
  <c r="C61" i="13"/>
  <c r="D61" i="13"/>
  <c r="E61" i="13"/>
  <c r="F61" i="13"/>
  <c r="G61" i="13"/>
  <c r="H61" i="13"/>
  <c r="I61" i="13"/>
  <c r="J61" i="13"/>
  <c r="K61" i="13"/>
  <c r="L61" i="13"/>
  <c r="M61" i="13"/>
  <c r="N61" i="13"/>
  <c r="O61" i="13"/>
  <c r="P61" i="13"/>
  <c r="Q61" i="13"/>
  <c r="R61" i="13"/>
  <c r="S61" i="13"/>
  <c r="T61" i="13"/>
  <c r="U61" i="13"/>
  <c r="C62" i="13"/>
  <c r="D62" i="13"/>
  <c r="E62" i="13"/>
  <c r="F62" i="13"/>
  <c r="G62" i="13"/>
  <c r="H62" i="13"/>
  <c r="I62" i="13"/>
  <c r="J62" i="13"/>
  <c r="K62" i="13"/>
  <c r="L62" i="13"/>
  <c r="M62" i="13"/>
  <c r="N62" i="13"/>
  <c r="O62" i="13"/>
  <c r="P62" i="13"/>
  <c r="Q62" i="13"/>
  <c r="R62" i="13"/>
  <c r="S62" i="13"/>
  <c r="T62" i="13"/>
  <c r="U62" i="13"/>
  <c r="C63" i="13"/>
  <c r="D63" i="13"/>
  <c r="E63" i="13"/>
  <c r="F63" i="13"/>
  <c r="G63" i="13"/>
  <c r="H63" i="13"/>
  <c r="I63" i="13"/>
  <c r="J63" i="13"/>
  <c r="K63" i="13"/>
  <c r="L63" i="13"/>
  <c r="M63" i="13"/>
  <c r="N63" i="13"/>
  <c r="O63" i="13"/>
  <c r="P63" i="13"/>
  <c r="Q63" i="13"/>
  <c r="R63" i="13"/>
  <c r="S63" i="13"/>
  <c r="T63" i="13"/>
  <c r="U63" i="13"/>
  <c r="C64" i="13"/>
  <c r="D64" i="13"/>
  <c r="E64" i="13"/>
  <c r="F64" i="13"/>
  <c r="G64" i="13"/>
  <c r="H64" i="13"/>
  <c r="I64" i="13"/>
  <c r="J64" i="13"/>
  <c r="K64" i="13"/>
  <c r="L64" i="13"/>
  <c r="M64" i="13"/>
  <c r="N64" i="13"/>
  <c r="O64" i="13"/>
  <c r="P64" i="13"/>
  <c r="Q64" i="13"/>
  <c r="R64" i="13"/>
  <c r="S64" i="13"/>
  <c r="T64" i="13"/>
  <c r="U64" i="13"/>
  <c r="C65" i="13"/>
  <c r="D65" i="13"/>
  <c r="E65" i="13"/>
  <c r="F65" i="13"/>
  <c r="G65" i="13"/>
  <c r="H65" i="13"/>
  <c r="I65" i="13"/>
  <c r="J65" i="13"/>
  <c r="K65" i="13"/>
  <c r="L65" i="13"/>
  <c r="M65" i="13"/>
  <c r="N65" i="13"/>
  <c r="O65" i="13"/>
  <c r="P65" i="13"/>
  <c r="Q65" i="13"/>
  <c r="R65" i="13"/>
  <c r="S65" i="13"/>
  <c r="T65" i="13"/>
  <c r="U65" i="13"/>
  <c r="B61" i="13"/>
  <c r="B62" i="13"/>
  <c r="B63" i="13"/>
  <c r="B64" i="13"/>
  <c r="B65" i="13"/>
  <c r="B60" i="13"/>
  <c r="C58" i="13"/>
  <c r="D58" i="13" s="1"/>
  <c r="E58" i="13" s="1"/>
  <c r="F58" i="13" s="1"/>
  <c r="G58" i="13" s="1"/>
  <c r="H58" i="13" s="1"/>
  <c r="I58" i="13" s="1"/>
  <c r="J58" i="13" s="1"/>
  <c r="K58" i="13" s="1"/>
  <c r="L58" i="13" s="1"/>
  <c r="M58" i="13" s="1"/>
  <c r="N58" i="13" s="1"/>
  <c r="O58" i="13" s="1"/>
  <c r="P58" i="13" s="1"/>
  <c r="Q58" i="13" s="1"/>
  <c r="R58" i="13" s="1"/>
  <c r="S58" i="13" s="1"/>
  <c r="T58" i="13" s="1"/>
  <c r="U58" i="13" s="1"/>
  <c r="U53" i="13"/>
  <c r="T53" i="13"/>
  <c r="S53" i="13"/>
  <c r="R53" i="13"/>
  <c r="Q53" i="13"/>
  <c r="P53" i="13"/>
  <c r="O53" i="13"/>
  <c r="N53" i="13"/>
  <c r="M53" i="13"/>
  <c r="L53" i="13"/>
  <c r="K53" i="13"/>
  <c r="J53" i="13"/>
  <c r="I53" i="13"/>
  <c r="H53" i="13"/>
  <c r="G53" i="13"/>
  <c r="F53" i="13"/>
  <c r="E53" i="13"/>
  <c r="D53" i="13"/>
  <c r="C53" i="13"/>
  <c r="B53" i="13"/>
  <c r="U52" i="13"/>
  <c r="T52" i="13"/>
  <c r="S52" i="13"/>
  <c r="R52" i="13"/>
  <c r="Q52" i="13"/>
  <c r="P52" i="13"/>
  <c r="O52" i="13"/>
  <c r="N52" i="13"/>
  <c r="M52" i="13"/>
  <c r="L52" i="13"/>
  <c r="K52" i="13"/>
  <c r="J52" i="13"/>
  <c r="I52" i="13"/>
  <c r="H52" i="13"/>
  <c r="G52" i="13"/>
  <c r="F52" i="13"/>
  <c r="E52" i="13"/>
  <c r="D52" i="13"/>
  <c r="C52" i="13"/>
  <c r="B52" i="13"/>
  <c r="U51" i="13"/>
  <c r="T51" i="13"/>
  <c r="S51" i="13"/>
  <c r="R51" i="13"/>
  <c r="Q51" i="13"/>
  <c r="P51" i="13"/>
  <c r="O51" i="13"/>
  <c r="N51" i="13"/>
  <c r="M51" i="13"/>
  <c r="L51" i="13"/>
  <c r="K51" i="13"/>
  <c r="J51" i="13"/>
  <c r="I51" i="13"/>
  <c r="H51" i="13"/>
  <c r="G51" i="13"/>
  <c r="F51" i="13"/>
  <c r="E51" i="13"/>
  <c r="D51" i="13"/>
  <c r="C51" i="13"/>
  <c r="B51" i="13"/>
  <c r="C42" i="13"/>
  <c r="D42" i="13"/>
  <c r="E42" i="13"/>
  <c r="F42" i="13"/>
  <c r="G42" i="13"/>
  <c r="H42" i="13"/>
  <c r="I42" i="13"/>
  <c r="J42" i="13"/>
  <c r="K42" i="13"/>
  <c r="L42" i="13"/>
  <c r="M42" i="13"/>
  <c r="N42" i="13"/>
  <c r="O42" i="13"/>
  <c r="P42" i="13"/>
  <c r="Q42" i="13"/>
  <c r="R42" i="13"/>
  <c r="S42" i="13"/>
  <c r="T42" i="13"/>
  <c r="U42" i="13"/>
  <c r="C43" i="13"/>
  <c r="D43" i="13"/>
  <c r="E43" i="13"/>
  <c r="F43" i="13"/>
  <c r="G43" i="13"/>
  <c r="H43" i="13"/>
  <c r="I43" i="13"/>
  <c r="J43" i="13"/>
  <c r="K43" i="13"/>
  <c r="L43" i="13"/>
  <c r="M43" i="13"/>
  <c r="N43" i="13"/>
  <c r="O43" i="13"/>
  <c r="P43" i="13"/>
  <c r="Q43" i="13"/>
  <c r="R43" i="13"/>
  <c r="S43" i="13"/>
  <c r="T43" i="13"/>
  <c r="U43" i="13"/>
  <c r="C44" i="13"/>
  <c r="D44" i="13"/>
  <c r="E44" i="13"/>
  <c r="F44" i="13"/>
  <c r="G44" i="13"/>
  <c r="H44" i="13"/>
  <c r="I44" i="13"/>
  <c r="J44" i="13"/>
  <c r="K44" i="13"/>
  <c r="L44" i="13"/>
  <c r="M44" i="13"/>
  <c r="N44" i="13"/>
  <c r="O44" i="13"/>
  <c r="P44" i="13"/>
  <c r="Q44" i="13"/>
  <c r="R44" i="13"/>
  <c r="S44" i="13"/>
  <c r="T44" i="13"/>
  <c r="U44" i="13"/>
  <c r="C45" i="13"/>
  <c r="D45" i="13"/>
  <c r="E45" i="13"/>
  <c r="F45" i="13"/>
  <c r="G45" i="13"/>
  <c r="H45" i="13"/>
  <c r="I45" i="13"/>
  <c r="J45" i="13"/>
  <c r="K45" i="13"/>
  <c r="L45" i="13"/>
  <c r="M45" i="13"/>
  <c r="N45" i="13"/>
  <c r="O45" i="13"/>
  <c r="P45" i="13"/>
  <c r="Q45" i="13"/>
  <c r="R45" i="13"/>
  <c r="S45" i="13"/>
  <c r="T45" i="13"/>
  <c r="U45" i="13"/>
  <c r="C46" i="13"/>
  <c r="D46" i="13"/>
  <c r="E46" i="13"/>
  <c r="F46" i="13"/>
  <c r="G46" i="13"/>
  <c r="H46" i="13"/>
  <c r="I46" i="13"/>
  <c r="J46" i="13"/>
  <c r="K46" i="13"/>
  <c r="L46" i="13"/>
  <c r="M46" i="13"/>
  <c r="N46" i="13"/>
  <c r="O46" i="13"/>
  <c r="P46" i="13"/>
  <c r="Q46" i="13"/>
  <c r="R46" i="13"/>
  <c r="S46" i="13"/>
  <c r="T46" i="13"/>
  <c r="U46" i="13"/>
  <c r="C47" i="13"/>
  <c r="D47" i="13"/>
  <c r="E47" i="13"/>
  <c r="F47" i="13"/>
  <c r="G47" i="13"/>
  <c r="H47" i="13"/>
  <c r="I47" i="13"/>
  <c r="J47" i="13"/>
  <c r="K47" i="13"/>
  <c r="L47" i="13"/>
  <c r="M47" i="13"/>
  <c r="N47" i="13"/>
  <c r="O47" i="13"/>
  <c r="P47" i="13"/>
  <c r="Q47" i="13"/>
  <c r="R47" i="13"/>
  <c r="S47" i="13"/>
  <c r="T47" i="13"/>
  <c r="U47" i="13"/>
  <c r="B43" i="13"/>
  <c r="B44" i="13"/>
  <c r="B45" i="13"/>
  <c r="B46" i="13"/>
  <c r="B47" i="13"/>
  <c r="B42" i="13"/>
  <c r="C40" i="13"/>
  <c r="D40" i="13" s="1"/>
  <c r="E40" i="13" s="1"/>
  <c r="F40" i="13" s="1"/>
  <c r="G40" i="13" s="1"/>
  <c r="H40" i="13" s="1"/>
  <c r="I40" i="13" s="1"/>
  <c r="J40" i="13" s="1"/>
  <c r="K40" i="13" s="1"/>
  <c r="L40" i="13" s="1"/>
  <c r="M40" i="13" s="1"/>
  <c r="N40" i="13" s="1"/>
  <c r="O40" i="13" s="1"/>
  <c r="P40" i="13" s="1"/>
  <c r="Q40" i="13" s="1"/>
  <c r="R40" i="13" s="1"/>
  <c r="S40" i="13" s="1"/>
  <c r="T40" i="13" s="1"/>
  <c r="U40" i="13" s="1"/>
  <c r="C22" i="13"/>
  <c r="D22" i="13" s="1"/>
  <c r="E22" i="13" s="1"/>
  <c r="F22" i="13" s="1"/>
  <c r="G22" i="13" s="1"/>
  <c r="H22" i="13" s="1"/>
  <c r="I22" i="13" s="1"/>
  <c r="J22" i="13" s="1"/>
  <c r="K22" i="13" s="1"/>
  <c r="L22" i="13" s="1"/>
  <c r="M22" i="13" s="1"/>
  <c r="N22" i="13" s="1"/>
  <c r="O22" i="13" s="1"/>
  <c r="P22" i="13" s="1"/>
  <c r="Q22" i="13" s="1"/>
  <c r="R22" i="13" s="1"/>
  <c r="S22" i="13" s="1"/>
  <c r="T22" i="13" s="1"/>
  <c r="U22" i="13" s="1"/>
  <c r="C15" i="13"/>
  <c r="D15" i="13"/>
  <c r="E15" i="13"/>
  <c r="F15" i="13"/>
  <c r="G15" i="13"/>
  <c r="H15" i="13"/>
  <c r="I15" i="13"/>
  <c r="J15" i="13"/>
  <c r="K15" i="13"/>
  <c r="L15" i="13"/>
  <c r="M15" i="13"/>
  <c r="N15" i="13"/>
  <c r="O15" i="13"/>
  <c r="P15" i="13"/>
  <c r="Q15" i="13"/>
  <c r="R15" i="13"/>
  <c r="S15" i="13"/>
  <c r="T15" i="13"/>
  <c r="U15" i="13"/>
  <c r="C16" i="13"/>
  <c r="D16" i="13"/>
  <c r="E16" i="13"/>
  <c r="F16" i="13"/>
  <c r="G16" i="13"/>
  <c r="H16" i="13"/>
  <c r="I16" i="13"/>
  <c r="J16" i="13"/>
  <c r="K16" i="13"/>
  <c r="L16" i="13"/>
  <c r="M16" i="13"/>
  <c r="N16" i="13"/>
  <c r="O16" i="13"/>
  <c r="P16" i="13"/>
  <c r="Q16" i="13"/>
  <c r="R16" i="13"/>
  <c r="S16" i="13"/>
  <c r="T16" i="13"/>
  <c r="U16" i="13"/>
  <c r="C17" i="13"/>
  <c r="D17" i="13"/>
  <c r="E17" i="13"/>
  <c r="F17" i="13"/>
  <c r="G17" i="13"/>
  <c r="H17" i="13"/>
  <c r="I17" i="13"/>
  <c r="J17" i="13"/>
  <c r="K17" i="13"/>
  <c r="L17" i="13"/>
  <c r="M17" i="13"/>
  <c r="N17" i="13"/>
  <c r="O17" i="13"/>
  <c r="P17" i="13"/>
  <c r="Q17" i="13"/>
  <c r="R17" i="13"/>
  <c r="S17" i="13"/>
  <c r="T17" i="13"/>
  <c r="U17" i="13"/>
  <c r="B17" i="13"/>
  <c r="B16" i="13"/>
  <c r="B15" i="13"/>
  <c r="E6" i="13"/>
  <c r="F6" i="13"/>
  <c r="G6" i="13"/>
  <c r="H6" i="13"/>
  <c r="I6" i="13"/>
  <c r="J6" i="13"/>
  <c r="K6" i="13"/>
  <c r="L6" i="13"/>
  <c r="M6" i="13"/>
  <c r="N6" i="13"/>
  <c r="O6" i="13"/>
  <c r="P6" i="13"/>
  <c r="Q6" i="13"/>
  <c r="R6" i="13"/>
  <c r="S6" i="13"/>
  <c r="T6" i="13"/>
  <c r="U6" i="13"/>
  <c r="E7" i="13"/>
  <c r="F7" i="13"/>
  <c r="G7" i="13"/>
  <c r="H7" i="13"/>
  <c r="I7" i="13"/>
  <c r="J7" i="13"/>
  <c r="K7" i="13"/>
  <c r="L7" i="13"/>
  <c r="M7" i="13"/>
  <c r="N7" i="13"/>
  <c r="O7" i="13"/>
  <c r="P7" i="13"/>
  <c r="Q7" i="13"/>
  <c r="R7" i="13"/>
  <c r="S7" i="13"/>
  <c r="T7" i="13"/>
  <c r="U7" i="13"/>
  <c r="E8" i="13"/>
  <c r="F8" i="13"/>
  <c r="G8" i="13"/>
  <c r="H8" i="13"/>
  <c r="I8" i="13"/>
  <c r="J8" i="13"/>
  <c r="K8" i="13"/>
  <c r="L8" i="13"/>
  <c r="M8" i="13"/>
  <c r="N8" i="13"/>
  <c r="O8" i="13"/>
  <c r="P8" i="13"/>
  <c r="Q8" i="13"/>
  <c r="R8" i="13"/>
  <c r="S8" i="13"/>
  <c r="T8" i="13"/>
  <c r="U8" i="13"/>
  <c r="E9" i="13"/>
  <c r="F9" i="13"/>
  <c r="G9" i="13"/>
  <c r="H9" i="13"/>
  <c r="I9" i="13"/>
  <c r="J9" i="13"/>
  <c r="K9" i="13"/>
  <c r="L9" i="13"/>
  <c r="M9" i="13"/>
  <c r="N9" i="13"/>
  <c r="O9" i="13"/>
  <c r="P9" i="13"/>
  <c r="Q9" i="13"/>
  <c r="R9" i="13"/>
  <c r="S9" i="13"/>
  <c r="T9" i="13"/>
  <c r="U9" i="13"/>
  <c r="E10" i="13"/>
  <c r="F10" i="13"/>
  <c r="G10" i="13"/>
  <c r="H10" i="13"/>
  <c r="I10" i="13"/>
  <c r="J10" i="13"/>
  <c r="K10" i="13"/>
  <c r="L10" i="13"/>
  <c r="M10" i="13"/>
  <c r="N10" i="13"/>
  <c r="O10" i="13"/>
  <c r="P10" i="13"/>
  <c r="Q10" i="13"/>
  <c r="R10" i="13"/>
  <c r="S10" i="13"/>
  <c r="T10" i="13"/>
  <c r="U10" i="13"/>
  <c r="E11" i="13"/>
  <c r="F11" i="13"/>
  <c r="G11" i="13"/>
  <c r="H11" i="13"/>
  <c r="I11" i="13"/>
  <c r="J11" i="13"/>
  <c r="K11" i="13"/>
  <c r="L11" i="13"/>
  <c r="M11" i="13"/>
  <c r="N11" i="13"/>
  <c r="O11" i="13"/>
  <c r="P11" i="13"/>
  <c r="Q11" i="13"/>
  <c r="R11" i="13"/>
  <c r="S11" i="13"/>
  <c r="T11" i="13"/>
  <c r="U11" i="13"/>
  <c r="C6" i="13"/>
  <c r="D6" i="13"/>
  <c r="C7" i="13"/>
  <c r="D7" i="13"/>
  <c r="C8" i="13"/>
  <c r="D8" i="13"/>
  <c r="C9" i="13"/>
  <c r="D9" i="13"/>
  <c r="C10" i="13"/>
  <c r="D10" i="13"/>
  <c r="C11" i="13"/>
  <c r="D11" i="13"/>
  <c r="B11" i="13"/>
  <c r="B10" i="13"/>
  <c r="B9" i="13"/>
  <c r="B8" i="13"/>
  <c r="B7" i="13"/>
  <c r="B6" i="13"/>
  <c r="C4" i="13"/>
  <c r="D4" i="13" s="1"/>
  <c r="E4" i="13" s="1"/>
  <c r="F4" i="13" s="1"/>
  <c r="G4" i="13" s="1"/>
  <c r="H4" i="13" s="1"/>
  <c r="I4" i="13" s="1"/>
  <c r="J4" i="13" s="1"/>
  <c r="K4" i="13" s="1"/>
  <c r="L4" i="13" s="1"/>
  <c r="M4" i="13" s="1"/>
  <c r="N4" i="13" s="1"/>
  <c r="O4" i="13" s="1"/>
  <c r="P4" i="13" s="1"/>
  <c r="Q4" i="13" s="1"/>
  <c r="R4" i="13" s="1"/>
  <c r="S4" i="13" s="1"/>
  <c r="T4" i="13" s="1"/>
  <c r="U4" i="13" s="1"/>
  <c r="D23" i="4"/>
  <c r="E23" i="4" s="1"/>
  <c r="F23" i="4" s="1"/>
  <c r="G23" i="4" s="1"/>
  <c r="H23" i="4" s="1"/>
  <c r="I23" i="4" s="1"/>
  <c r="J23" i="4" s="1"/>
  <c r="K23" i="4" s="1"/>
  <c r="L23" i="4" s="1"/>
  <c r="M23" i="4" s="1"/>
  <c r="N23" i="4" s="1"/>
  <c r="O23" i="4" s="1"/>
  <c r="P23" i="4" s="1"/>
  <c r="Q23" i="4" s="1"/>
  <c r="R23" i="4" s="1"/>
  <c r="S23" i="4" s="1"/>
  <c r="T23" i="4" s="1"/>
  <c r="U23" i="4" s="1"/>
  <c r="C23" i="4"/>
  <c r="U53" i="6" l="1"/>
  <c r="U35" i="13" s="1"/>
  <c r="T53" i="6"/>
  <c r="T35" i="13" s="1"/>
  <c r="S53" i="6"/>
  <c r="S35" i="13" s="1"/>
  <c r="R53" i="6"/>
  <c r="R35" i="13" s="1"/>
  <c r="Q53" i="6"/>
  <c r="Q35" i="13" s="1"/>
  <c r="P53" i="6"/>
  <c r="P35" i="13" s="1"/>
  <c r="O53" i="6"/>
  <c r="O35" i="13" s="1"/>
  <c r="N53" i="6"/>
  <c r="N35" i="13" s="1"/>
  <c r="M53" i="6"/>
  <c r="M35" i="13" s="1"/>
  <c r="L53" i="6"/>
  <c r="L35" i="13" s="1"/>
  <c r="K53" i="6"/>
  <c r="K35" i="13" s="1"/>
  <c r="J53" i="6"/>
  <c r="J35" i="13" s="1"/>
  <c r="I53" i="6"/>
  <c r="I35" i="13" s="1"/>
  <c r="H53" i="6"/>
  <c r="H35" i="13" s="1"/>
  <c r="G53" i="6"/>
  <c r="G35" i="13" s="1"/>
  <c r="F53" i="6"/>
  <c r="F35" i="13" s="1"/>
  <c r="E53" i="6"/>
  <c r="E35" i="13" s="1"/>
  <c r="D53" i="6"/>
  <c r="D35" i="13" s="1"/>
  <c r="C53" i="6"/>
  <c r="C35" i="13" s="1"/>
  <c r="B53" i="6"/>
  <c r="U52" i="6"/>
  <c r="U34" i="13" s="1"/>
  <c r="T52" i="6"/>
  <c r="T34" i="13" s="1"/>
  <c r="S52" i="6"/>
  <c r="S34" i="13" s="1"/>
  <c r="R52" i="6"/>
  <c r="R34" i="13" s="1"/>
  <c r="Q52" i="6"/>
  <c r="Q34" i="13" s="1"/>
  <c r="P52" i="6"/>
  <c r="P34" i="13" s="1"/>
  <c r="O52" i="6"/>
  <c r="O34" i="13" s="1"/>
  <c r="N52" i="6"/>
  <c r="N34" i="13" s="1"/>
  <c r="M52" i="6"/>
  <c r="M34" i="13" s="1"/>
  <c r="L52" i="6"/>
  <c r="L34" i="13" s="1"/>
  <c r="K52" i="6"/>
  <c r="K34" i="13" s="1"/>
  <c r="J52" i="6"/>
  <c r="J34" i="13" s="1"/>
  <c r="I52" i="6"/>
  <c r="I34" i="13" s="1"/>
  <c r="H52" i="6"/>
  <c r="H34" i="13" s="1"/>
  <c r="G52" i="6"/>
  <c r="G34" i="13" s="1"/>
  <c r="F52" i="6"/>
  <c r="F34" i="13" s="1"/>
  <c r="E52" i="6"/>
  <c r="E34" i="13" s="1"/>
  <c r="D52" i="6"/>
  <c r="D34" i="13" s="1"/>
  <c r="C52" i="6"/>
  <c r="C34" i="13" s="1"/>
  <c r="B52" i="6"/>
  <c r="B34" i="13" s="1"/>
  <c r="U51" i="6"/>
  <c r="U33" i="13" s="1"/>
  <c r="T51" i="6"/>
  <c r="T33" i="13" s="1"/>
  <c r="S51" i="6"/>
  <c r="S33" i="13" s="1"/>
  <c r="R51" i="6"/>
  <c r="R33" i="13" s="1"/>
  <c r="Q51" i="6"/>
  <c r="Q33" i="13" s="1"/>
  <c r="P51" i="6"/>
  <c r="P33" i="13" s="1"/>
  <c r="O51" i="6"/>
  <c r="O33" i="13" s="1"/>
  <c r="N51" i="6"/>
  <c r="N33" i="13" s="1"/>
  <c r="M51" i="6"/>
  <c r="M33" i="13" s="1"/>
  <c r="L51" i="6"/>
  <c r="L33" i="13" s="1"/>
  <c r="K51" i="6"/>
  <c r="K33" i="13" s="1"/>
  <c r="J51" i="6"/>
  <c r="J33" i="13" s="1"/>
  <c r="I51" i="6"/>
  <c r="I33" i="13" s="1"/>
  <c r="H51" i="6"/>
  <c r="H33" i="13" s="1"/>
  <c r="G51" i="6"/>
  <c r="G33" i="13" s="1"/>
  <c r="F51" i="6"/>
  <c r="F33" i="13" s="1"/>
  <c r="E51" i="6"/>
  <c r="E33" i="13" s="1"/>
  <c r="D51" i="6"/>
  <c r="D33" i="13" s="1"/>
  <c r="C51" i="6"/>
  <c r="C33" i="13" s="1"/>
  <c r="B51" i="6"/>
  <c r="C42" i="6"/>
  <c r="D42" i="6"/>
  <c r="E42" i="6"/>
  <c r="E24" i="13" s="1"/>
  <c r="F42" i="6"/>
  <c r="G42" i="6"/>
  <c r="G24" i="13" s="1"/>
  <c r="H42" i="6"/>
  <c r="I42" i="6"/>
  <c r="I24" i="13" s="1"/>
  <c r="J42" i="6"/>
  <c r="K42" i="6"/>
  <c r="K24" i="13" s="1"/>
  <c r="L42" i="6"/>
  <c r="M42" i="6"/>
  <c r="M24" i="13" s="1"/>
  <c r="N42" i="6"/>
  <c r="O42" i="6"/>
  <c r="O24" i="13" s="1"/>
  <c r="P42" i="6"/>
  <c r="Q42" i="6"/>
  <c r="Q24" i="13" s="1"/>
  <c r="R42" i="6"/>
  <c r="S42" i="6"/>
  <c r="S24" i="13" s="1"/>
  <c r="T42" i="6"/>
  <c r="U42" i="6"/>
  <c r="U24" i="13" s="1"/>
  <c r="C43" i="6"/>
  <c r="C25" i="13" s="1"/>
  <c r="D43" i="6"/>
  <c r="D25" i="13" s="1"/>
  <c r="E43" i="6"/>
  <c r="F43" i="6"/>
  <c r="F25" i="13" s="1"/>
  <c r="G43" i="6"/>
  <c r="G25" i="13" s="1"/>
  <c r="H43" i="6"/>
  <c r="H25" i="13" s="1"/>
  <c r="I43" i="6"/>
  <c r="J43" i="6"/>
  <c r="J25" i="13" s="1"/>
  <c r="K43" i="6"/>
  <c r="K25" i="13" s="1"/>
  <c r="L43" i="6"/>
  <c r="L25" i="13" s="1"/>
  <c r="M43" i="6"/>
  <c r="N43" i="6"/>
  <c r="N25" i="13" s="1"/>
  <c r="O43" i="6"/>
  <c r="O25" i="13" s="1"/>
  <c r="P43" i="6"/>
  <c r="P25" i="13" s="1"/>
  <c r="Q43" i="6"/>
  <c r="R43" i="6"/>
  <c r="R25" i="13" s="1"/>
  <c r="S43" i="6"/>
  <c r="S25" i="13" s="1"/>
  <c r="T43" i="6"/>
  <c r="T25" i="13" s="1"/>
  <c r="U43" i="6"/>
  <c r="C44" i="6"/>
  <c r="C26" i="13" s="1"/>
  <c r="D44" i="6"/>
  <c r="D26" i="13" s="1"/>
  <c r="E44" i="6"/>
  <c r="E26" i="13" s="1"/>
  <c r="F44" i="6"/>
  <c r="G44" i="6"/>
  <c r="G26" i="13" s="1"/>
  <c r="H44" i="6"/>
  <c r="H26" i="13" s="1"/>
  <c r="I44" i="6"/>
  <c r="I26" i="13" s="1"/>
  <c r="J44" i="6"/>
  <c r="J26" i="13" s="1"/>
  <c r="K44" i="6"/>
  <c r="K26" i="13" s="1"/>
  <c r="L44" i="6"/>
  <c r="L26" i="13" s="1"/>
  <c r="M44" i="6"/>
  <c r="M26" i="13" s="1"/>
  <c r="N44" i="6"/>
  <c r="N26" i="13" s="1"/>
  <c r="O44" i="6"/>
  <c r="O26" i="13" s="1"/>
  <c r="P44" i="6"/>
  <c r="P26" i="13" s="1"/>
  <c r="Q44" i="6"/>
  <c r="Q26" i="13" s="1"/>
  <c r="R44" i="6"/>
  <c r="R26" i="13" s="1"/>
  <c r="S44" i="6"/>
  <c r="S26" i="13" s="1"/>
  <c r="T44" i="6"/>
  <c r="T26" i="13" s="1"/>
  <c r="U44" i="6"/>
  <c r="U26" i="13" s="1"/>
  <c r="C45" i="6"/>
  <c r="D45" i="6"/>
  <c r="D27" i="13" s="1"/>
  <c r="E45" i="6"/>
  <c r="E27" i="13" s="1"/>
  <c r="F45" i="6"/>
  <c r="F27" i="13" s="1"/>
  <c r="G45" i="6"/>
  <c r="G27" i="13" s="1"/>
  <c r="H45" i="6"/>
  <c r="H27" i="13" s="1"/>
  <c r="I45" i="6"/>
  <c r="I27" i="13" s="1"/>
  <c r="J45" i="6"/>
  <c r="J27" i="13" s="1"/>
  <c r="K45" i="6"/>
  <c r="K27" i="13" s="1"/>
  <c r="L45" i="6"/>
  <c r="L27" i="13" s="1"/>
  <c r="M45" i="6"/>
  <c r="M27" i="13" s="1"/>
  <c r="N45" i="6"/>
  <c r="N27" i="13" s="1"/>
  <c r="O45" i="6"/>
  <c r="O27" i="13" s="1"/>
  <c r="P45" i="6"/>
  <c r="P27" i="13" s="1"/>
  <c r="Q45" i="6"/>
  <c r="Q27" i="13" s="1"/>
  <c r="R45" i="6"/>
  <c r="R27" i="13" s="1"/>
  <c r="S45" i="6"/>
  <c r="S27" i="13" s="1"/>
  <c r="T45" i="6"/>
  <c r="T27" i="13" s="1"/>
  <c r="U45" i="6"/>
  <c r="U27" i="13" s="1"/>
  <c r="C46" i="6"/>
  <c r="C28" i="13" s="1"/>
  <c r="D46" i="6"/>
  <c r="D28" i="13" s="1"/>
  <c r="E46" i="6"/>
  <c r="E28" i="13" s="1"/>
  <c r="F46" i="6"/>
  <c r="F28" i="13" s="1"/>
  <c r="G46" i="6"/>
  <c r="G28" i="13" s="1"/>
  <c r="H46" i="6"/>
  <c r="H28" i="13" s="1"/>
  <c r="I46" i="6"/>
  <c r="I28" i="13" s="1"/>
  <c r="J46" i="6"/>
  <c r="J28" i="13" s="1"/>
  <c r="K46" i="6"/>
  <c r="K28" i="13" s="1"/>
  <c r="L46" i="6"/>
  <c r="L28" i="13" s="1"/>
  <c r="M46" i="6"/>
  <c r="M28" i="13" s="1"/>
  <c r="N46" i="6"/>
  <c r="N28" i="13" s="1"/>
  <c r="O46" i="6"/>
  <c r="O28" i="13" s="1"/>
  <c r="P46" i="6"/>
  <c r="P28" i="13" s="1"/>
  <c r="Q46" i="6"/>
  <c r="Q28" i="13" s="1"/>
  <c r="R46" i="6"/>
  <c r="R28" i="13" s="1"/>
  <c r="S46" i="6"/>
  <c r="S28" i="13" s="1"/>
  <c r="T46" i="6"/>
  <c r="T28" i="13" s="1"/>
  <c r="U46" i="6"/>
  <c r="U28" i="13" s="1"/>
  <c r="C47" i="6"/>
  <c r="D47" i="6"/>
  <c r="D29" i="13" s="1"/>
  <c r="E47" i="6"/>
  <c r="E29" i="13" s="1"/>
  <c r="F47" i="6"/>
  <c r="F29" i="13" s="1"/>
  <c r="G47" i="6"/>
  <c r="G29" i="13" s="1"/>
  <c r="H47" i="6"/>
  <c r="H29" i="13" s="1"/>
  <c r="I47" i="6"/>
  <c r="I29" i="13" s="1"/>
  <c r="J47" i="6"/>
  <c r="J29" i="13" s="1"/>
  <c r="K47" i="6"/>
  <c r="K29" i="13" s="1"/>
  <c r="L47" i="6"/>
  <c r="L29" i="13" s="1"/>
  <c r="M47" i="6"/>
  <c r="M29" i="13" s="1"/>
  <c r="N47" i="6"/>
  <c r="N29" i="13" s="1"/>
  <c r="O47" i="6"/>
  <c r="O29" i="13" s="1"/>
  <c r="P47" i="6"/>
  <c r="P29" i="13" s="1"/>
  <c r="Q47" i="6"/>
  <c r="Q29" i="13" s="1"/>
  <c r="R47" i="6"/>
  <c r="R29" i="13" s="1"/>
  <c r="S47" i="6"/>
  <c r="S29" i="13" s="1"/>
  <c r="T47" i="6"/>
  <c r="T29" i="13" s="1"/>
  <c r="U47" i="6"/>
  <c r="U29" i="13" s="1"/>
  <c r="B43" i="6"/>
  <c r="B25" i="13" s="1"/>
  <c r="B44" i="6"/>
  <c r="B26" i="13" s="1"/>
  <c r="B45" i="6"/>
  <c r="B27" i="13" s="1"/>
  <c r="B46" i="6"/>
  <c r="B47" i="6"/>
  <c r="B29" i="13" s="1"/>
  <c r="B42" i="6"/>
  <c r="B24" i="13" s="1"/>
  <c r="U54" i="6"/>
  <c r="U80" i="6" s="1"/>
  <c r="T54" i="6"/>
  <c r="T80" i="6" s="1"/>
  <c r="S54" i="6"/>
  <c r="S80" i="6" s="1"/>
  <c r="R54" i="6"/>
  <c r="R80" i="6" s="1"/>
  <c r="Q54" i="6"/>
  <c r="Q80" i="6" s="1"/>
  <c r="P54" i="6"/>
  <c r="P80" i="6" s="1"/>
  <c r="O54" i="6"/>
  <c r="O80" i="6" s="1"/>
  <c r="N54" i="6"/>
  <c r="N80" i="6" s="1"/>
  <c r="M54" i="6"/>
  <c r="M80" i="6" s="1"/>
  <c r="L54" i="6"/>
  <c r="L80" i="6" s="1"/>
  <c r="K54" i="6"/>
  <c r="K80" i="6" s="1"/>
  <c r="J54" i="6"/>
  <c r="J80" i="6" s="1"/>
  <c r="I54" i="6"/>
  <c r="I80" i="6" s="1"/>
  <c r="H54" i="6"/>
  <c r="H80" i="6" s="1"/>
  <c r="G54" i="6"/>
  <c r="G80" i="6" s="1"/>
  <c r="F54" i="6"/>
  <c r="F80" i="6" s="1"/>
  <c r="E54" i="6"/>
  <c r="E80" i="6" s="1"/>
  <c r="D54" i="6"/>
  <c r="D80" i="6" s="1"/>
  <c r="C54" i="6"/>
  <c r="C80" i="6" s="1"/>
  <c r="B54" i="6"/>
  <c r="B80" i="6" s="1"/>
  <c r="C40" i="6"/>
  <c r="D40" i="6" s="1"/>
  <c r="E40" i="6" s="1"/>
  <c r="F40" i="6" s="1"/>
  <c r="G40" i="6" s="1"/>
  <c r="H40" i="6" s="1"/>
  <c r="I40" i="6" s="1"/>
  <c r="J40" i="6" s="1"/>
  <c r="K40" i="6" s="1"/>
  <c r="L40" i="6" s="1"/>
  <c r="M40" i="6" s="1"/>
  <c r="N40" i="6" s="1"/>
  <c r="O40" i="6" s="1"/>
  <c r="P40" i="6" s="1"/>
  <c r="Q40" i="6" s="1"/>
  <c r="R40" i="6" s="1"/>
  <c r="S40" i="6" s="1"/>
  <c r="T40" i="6" s="1"/>
  <c r="U40" i="6" s="1"/>
  <c r="U36" i="6"/>
  <c r="U79" i="6" s="1"/>
  <c r="T36" i="6"/>
  <c r="T79" i="6" s="1"/>
  <c r="S36" i="6"/>
  <c r="S79" i="6" s="1"/>
  <c r="R36" i="6"/>
  <c r="R79" i="6" s="1"/>
  <c r="Q36" i="6"/>
  <c r="Q79" i="6" s="1"/>
  <c r="P36" i="6"/>
  <c r="P79" i="6" s="1"/>
  <c r="O36" i="6"/>
  <c r="O79" i="6" s="1"/>
  <c r="N36" i="6"/>
  <c r="N79" i="6" s="1"/>
  <c r="M36" i="6"/>
  <c r="M79" i="6" s="1"/>
  <c r="L36" i="6"/>
  <c r="L79" i="6" s="1"/>
  <c r="K36" i="6"/>
  <c r="K79" i="6" s="1"/>
  <c r="J36" i="6"/>
  <c r="J79" i="6" s="1"/>
  <c r="I36" i="6"/>
  <c r="I79" i="6" s="1"/>
  <c r="H36" i="6"/>
  <c r="H79" i="6" s="1"/>
  <c r="G36" i="6"/>
  <c r="G79" i="6" s="1"/>
  <c r="F36" i="6"/>
  <c r="F79" i="6" s="1"/>
  <c r="E36" i="6"/>
  <c r="E79" i="6" s="1"/>
  <c r="D36" i="6"/>
  <c r="D79" i="6" s="1"/>
  <c r="C36" i="6"/>
  <c r="C79" i="6" s="1"/>
  <c r="B36" i="6"/>
  <c r="B79" i="6" s="1"/>
  <c r="V35" i="6"/>
  <c r="V34" i="6"/>
  <c r="V33" i="6"/>
  <c r="U30" i="6"/>
  <c r="U75" i="6" s="1"/>
  <c r="T30" i="6"/>
  <c r="T75" i="6" s="1"/>
  <c r="S30" i="6"/>
  <c r="S75" i="6" s="1"/>
  <c r="R30" i="6"/>
  <c r="R75" i="6" s="1"/>
  <c r="Q30" i="6"/>
  <c r="Q75" i="6" s="1"/>
  <c r="P30" i="6"/>
  <c r="P75" i="6" s="1"/>
  <c r="O30" i="6"/>
  <c r="O75" i="6" s="1"/>
  <c r="N30" i="6"/>
  <c r="N75" i="6" s="1"/>
  <c r="M30" i="6"/>
  <c r="M75" i="6" s="1"/>
  <c r="L30" i="6"/>
  <c r="L75" i="6" s="1"/>
  <c r="K30" i="6"/>
  <c r="K75" i="6" s="1"/>
  <c r="J30" i="6"/>
  <c r="J75" i="6" s="1"/>
  <c r="I30" i="6"/>
  <c r="I75" i="6" s="1"/>
  <c r="H30" i="6"/>
  <c r="H75" i="6" s="1"/>
  <c r="G30" i="6"/>
  <c r="G75" i="6" s="1"/>
  <c r="F30" i="6"/>
  <c r="F75" i="6" s="1"/>
  <c r="E30" i="6"/>
  <c r="E75" i="6" s="1"/>
  <c r="D30" i="6"/>
  <c r="D75" i="6" s="1"/>
  <c r="C30" i="6"/>
  <c r="C75" i="6" s="1"/>
  <c r="B30" i="6"/>
  <c r="B75" i="6" s="1"/>
  <c r="V29" i="6"/>
  <c r="V28" i="6"/>
  <c r="V27" i="6"/>
  <c r="V26" i="6"/>
  <c r="V25" i="6"/>
  <c r="V24" i="6"/>
  <c r="C22" i="6"/>
  <c r="D22" i="6" s="1"/>
  <c r="E22" i="6" s="1"/>
  <c r="F22" i="6" s="1"/>
  <c r="G22" i="6" s="1"/>
  <c r="H22" i="6" s="1"/>
  <c r="I22" i="6" s="1"/>
  <c r="J22" i="6" s="1"/>
  <c r="K22" i="6" s="1"/>
  <c r="L22" i="6" s="1"/>
  <c r="M22" i="6" s="1"/>
  <c r="N22" i="6" s="1"/>
  <c r="O22" i="6" s="1"/>
  <c r="P22" i="6" s="1"/>
  <c r="Q22" i="6" s="1"/>
  <c r="R22" i="6" s="1"/>
  <c r="S22" i="6" s="1"/>
  <c r="T22" i="6" s="1"/>
  <c r="U22" i="6" s="1"/>
  <c r="V35" i="5"/>
  <c r="V71" i="13" s="1"/>
  <c r="V34" i="5"/>
  <c r="V70" i="13" s="1"/>
  <c r="V33" i="5"/>
  <c r="V29" i="5"/>
  <c r="V65" i="13" s="1"/>
  <c r="V28" i="5"/>
  <c r="V64" i="13" s="1"/>
  <c r="V27" i="5"/>
  <c r="V63" i="13" s="1"/>
  <c r="V26" i="5"/>
  <c r="V62" i="13" s="1"/>
  <c r="V25" i="5"/>
  <c r="V61" i="13" s="1"/>
  <c r="V24" i="5"/>
  <c r="U18" i="7"/>
  <c r="U33" i="7" s="1"/>
  <c r="T18" i="7"/>
  <c r="T33" i="7" s="1"/>
  <c r="S18" i="7"/>
  <c r="S33" i="7" s="1"/>
  <c r="R18" i="7"/>
  <c r="R33" i="7" s="1"/>
  <c r="Q18" i="7"/>
  <c r="Q33" i="7" s="1"/>
  <c r="P18" i="7"/>
  <c r="P33" i="7" s="1"/>
  <c r="O18" i="7"/>
  <c r="O33" i="7" s="1"/>
  <c r="N18" i="7"/>
  <c r="N33" i="7" s="1"/>
  <c r="M18" i="7"/>
  <c r="M33" i="7" s="1"/>
  <c r="L18" i="7"/>
  <c r="L33" i="7" s="1"/>
  <c r="K18" i="7"/>
  <c r="K33" i="7" s="1"/>
  <c r="J18" i="7"/>
  <c r="J33" i="7" s="1"/>
  <c r="I18" i="7"/>
  <c r="I33" i="7" s="1"/>
  <c r="H18" i="7"/>
  <c r="H33" i="7" s="1"/>
  <c r="G18" i="7"/>
  <c r="G33" i="7" s="1"/>
  <c r="F18" i="7"/>
  <c r="F33" i="7" s="1"/>
  <c r="E18" i="7"/>
  <c r="E33" i="7" s="1"/>
  <c r="D18" i="7"/>
  <c r="D33" i="7" s="1"/>
  <c r="C18" i="7"/>
  <c r="C33" i="7" s="1"/>
  <c r="B18" i="7"/>
  <c r="B33" i="7" s="1"/>
  <c r="V17" i="7"/>
  <c r="V16" i="7"/>
  <c r="V15" i="7"/>
  <c r="U12" i="7"/>
  <c r="U32" i="7" s="1"/>
  <c r="T12" i="7"/>
  <c r="T32" i="7" s="1"/>
  <c r="S12" i="7"/>
  <c r="S32" i="7" s="1"/>
  <c r="R12" i="7"/>
  <c r="R32" i="7" s="1"/>
  <c r="Q12" i="7"/>
  <c r="Q32" i="7" s="1"/>
  <c r="P12" i="7"/>
  <c r="P32" i="7" s="1"/>
  <c r="O12" i="7"/>
  <c r="O32" i="7" s="1"/>
  <c r="N12" i="7"/>
  <c r="N32" i="7" s="1"/>
  <c r="M12" i="7"/>
  <c r="M32" i="7" s="1"/>
  <c r="L12" i="7"/>
  <c r="L32" i="7" s="1"/>
  <c r="K12" i="7"/>
  <c r="K32" i="7" s="1"/>
  <c r="J12" i="7"/>
  <c r="J32" i="7" s="1"/>
  <c r="I12" i="7"/>
  <c r="I32" i="7" s="1"/>
  <c r="H12" i="7"/>
  <c r="H32" i="7" s="1"/>
  <c r="G12" i="7"/>
  <c r="G32" i="7" s="1"/>
  <c r="F12" i="7"/>
  <c r="F32" i="7" s="1"/>
  <c r="E12" i="7"/>
  <c r="E32" i="7" s="1"/>
  <c r="D12" i="7"/>
  <c r="D32" i="7" s="1"/>
  <c r="C12" i="7"/>
  <c r="C32" i="7" s="1"/>
  <c r="B12" i="7"/>
  <c r="B32" i="7" s="1"/>
  <c r="V11" i="7"/>
  <c r="V10" i="7"/>
  <c r="V9" i="7"/>
  <c r="V8" i="7"/>
  <c r="V7" i="7"/>
  <c r="V6" i="7"/>
  <c r="C4" i="7"/>
  <c r="D4" i="7" s="1"/>
  <c r="E4" i="7" s="1"/>
  <c r="F4" i="7" s="1"/>
  <c r="G4" i="7" s="1"/>
  <c r="H4" i="7" s="1"/>
  <c r="I4" i="7" s="1"/>
  <c r="J4" i="7" s="1"/>
  <c r="K4" i="7" s="1"/>
  <c r="L4" i="7" s="1"/>
  <c r="M4" i="7" s="1"/>
  <c r="N4" i="7" s="1"/>
  <c r="O4" i="7" s="1"/>
  <c r="P4" i="7" s="1"/>
  <c r="Q4" i="7" s="1"/>
  <c r="R4" i="7" s="1"/>
  <c r="S4" i="7" s="1"/>
  <c r="T4" i="7" s="1"/>
  <c r="U4" i="7" s="1"/>
  <c r="U18" i="6"/>
  <c r="U78" i="6" s="1"/>
  <c r="T18" i="6"/>
  <c r="T78" i="6" s="1"/>
  <c r="S18" i="6"/>
  <c r="S78" i="6" s="1"/>
  <c r="R18" i="6"/>
  <c r="R78" i="6" s="1"/>
  <c r="Q18" i="6"/>
  <c r="Q78" i="6" s="1"/>
  <c r="P18" i="6"/>
  <c r="P78" i="6" s="1"/>
  <c r="O18" i="6"/>
  <c r="O78" i="6" s="1"/>
  <c r="N18" i="6"/>
  <c r="N78" i="6" s="1"/>
  <c r="M18" i="6"/>
  <c r="M78" i="6" s="1"/>
  <c r="L18" i="6"/>
  <c r="L78" i="6" s="1"/>
  <c r="K18" i="6"/>
  <c r="K78" i="6" s="1"/>
  <c r="J18" i="6"/>
  <c r="J78" i="6" s="1"/>
  <c r="I18" i="6"/>
  <c r="I78" i="6" s="1"/>
  <c r="H18" i="6"/>
  <c r="H78" i="6" s="1"/>
  <c r="G18" i="6"/>
  <c r="G78" i="6" s="1"/>
  <c r="F18" i="6"/>
  <c r="F78" i="6" s="1"/>
  <c r="E18" i="6"/>
  <c r="E78" i="6" s="1"/>
  <c r="D18" i="6"/>
  <c r="D78" i="6" s="1"/>
  <c r="C18" i="6"/>
  <c r="C78" i="6" s="1"/>
  <c r="B18" i="6"/>
  <c r="B78" i="6" s="1"/>
  <c r="V17" i="6"/>
  <c r="V17" i="13" s="1"/>
  <c r="V16" i="6"/>
  <c r="V16" i="13" s="1"/>
  <c r="V15" i="6"/>
  <c r="V15" i="13" s="1"/>
  <c r="U12" i="6"/>
  <c r="U74" i="6" s="1"/>
  <c r="T12" i="6"/>
  <c r="T74" i="6" s="1"/>
  <c r="S12" i="6"/>
  <c r="S74" i="6" s="1"/>
  <c r="R12" i="6"/>
  <c r="R74" i="6" s="1"/>
  <c r="Q12" i="6"/>
  <c r="Q74" i="6" s="1"/>
  <c r="P12" i="6"/>
  <c r="P74" i="6" s="1"/>
  <c r="O12" i="6"/>
  <c r="O74" i="6" s="1"/>
  <c r="N12" i="6"/>
  <c r="N74" i="6" s="1"/>
  <c r="M12" i="6"/>
  <c r="M74" i="6" s="1"/>
  <c r="L12" i="6"/>
  <c r="L74" i="6" s="1"/>
  <c r="K12" i="6"/>
  <c r="K74" i="6" s="1"/>
  <c r="J12" i="6"/>
  <c r="J74" i="6" s="1"/>
  <c r="I12" i="6"/>
  <c r="I74" i="6" s="1"/>
  <c r="H12" i="6"/>
  <c r="H74" i="6" s="1"/>
  <c r="G12" i="6"/>
  <c r="G74" i="6" s="1"/>
  <c r="F12" i="6"/>
  <c r="F74" i="6" s="1"/>
  <c r="E12" i="6"/>
  <c r="E74" i="6" s="1"/>
  <c r="D12" i="6"/>
  <c r="D74" i="6" s="1"/>
  <c r="C12" i="6"/>
  <c r="C74" i="6" s="1"/>
  <c r="B12" i="6"/>
  <c r="B74" i="6" s="1"/>
  <c r="V11" i="6"/>
  <c r="V11" i="13" s="1"/>
  <c r="V10" i="6"/>
  <c r="V10" i="13" s="1"/>
  <c r="V9" i="6"/>
  <c r="V9" i="13" s="1"/>
  <c r="V8" i="6"/>
  <c r="V8" i="13" s="1"/>
  <c r="V7" i="6"/>
  <c r="V7" i="13" s="1"/>
  <c r="V6" i="6"/>
  <c r="V6" i="13" s="1"/>
  <c r="C4" i="6"/>
  <c r="D4" i="6" s="1"/>
  <c r="E4" i="6" s="1"/>
  <c r="F4" i="6" s="1"/>
  <c r="G4" i="6" s="1"/>
  <c r="H4" i="6" s="1"/>
  <c r="I4" i="6" s="1"/>
  <c r="J4" i="6" s="1"/>
  <c r="K4" i="6" s="1"/>
  <c r="L4" i="6" s="1"/>
  <c r="M4" i="6" s="1"/>
  <c r="N4" i="6" s="1"/>
  <c r="O4" i="6" s="1"/>
  <c r="P4" i="6" s="1"/>
  <c r="Q4" i="6" s="1"/>
  <c r="R4" i="6" s="1"/>
  <c r="S4" i="6" s="1"/>
  <c r="T4" i="6" s="1"/>
  <c r="U4" i="6" s="1"/>
  <c r="U18" i="5"/>
  <c r="U54" i="5" s="1"/>
  <c r="T18" i="5"/>
  <c r="T54" i="5" s="1"/>
  <c r="S18" i="5"/>
  <c r="S54" i="5" s="1"/>
  <c r="R18" i="5"/>
  <c r="R54" i="5" s="1"/>
  <c r="Q18" i="5"/>
  <c r="Q54" i="5" s="1"/>
  <c r="P18" i="5"/>
  <c r="P54" i="5" s="1"/>
  <c r="O18" i="5"/>
  <c r="O54" i="5" s="1"/>
  <c r="N18" i="5"/>
  <c r="N54" i="5" s="1"/>
  <c r="M18" i="5"/>
  <c r="M54" i="5" s="1"/>
  <c r="L18" i="5"/>
  <c r="L54" i="5" s="1"/>
  <c r="K18" i="5"/>
  <c r="K54" i="5" s="1"/>
  <c r="J18" i="5"/>
  <c r="J54" i="5" s="1"/>
  <c r="I18" i="5"/>
  <c r="I54" i="5" s="1"/>
  <c r="H18" i="5"/>
  <c r="H54" i="5" s="1"/>
  <c r="G18" i="5"/>
  <c r="G54" i="5" s="1"/>
  <c r="F18" i="5"/>
  <c r="F54" i="5" s="1"/>
  <c r="E18" i="5"/>
  <c r="E54" i="5" s="1"/>
  <c r="D18" i="5"/>
  <c r="D54" i="5" s="1"/>
  <c r="C18" i="5"/>
  <c r="C54" i="5" s="1"/>
  <c r="B18" i="5"/>
  <c r="B54" i="5" s="1"/>
  <c r="V17" i="5"/>
  <c r="V53" i="13" s="1"/>
  <c r="V16" i="5"/>
  <c r="V52" i="13" s="1"/>
  <c r="V15" i="5"/>
  <c r="V51" i="13" s="1"/>
  <c r="U12" i="5"/>
  <c r="U53" i="5" s="1"/>
  <c r="T12" i="5"/>
  <c r="T53" i="5" s="1"/>
  <c r="S12" i="5"/>
  <c r="S53" i="5" s="1"/>
  <c r="R12" i="5"/>
  <c r="R53" i="5" s="1"/>
  <c r="Q12" i="5"/>
  <c r="Q53" i="5" s="1"/>
  <c r="P12" i="5"/>
  <c r="P53" i="5" s="1"/>
  <c r="O12" i="5"/>
  <c r="O53" i="5" s="1"/>
  <c r="N12" i="5"/>
  <c r="N53" i="5" s="1"/>
  <c r="M12" i="5"/>
  <c r="M53" i="5" s="1"/>
  <c r="L12" i="5"/>
  <c r="L53" i="5" s="1"/>
  <c r="K12" i="5"/>
  <c r="K53" i="5" s="1"/>
  <c r="J12" i="5"/>
  <c r="J53" i="5" s="1"/>
  <c r="I12" i="5"/>
  <c r="I53" i="5" s="1"/>
  <c r="H12" i="5"/>
  <c r="H53" i="5" s="1"/>
  <c r="G12" i="5"/>
  <c r="G53" i="5" s="1"/>
  <c r="F12" i="5"/>
  <c r="F53" i="5" s="1"/>
  <c r="E12" i="5"/>
  <c r="E53" i="5" s="1"/>
  <c r="D12" i="5"/>
  <c r="D53" i="5" s="1"/>
  <c r="C12" i="5"/>
  <c r="C53" i="5" s="1"/>
  <c r="B12" i="5"/>
  <c r="B53" i="5" s="1"/>
  <c r="V11" i="5"/>
  <c r="V47" i="13" s="1"/>
  <c r="V10" i="5"/>
  <c r="V46" i="13" s="1"/>
  <c r="V9" i="5"/>
  <c r="V45" i="13" s="1"/>
  <c r="V8" i="5"/>
  <c r="V44" i="13" s="1"/>
  <c r="V7" i="5"/>
  <c r="V43" i="13" s="1"/>
  <c r="V6" i="5"/>
  <c r="V42" i="13" s="1"/>
  <c r="C4" i="5"/>
  <c r="D4" i="5" s="1"/>
  <c r="E4" i="5" s="1"/>
  <c r="F4" i="5" s="1"/>
  <c r="G4" i="5" s="1"/>
  <c r="H4" i="5" s="1"/>
  <c r="I4" i="5" s="1"/>
  <c r="J4" i="5" s="1"/>
  <c r="K4" i="5" s="1"/>
  <c r="L4" i="5" s="1"/>
  <c r="M4" i="5" s="1"/>
  <c r="N4" i="5" s="1"/>
  <c r="O4" i="5" s="1"/>
  <c r="P4" i="5" s="1"/>
  <c r="Q4" i="5" s="1"/>
  <c r="R4" i="5" s="1"/>
  <c r="S4" i="5" s="1"/>
  <c r="T4" i="5" s="1"/>
  <c r="U4" i="5" s="1"/>
  <c r="C18" i="4"/>
  <c r="D18" i="4"/>
  <c r="E18" i="4"/>
  <c r="F18" i="4"/>
  <c r="G18" i="4"/>
  <c r="H18" i="4"/>
  <c r="I18" i="4"/>
  <c r="J18" i="4"/>
  <c r="K18" i="4"/>
  <c r="L18" i="4"/>
  <c r="M18" i="4"/>
  <c r="N18" i="4"/>
  <c r="O18" i="4"/>
  <c r="P18" i="4"/>
  <c r="Q18" i="4"/>
  <c r="R18" i="4"/>
  <c r="S18" i="4"/>
  <c r="T18" i="4"/>
  <c r="U18" i="4"/>
  <c r="B18" i="4"/>
  <c r="C12" i="4"/>
  <c r="D12" i="4"/>
  <c r="E12" i="4"/>
  <c r="F12" i="4"/>
  <c r="G12" i="4"/>
  <c r="H12" i="4"/>
  <c r="I12" i="4"/>
  <c r="J12" i="4"/>
  <c r="K12" i="4"/>
  <c r="L12" i="4"/>
  <c r="M12" i="4"/>
  <c r="N12" i="4"/>
  <c r="O12" i="4"/>
  <c r="P12" i="4"/>
  <c r="Q12" i="4"/>
  <c r="R12" i="4"/>
  <c r="S12" i="4"/>
  <c r="T12" i="4"/>
  <c r="U12" i="4"/>
  <c r="B12" i="4"/>
  <c r="C4" i="4"/>
  <c r="D4" i="4" s="1"/>
  <c r="E4" i="4" s="1"/>
  <c r="F4" i="4" s="1"/>
  <c r="G4" i="4" s="1"/>
  <c r="H4" i="4" s="1"/>
  <c r="I4" i="4" s="1"/>
  <c r="J4" i="4" s="1"/>
  <c r="K4" i="4" s="1"/>
  <c r="L4" i="4" s="1"/>
  <c r="M4" i="4" s="1"/>
  <c r="N4" i="4" s="1"/>
  <c r="O4" i="4" s="1"/>
  <c r="P4" i="4" s="1"/>
  <c r="Q4" i="4" s="1"/>
  <c r="R4" i="4" s="1"/>
  <c r="S4" i="4" s="1"/>
  <c r="T4" i="4" s="1"/>
  <c r="U4" i="4" s="1"/>
  <c r="S72" i="13" l="1"/>
  <c r="S29" i="4"/>
  <c r="G72" i="13"/>
  <c r="G29" i="4"/>
  <c r="T72" i="13"/>
  <c r="T29" i="4"/>
  <c r="P72" i="13"/>
  <c r="P29" i="4"/>
  <c r="L72" i="13"/>
  <c r="L29" i="4"/>
  <c r="H72" i="13"/>
  <c r="H29" i="4"/>
  <c r="D72" i="13"/>
  <c r="D29" i="4"/>
  <c r="F54" i="13"/>
  <c r="O72" i="13"/>
  <c r="O29" i="4"/>
  <c r="C72" i="13"/>
  <c r="C29" i="4"/>
  <c r="B72" i="13"/>
  <c r="B29" i="4"/>
  <c r="N72" i="13"/>
  <c r="N29" i="4"/>
  <c r="J72" i="13"/>
  <c r="J29" i="4"/>
  <c r="F72" i="13"/>
  <c r="F29" i="4"/>
  <c r="K72" i="13"/>
  <c r="K29" i="4"/>
  <c r="R72" i="13"/>
  <c r="R29" i="4"/>
  <c r="U72" i="13"/>
  <c r="U29" i="4"/>
  <c r="Q72" i="13"/>
  <c r="Q29" i="4"/>
  <c r="M72" i="13"/>
  <c r="M29" i="4"/>
  <c r="I72" i="13"/>
  <c r="I29" i="4"/>
  <c r="E72" i="13"/>
  <c r="E29" i="4"/>
  <c r="C48" i="6"/>
  <c r="C76" i="6" s="1"/>
  <c r="K48" i="6"/>
  <c r="K76" i="6" s="1"/>
  <c r="S48" i="6"/>
  <c r="S76" i="6" s="1"/>
  <c r="G38" i="6"/>
  <c r="O38" i="6"/>
  <c r="V60" i="13"/>
  <c r="V30" i="5"/>
  <c r="V57" i="5" s="1"/>
  <c r="V36" i="5"/>
  <c r="V58" i="5" s="1"/>
  <c r="B54" i="13"/>
  <c r="J54" i="13"/>
  <c r="N54" i="13"/>
  <c r="R54" i="13"/>
  <c r="T18" i="13"/>
  <c r="D18" i="13"/>
  <c r="L18" i="13"/>
  <c r="H18" i="13"/>
  <c r="P18" i="13"/>
  <c r="D54" i="13"/>
  <c r="H54" i="13"/>
  <c r="L54" i="13"/>
  <c r="P54" i="13"/>
  <c r="E48" i="13"/>
  <c r="I48" i="13"/>
  <c r="Q48" i="13"/>
  <c r="M48" i="13"/>
  <c r="U48" i="13"/>
  <c r="S20" i="4"/>
  <c r="S28" i="4"/>
  <c r="S66" i="13"/>
  <c r="K20" i="4"/>
  <c r="K28" i="4"/>
  <c r="K66" i="13"/>
  <c r="G28" i="4"/>
  <c r="G66" i="13"/>
  <c r="G12" i="13"/>
  <c r="O12" i="13"/>
  <c r="S12" i="13"/>
  <c r="G36" i="13"/>
  <c r="S36" i="13"/>
  <c r="N20" i="4"/>
  <c r="N28" i="4"/>
  <c r="N66" i="13"/>
  <c r="U28" i="4"/>
  <c r="U66" i="13"/>
  <c r="M20" i="4"/>
  <c r="M28" i="4"/>
  <c r="M66" i="13"/>
  <c r="I20" i="4"/>
  <c r="I28" i="4"/>
  <c r="I66" i="13"/>
  <c r="E20" i="4"/>
  <c r="E28" i="4"/>
  <c r="E66" i="13"/>
  <c r="G48" i="13"/>
  <c r="K48" i="13"/>
  <c r="S48" i="13"/>
  <c r="T28" i="4"/>
  <c r="T66" i="13"/>
  <c r="P28" i="4"/>
  <c r="P66" i="13"/>
  <c r="L28" i="4"/>
  <c r="L66" i="13"/>
  <c r="H28" i="4"/>
  <c r="H66" i="13"/>
  <c r="D12" i="13"/>
  <c r="D28" i="4"/>
  <c r="D66" i="13"/>
  <c r="D48" i="13"/>
  <c r="H48" i="13"/>
  <c r="L48" i="13"/>
  <c r="P48" i="13"/>
  <c r="T48" i="13"/>
  <c r="E54" i="13"/>
  <c r="I54" i="13"/>
  <c r="M54" i="13"/>
  <c r="Q54" i="13"/>
  <c r="U54" i="13"/>
  <c r="F12" i="13"/>
  <c r="J12" i="13"/>
  <c r="N12" i="13"/>
  <c r="R12" i="13"/>
  <c r="C18" i="13"/>
  <c r="G18" i="13"/>
  <c r="K18" i="13"/>
  <c r="O18" i="13"/>
  <c r="S18" i="13"/>
  <c r="B36" i="13"/>
  <c r="F36" i="13"/>
  <c r="J36" i="13"/>
  <c r="N36" i="13"/>
  <c r="R36" i="13"/>
  <c r="K12" i="13"/>
  <c r="K36" i="13"/>
  <c r="R20" i="4"/>
  <c r="R28" i="4"/>
  <c r="R66" i="13"/>
  <c r="J20" i="4"/>
  <c r="J28" i="4"/>
  <c r="J66" i="13"/>
  <c r="F20" i="4"/>
  <c r="F28" i="4"/>
  <c r="F66" i="13"/>
  <c r="U20" i="4"/>
  <c r="B48" i="13"/>
  <c r="F48" i="13"/>
  <c r="J48" i="13"/>
  <c r="N48" i="13"/>
  <c r="R48" i="13"/>
  <c r="C54" i="13"/>
  <c r="G54" i="13"/>
  <c r="K54" i="13"/>
  <c r="O54" i="13"/>
  <c r="S54" i="13"/>
  <c r="H12" i="13"/>
  <c r="L12" i="13"/>
  <c r="P12" i="13"/>
  <c r="T12" i="13"/>
  <c r="E18" i="13"/>
  <c r="I18" i="13"/>
  <c r="M18" i="13"/>
  <c r="Q18" i="13"/>
  <c r="U18" i="13"/>
  <c r="D36" i="13"/>
  <c r="H36" i="13"/>
  <c r="L36" i="13"/>
  <c r="P36" i="13"/>
  <c r="T36" i="13"/>
  <c r="O20" i="4"/>
  <c r="O28" i="4"/>
  <c r="O66" i="13"/>
  <c r="C28" i="4"/>
  <c r="C66" i="13"/>
  <c r="C36" i="13"/>
  <c r="O36" i="13"/>
  <c r="B28" i="4"/>
  <c r="B66" i="13"/>
  <c r="Q20" i="4"/>
  <c r="Q28" i="4"/>
  <c r="Q66" i="13"/>
  <c r="C48" i="13"/>
  <c r="O48" i="13"/>
  <c r="T54" i="13"/>
  <c r="E12" i="13"/>
  <c r="I12" i="13"/>
  <c r="M12" i="13"/>
  <c r="Q12" i="13"/>
  <c r="U12" i="13"/>
  <c r="B18" i="13"/>
  <c r="F18" i="13"/>
  <c r="J18" i="13"/>
  <c r="N18" i="13"/>
  <c r="R18" i="13"/>
  <c r="E36" i="13"/>
  <c r="I36" i="13"/>
  <c r="M36" i="13"/>
  <c r="Q36" i="13"/>
  <c r="U36" i="13"/>
  <c r="V47" i="6"/>
  <c r="V29" i="13" s="1"/>
  <c r="C29" i="13"/>
  <c r="R48" i="6"/>
  <c r="R24" i="13"/>
  <c r="N48" i="6"/>
  <c r="N76" i="6" s="1"/>
  <c r="N24" i="13"/>
  <c r="J48" i="6"/>
  <c r="J24" i="13"/>
  <c r="F48" i="6"/>
  <c r="F24" i="13"/>
  <c r="V51" i="6"/>
  <c r="V33" i="13" s="1"/>
  <c r="B33" i="13"/>
  <c r="V53" i="6"/>
  <c r="V35" i="13" s="1"/>
  <c r="B35" i="13"/>
  <c r="V43" i="6"/>
  <c r="V25" i="13" s="1"/>
  <c r="O48" i="6"/>
  <c r="O76" i="6" s="1"/>
  <c r="C56" i="6"/>
  <c r="C30" i="13"/>
  <c r="V46" i="6"/>
  <c r="V28" i="13" s="1"/>
  <c r="B28" i="13"/>
  <c r="V45" i="6"/>
  <c r="V27" i="13" s="1"/>
  <c r="C27" i="13"/>
  <c r="V44" i="6"/>
  <c r="V26" i="13" s="1"/>
  <c r="F26" i="13"/>
  <c r="U48" i="6"/>
  <c r="U76" i="6" s="1"/>
  <c r="U25" i="13"/>
  <c r="Q48" i="6"/>
  <c r="Q25" i="13"/>
  <c r="M48" i="6"/>
  <c r="M76" i="6" s="1"/>
  <c r="M25" i="13"/>
  <c r="I48" i="6"/>
  <c r="I76" i="6" s="1"/>
  <c r="I25" i="13"/>
  <c r="E48" i="6"/>
  <c r="E76" i="6" s="1"/>
  <c r="E25" i="13"/>
  <c r="T48" i="6"/>
  <c r="T24" i="13"/>
  <c r="P48" i="6"/>
  <c r="P24" i="13"/>
  <c r="L48" i="6"/>
  <c r="L76" i="6" s="1"/>
  <c r="L24" i="13"/>
  <c r="H48" i="6"/>
  <c r="H24" i="13"/>
  <c r="D48" i="6"/>
  <c r="D24" i="13"/>
  <c r="G48" i="6"/>
  <c r="G76" i="6" s="1"/>
  <c r="V52" i="6"/>
  <c r="V34" i="13" s="1"/>
  <c r="V42" i="6"/>
  <c r="V24" i="13" s="1"/>
  <c r="C24" i="13"/>
  <c r="V69" i="13"/>
  <c r="B20" i="4"/>
  <c r="B12" i="13"/>
  <c r="C20" i="4"/>
  <c r="C12" i="13"/>
  <c r="H20" i="7"/>
  <c r="L20" i="7"/>
  <c r="P20" i="7"/>
  <c r="T20" i="7"/>
  <c r="V18" i="7"/>
  <c r="V33" i="7" s="1"/>
  <c r="D20" i="7"/>
  <c r="E20" i="7"/>
  <c r="I20" i="7"/>
  <c r="M20" i="7"/>
  <c r="Q20" i="7"/>
  <c r="U20" i="7"/>
  <c r="B20" i="7"/>
  <c r="F20" i="7"/>
  <c r="J20" i="7"/>
  <c r="N20" i="7"/>
  <c r="R20" i="7"/>
  <c r="C20" i="7"/>
  <c r="G20" i="7"/>
  <c r="K20" i="7"/>
  <c r="O20" i="7"/>
  <c r="S20" i="7"/>
  <c r="V12" i="7"/>
  <c r="V32" i="7" s="1"/>
  <c r="B48" i="6"/>
  <c r="B76" i="6" s="1"/>
  <c r="B38" i="6"/>
  <c r="F38" i="6"/>
  <c r="J38" i="6"/>
  <c r="N38" i="6"/>
  <c r="R38" i="6"/>
  <c r="V36" i="6"/>
  <c r="V79" i="6" s="1"/>
  <c r="D38" i="6"/>
  <c r="H38" i="6"/>
  <c r="L38" i="6"/>
  <c r="T38" i="6"/>
  <c r="E38" i="6"/>
  <c r="I38" i="6"/>
  <c r="M38" i="6"/>
  <c r="Q38" i="6"/>
  <c r="U38" i="6"/>
  <c r="P38" i="6"/>
  <c r="C38" i="6"/>
  <c r="K38" i="6"/>
  <c r="S38" i="6"/>
  <c r="C20" i="6"/>
  <c r="C20" i="13" s="1"/>
  <c r="G20" i="6"/>
  <c r="K20" i="6"/>
  <c r="O20" i="6"/>
  <c r="O20" i="13" s="1"/>
  <c r="S20" i="6"/>
  <c r="V30" i="6"/>
  <c r="V75" i="6" s="1"/>
  <c r="V18" i="6"/>
  <c r="V78" i="6" s="1"/>
  <c r="D20" i="6"/>
  <c r="H20" i="6"/>
  <c r="L20" i="6"/>
  <c r="P20" i="6"/>
  <c r="T20" i="6"/>
  <c r="E20" i="6"/>
  <c r="I20" i="6"/>
  <c r="M20" i="6"/>
  <c r="Q20" i="6"/>
  <c r="U20" i="6"/>
  <c r="B20" i="6"/>
  <c r="F20" i="6"/>
  <c r="J20" i="6"/>
  <c r="N20" i="6"/>
  <c r="R20" i="6"/>
  <c r="R20" i="13" s="1"/>
  <c r="V12" i="6"/>
  <c r="V74" i="6" s="1"/>
  <c r="V18" i="5"/>
  <c r="V54" i="5" s="1"/>
  <c r="B20" i="5"/>
  <c r="F20" i="5"/>
  <c r="J20" i="5"/>
  <c r="N20" i="5"/>
  <c r="N56" i="13" s="1"/>
  <c r="R20" i="5"/>
  <c r="C20" i="5"/>
  <c r="G20" i="5"/>
  <c r="K20" i="5"/>
  <c r="O20" i="5"/>
  <c r="S20" i="5"/>
  <c r="D20" i="5"/>
  <c r="H20" i="5"/>
  <c r="L20" i="5"/>
  <c r="P20" i="5"/>
  <c r="T20" i="5"/>
  <c r="E20" i="5"/>
  <c r="I20" i="5"/>
  <c r="M20" i="5"/>
  <c r="Q20" i="5"/>
  <c r="U20" i="5"/>
  <c r="V12" i="5"/>
  <c r="V53" i="5" s="1"/>
  <c r="T20" i="4"/>
  <c r="P20" i="4"/>
  <c r="H20" i="4"/>
  <c r="D20" i="4"/>
  <c r="G20" i="4"/>
  <c r="V12" i="4"/>
  <c r="V28" i="4" s="1"/>
  <c r="V18" i="4"/>
  <c r="L20" i="4"/>
  <c r="H56" i="6" l="1"/>
  <c r="H76" i="6"/>
  <c r="P56" i="6"/>
  <c r="P76" i="6"/>
  <c r="F56" i="6"/>
  <c r="F38" i="13" s="1"/>
  <c r="F76" i="6"/>
  <c r="D56" i="6"/>
  <c r="D76" i="6"/>
  <c r="T56" i="6"/>
  <c r="T76" i="6"/>
  <c r="Q56" i="6"/>
  <c r="Q76" i="6"/>
  <c r="J56" i="6"/>
  <c r="J76" i="6"/>
  <c r="R56" i="6"/>
  <c r="R76" i="6"/>
  <c r="P74" i="13"/>
  <c r="P30" i="4"/>
  <c r="K20" i="13"/>
  <c r="B74" i="13"/>
  <c r="B30" i="4"/>
  <c r="U74" i="13"/>
  <c r="U30" i="4"/>
  <c r="E74" i="13"/>
  <c r="E30" i="4"/>
  <c r="S74" i="13"/>
  <c r="S30" i="4"/>
  <c r="T74" i="13"/>
  <c r="T30" i="4"/>
  <c r="R74" i="13"/>
  <c r="R30" i="4"/>
  <c r="D74" i="13"/>
  <c r="D30" i="4"/>
  <c r="J74" i="13"/>
  <c r="J30" i="4"/>
  <c r="M74" i="13"/>
  <c r="M30" i="4"/>
  <c r="G74" i="13"/>
  <c r="G30" i="4"/>
  <c r="K74" i="13"/>
  <c r="K30" i="4"/>
  <c r="L74" i="13"/>
  <c r="L30" i="4"/>
  <c r="C74" i="13"/>
  <c r="C30" i="4"/>
  <c r="Q74" i="13"/>
  <c r="Q30" i="4"/>
  <c r="V72" i="13"/>
  <c r="V29" i="4"/>
  <c r="H74" i="13"/>
  <c r="H30" i="4"/>
  <c r="O74" i="13"/>
  <c r="O30" i="4"/>
  <c r="F74" i="13"/>
  <c r="F30" i="4"/>
  <c r="I74" i="13"/>
  <c r="I30" i="4"/>
  <c r="N74" i="13"/>
  <c r="N30" i="4"/>
  <c r="K30" i="13"/>
  <c r="S56" i="6"/>
  <c r="S38" i="13" s="1"/>
  <c r="K56" i="6"/>
  <c r="K38" i="13" s="1"/>
  <c r="S30" i="13"/>
  <c r="V38" i="6"/>
  <c r="V48" i="6"/>
  <c r="V76" i="6" s="1"/>
  <c r="L30" i="13"/>
  <c r="I30" i="13"/>
  <c r="F30" i="13"/>
  <c r="L56" i="6"/>
  <c r="L38" i="13" s="1"/>
  <c r="D30" i="13"/>
  <c r="T30" i="13"/>
  <c r="Q30" i="13"/>
  <c r="N30" i="13"/>
  <c r="I56" i="6"/>
  <c r="I38" i="13" s="1"/>
  <c r="N56" i="6"/>
  <c r="N38" i="13" s="1"/>
  <c r="H30" i="13"/>
  <c r="P30" i="13"/>
  <c r="J30" i="13"/>
  <c r="R30" i="13"/>
  <c r="V38" i="5"/>
  <c r="V48" i="13"/>
  <c r="T56" i="13"/>
  <c r="G56" i="13"/>
  <c r="F56" i="13"/>
  <c r="I20" i="13"/>
  <c r="I56" i="13"/>
  <c r="O56" i="13"/>
  <c r="R56" i="13"/>
  <c r="N20" i="13"/>
  <c r="F20" i="13"/>
  <c r="B56" i="13"/>
  <c r="U20" i="13"/>
  <c r="E20" i="13"/>
  <c r="S20" i="13"/>
  <c r="T38" i="13"/>
  <c r="R38" i="13"/>
  <c r="K56" i="13"/>
  <c r="U56" i="13"/>
  <c r="E56" i="13"/>
  <c r="J20" i="13"/>
  <c r="Q20" i="13"/>
  <c r="T20" i="13"/>
  <c r="D20" i="13"/>
  <c r="S56" i="13"/>
  <c r="H56" i="13"/>
  <c r="L56" i="13"/>
  <c r="H20" i="13"/>
  <c r="D38" i="13"/>
  <c r="V54" i="13"/>
  <c r="H38" i="13"/>
  <c r="V20" i="4"/>
  <c r="V30" i="4" s="1"/>
  <c r="Q56" i="13"/>
  <c r="D56" i="13"/>
  <c r="J56" i="13"/>
  <c r="J38" i="13"/>
  <c r="C38" i="13"/>
  <c r="M20" i="13"/>
  <c r="P20" i="13"/>
  <c r="V18" i="13"/>
  <c r="Q38" i="13"/>
  <c r="M56" i="13"/>
  <c r="P56" i="13"/>
  <c r="C56" i="13"/>
  <c r="B20" i="13"/>
  <c r="L20" i="13"/>
  <c r="G20" i="13"/>
  <c r="P38" i="13"/>
  <c r="V20" i="6"/>
  <c r="V12" i="13"/>
  <c r="O56" i="6"/>
  <c r="O38" i="13" s="1"/>
  <c r="O30" i="13"/>
  <c r="V54" i="6"/>
  <c r="B56" i="6"/>
  <c r="B38" i="13" s="1"/>
  <c r="B30" i="13"/>
  <c r="G56" i="6"/>
  <c r="G38" i="13" s="1"/>
  <c r="G30" i="13"/>
  <c r="E56" i="6"/>
  <c r="E38" i="13" s="1"/>
  <c r="E30" i="13"/>
  <c r="M56" i="6"/>
  <c r="M38" i="13" s="1"/>
  <c r="M30" i="13"/>
  <c r="U56" i="6"/>
  <c r="U38" i="13" s="1"/>
  <c r="U30" i="13"/>
  <c r="V66" i="13"/>
  <c r="V20" i="7"/>
  <c r="V20" i="5"/>
  <c r="V36" i="13" l="1"/>
  <c r="V80" i="6"/>
  <c r="V30" i="13"/>
  <c r="V74" i="13"/>
  <c r="V20" i="13"/>
  <c r="V56" i="13"/>
  <c r="V56" i="6"/>
  <c r="V38" i="13" s="1"/>
  <c r="H38" i="31" l="1"/>
  <c r="D38" i="31" l="1"/>
  <c r="E36" i="31"/>
  <c r="H31" i="31"/>
  <c r="E29" i="31"/>
  <c r="G38" i="31"/>
  <c r="E38" i="31"/>
  <c r="F38" i="31"/>
  <c r="H30" i="31"/>
  <c r="H36" i="31" l="1"/>
  <c r="D29" i="31"/>
  <c r="F29" i="31"/>
  <c r="I38" i="31"/>
  <c r="F31" i="31"/>
  <c r="E30" i="31"/>
  <c r="G29" i="31"/>
  <c r="D36" i="31"/>
  <c r="I29" i="31"/>
  <c r="H37" i="31"/>
  <c r="F30" i="31"/>
  <c r="H29" i="31"/>
  <c r="G31" i="31"/>
  <c r="E31" i="31"/>
  <c r="G30" i="31"/>
  <c r="G36" i="31"/>
  <c r="F36" i="31"/>
  <c r="D31" i="31"/>
  <c r="E28" i="31"/>
  <c r="E35" i="31"/>
  <c r="E32" i="31" l="1"/>
  <c r="D6" i="46" s="1"/>
  <c r="C31" i="31"/>
  <c r="D30" i="31"/>
  <c r="J29" i="31"/>
  <c r="I31" i="31"/>
  <c r="G37" i="31"/>
  <c r="F37" i="31"/>
  <c r="I30" i="31"/>
  <c r="I36" i="31"/>
  <c r="C36" i="31"/>
  <c r="E37" i="31"/>
  <c r="E39" i="31" s="1"/>
  <c r="C29" i="31"/>
  <c r="C35" i="31"/>
  <c r="C38" i="31"/>
  <c r="F35" i="31"/>
  <c r="F39" i="31" s="1"/>
  <c r="H28" i="31"/>
  <c r="H32" i="31" s="1"/>
  <c r="D9" i="46" s="1"/>
  <c r="G28" i="31"/>
  <c r="G32" i="31" s="1"/>
  <c r="D8" i="46" s="1"/>
  <c r="F28" i="31"/>
  <c r="F32" i="31" s="1"/>
  <c r="D7" i="46" s="1"/>
  <c r="H35" i="31"/>
  <c r="H39" i="31" s="1"/>
  <c r="G35" i="31"/>
  <c r="D28" i="31"/>
  <c r="D35" i="31"/>
  <c r="D37" i="31"/>
  <c r="G39" i="31" l="1"/>
  <c r="D39" i="31"/>
  <c r="I37" i="31"/>
  <c r="C37" i="31"/>
  <c r="D32" i="31"/>
  <c r="D5" i="46" s="1"/>
  <c r="C28" i="31"/>
  <c r="J36" i="31"/>
  <c r="C39" i="31"/>
  <c r="J35" i="31"/>
  <c r="J37" i="31"/>
  <c r="J30" i="31" l="1"/>
  <c r="K38" i="31"/>
  <c r="J31" i="31"/>
  <c r="I35" i="31"/>
  <c r="J38" i="31"/>
  <c r="I28" i="31"/>
  <c r="I32" i="31" s="1"/>
  <c r="D10" i="46" s="1"/>
  <c r="J28" i="31" l="1"/>
  <c r="J32" i="31" s="1"/>
  <c r="D11" i="46" s="1"/>
  <c r="I39" i="31"/>
  <c r="J39" i="31"/>
  <c r="K31" i="31"/>
  <c r="L29" i="31"/>
  <c r="L36" i="31"/>
  <c r="K36" i="31"/>
  <c r="K29" i="31"/>
  <c r="M36" i="31" l="1"/>
  <c r="K35" i="31"/>
  <c r="K37" i="31"/>
  <c r="K30" i="31"/>
  <c r="M29" i="31"/>
  <c r="L28" i="31"/>
  <c r="L35" i="31"/>
  <c r="L31" i="31" l="1"/>
  <c r="M31" i="31" s="1"/>
  <c r="L38" i="31"/>
  <c r="M38" i="31" s="1"/>
  <c r="K39" i="31"/>
  <c r="M35" i="31"/>
  <c r="L30" i="31"/>
  <c r="L32" i="31" s="1"/>
  <c r="D13" i="46" s="1"/>
  <c r="K28" i="31"/>
  <c r="L37" i="31"/>
  <c r="L39" i="31" l="1"/>
  <c r="M39" i="31" s="1"/>
  <c r="M37" i="31"/>
  <c r="K32" i="31"/>
  <c r="D12" i="46" s="1"/>
  <c r="M28" i="31"/>
  <c r="C30" i="31" l="1"/>
  <c r="M30" i="31" l="1"/>
  <c r="C32" i="31"/>
  <c r="M32" i="31" l="1"/>
  <c r="D4" i="46"/>
  <c r="B59" i="38"/>
  <c r="B61" i="38" s="1"/>
  <c r="B14" i="38" l="1"/>
  <c r="E5" i="41" s="1"/>
</calcChain>
</file>

<file path=xl/comments1.xml><?xml version="1.0" encoding="utf-8"?>
<comments xmlns="http://schemas.openxmlformats.org/spreadsheetml/2006/main">
  <authors>
    <author>barry.murphy</author>
  </authors>
  <commentList>
    <comment ref="B16" authorId="0">
      <text>
        <r>
          <rPr>
            <b/>
            <sz val="9"/>
            <color indexed="81"/>
            <rFont val="Tahoma"/>
            <family val="2"/>
          </rPr>
          <t>barry.murphy:</t>
        </r>
        <r>
          <rPr>
            <sz val="9"/>
            <color indexed="81"/>
            <rFont val="Tahoma"/>
            <family val="2"/>
          </rPr>
          <t xml:space="preserve">
Visit costs / Share. May be heavy on electric side. Includes BPI check plan for info. </t>
        </r>
      </text>
    </comment>
    <comment ref="B29" authorId="0">
      <text>
        <r>
          <rPr>
            <b/>
            <sz val="9"/>
            <color indexed="81"/>
            <rFont val="Tahoma"/>
            <family val="2"/>
          </rPr>
          <t>barry.murphy:</t>
        </r>
        <r>
          <rPr>
            <sz val="9"/>
            <color indexed="81"/>
            <rFont val="Tahoma"/>
            <family val="2"/>
          </rPr>
          <t xml:space="preserve">
this component included CEI as well as HER n$250,000</t>
        </r>
      </text>
    </comment>
  </commentList>
</comments>
</file>

<file path=xl/comments2.xml><?xml version="1.0" encoding="utf-8"?>
<comments xmlns="http://schemas.openxmlformats.org/spreadsheetml/2006/main">
  <authors>
    <author>cburns</author>
    <author xml:space="preserve">Chris Burns </author>
  </authors>
  <commentList>
    <comment ref="B6" authorId="0">
      <text>
        <r>
          <rPr>
            <b/>
            <sz val="8"/>
            <color indexed="81"/>
            <rFont val="Tahoma"/>
            <family val="2"/>
          </rPr>
          <t>cburns:</t>
        </r>
        <r>
          <rPr>
            <sz val="8"/>
            <color indexed="81"/>
            <rFont val="Tahoma"/>
            <family val="2"/>
          </rPr>
          <t xml:space="preserve">
Based on EVTs estimate and applied a 3% BED share which comes from BED-EVT historic annual coordination agreement for NC services.</t>
        </r>
      </text>
    </comment>
    <comment ref="B7" authorId="0">
      <text>
        <r>
          <rPr>
            <b/>
            <sz val="8"/>
            <color indexed="81"/>
            <rFont val="Tahoma"/>
            <family val="2"/>
          </rPr>
          <t>cburns:</t>
        </r>
        <r>
          <rPr>
            <sz val="8"/>
            <color indexed="81"/>
            <rFont val="Tahoma"/>
            <family val="2"/>
          </rPr>
          <t xml:space="preserve">
Based on BED's historic cost share with EVT.  Plus additional BED staff time in the Burlington schools and colleges
</t>
        </r>
      </text>
    </comment>
    <comment ref="B8" authorId="0">
      <text>
        <r>
          <rPr>
            <b/>
            <sz val="8"/>
            <color indexed="81"/>
            <rFont val="Tahoma"/>
            <family val="2"/>
          </rPr>
          <t>cburns</t>
        </r>
        <r>
          <rPr>
            <sz val="8"/>
            <color indexed="81"/>
            <rFont val="Tahoma"/>
            <family val="2"/>
          </rPr>
          <t xml:space="preserve">
Used 2012-2014 spending to date as a guide.</t>
        </r>
      </text>
    </comment>
    <comment ref="B9" authorId="0">
      <text>
        <r>
          <rPr>
            <b/>
            <sz val="8"/>
            <color indexed="81"/>
            <rFont val="Tahoma"/>
            <family val="2"/>
          </rPr>
          <t>cburns
Used 2012-2014 spending as a guide.</t>
        </r>
      </text>
    </comment>
    <comment ref="A13" authorId="1">
      <text>
        <r>
          <rPr>
            <b/>
            <sz val="9"/>
            <color indexed="81"/>
            <rFont val="Tahoma"/>
            <family val="2"/>
          </rPr>
          <t>Chris Burns :</t>
        </r>
        <r>
          <rPr>
            <sz val="9"/>
            <color indexed="81"/>
            <rFont val="Tahoma"/>
            <family val="2"/>
          </rPr>
          <t xml:space="preserve">
Potentially move to new Smart Grid RA R&amp;D pilot Concept.</t>
        </r>
      </text>
    </comment>
    <comment ref="B13" authorId="1">
      <text>
        <r>
          <rPr>
            <b/>
            <sz val="9"/>
            <color indexed="81"/>
            <rFont val="Tahoma"/>
            <family val="2"/>
          </rPr>
          <t>Chris Burns :</t>
        </r>
        <r>
          <rPr>
            <sz val="9"/>
            <color indexed="81"/>
            <rFont val="Tahoma"/>
            <family val="2"/>
          </rPr>
          <t xml:space="preserve">
BED has the opportunity to work on an energy study, through UVM Clean Energy Grant Fund,  with PhD Students from UVM's 
Rubenstein School of Environment and Natural 
Resources. The proposal is to study and support environmental behavior change among the college population living off-campus.  
One of BED’s biggest residential energy efficiency challenges is addressing Burlington’s large portion of rental properties, and student rentals in particular.  BED's particaption in this study will help us to develop innovative and creative ways to engage this population.</t>
        </r>
      </text>
    </comment>
    <comment ref="A14" authorId="1">
      <text>
        <r>
          <rPr>
            <b/>
            <sz val="9"/>
            <color indexed="81"/>
            <rFont val="Tahoma"/>
            <family val="2"/>
          </rPr>
          <t>Chris Burns :</t>
        </r>
        <r>
          <rPr>
            <sz val="9"/>
            <color indexed="81"/>
            <rFont val="Tahoma"/>
            <family val="2"/>
          </rPr>
          <t xml:space="preserve">
Potentially move to new Smart Grid RA R&amp;D pilot Concept.</t>
        </r>
      </text>
    </comment>
    <comment ref="B14" authorId="0">
      <text>
        <r>
          <rPr>
            <b/>
            <sz val="8"/>
            <color indexed="81"/>
            <rFont val="Tahoma"/>
            <family val="2"/>
          </rPr>
          <t>cburns:</t>
        </r>
        <r>
          <rPr>
            <sz val="8"/>
            <color indexed="81"/>
            <rFont val="Tahoma"/>
            <family val="2"/>
          </rPr>
          <t xml:space="preserve">
Continued support and potential enhancement to the program and web site tool.  During the 2015-2017 period BED will explore with UVM Engineering staff if the tool should continue as part of BED's activities into the future. Our thinking now is that some type of "peer exchange" tool will valuable in terms of influencing energy behavior.  We will learn a great deal more throughout the performance period which will help to inform 2018 and beyond.  </t>
        </r>
      </text>
    </comment>
    <comment ref="B18" authorId="0">
      <text>
        <r>
          <rPr>
            <b/>
            <sz val="8"/>
            <color indexed="81"/>
            <rFont val="Tahoma"/>
            <family val="2"/>
          </rPr>
          <t>cburns:</t>
        </r>
        <r>
          <rPr>
            <sz val="8"/>
            <color indexed="81"/>
            <rFont val="Tahoma"/>
            <family val="2"/>
          </rPr>
          <t xml:space="preserve">
BED's plan is to use a portion of these funds to continue researching various methods to improve the energy performance of RTU's including the real savings benefits from emerging advanced control measures.
BED also plans to explore the potential benefits from commercial building envelope commissioning services.  Really knowing that envelopes are performing as designed is a general weakness and we would like to explore approaches to improve building practices.  There are cooling load benefits as well as HVAC pump benefits.  
BED will coordinate with VGS on both efforts.     </t>
        </r>
      </text>
    </comment>
    <comment ref="A19" authorId="1">
      <text>
        <r>
          <rPr>
            <b/>
            <sz val="9"/>
            <color indexed="81"/>
            <rFont val="Tahoma"/>
            <family val="2"/>
          </rPr>
          <t>Chris Burns :</t>
        </r>
        <r>
          <rPr>
            <sz val="9"/>
            <color indexed="81"/>
            <rFont val="Tahoma"/>
            <family val="2"/>
          </rPr>
          <t xml:space="preserve">
Potentially move to new Smart Grid RA R&amp;D pilot Concept.</t>
        </r>
      </text>
    </comment>
    <comment ref="B19" authorId="1">
      <text>
        <r>
          <rPr>
            <b/>
            <sz val="9"/>
            <color indexed="81"/>
            <rFont val="Tahoma"/>
            <family val="2"/>
          </rPr>
          <t>Chris Burns :</t>
        </r>
        <r>
          <rPr>
            <sz val="9"/>
            <color indexed="81"/>
            <rFont val="Tahoma"/>
            <family val="2"/>
          </rPr>
          <t xml:space="preserve">
BED's plan is to continue to explore and pilot tools that can help us and our customers better understand energy usage patterns and trends in ways that gives quick and useful information. 
We have experience with Enernoc Energy Insight and growing experience with the Skyspark platforms.  We have learned that these tools can be very helpful for certain customers but not all.  We plan to continue to test other products that fit a larger percentage of our customer base.
We have met with EVT on these topics and will continue to coordinate efforts.    </t>
        </r>
      </text>
    </comment>
    <comment ref="B28" authorId="1">
      <text>
        <r>
          <rPr>
            <b/>
            <sz val="9"/>
            <color indexed="81"/>
            <rFont val="Tahoma"/>
            <family val="2"/>
          </rPr>
          <t>Chris Burns :</t>
        </r>
        <r>
          <rPr>
            <sz val="9"/>
            <color indexed="81"/>
            <rFont val="Tahoma"/>
            <family val="2"/>
          </rPr>
          <t xml:space="preserve">
Used 2012-2014 spending to date as a guide.</t>
        </r>
      </text>
    </comment>
    <comment ref="B34" authorId="1">
      <text>
        <r>
          <rPr>
            <b/>
            <sz val="9"/>
            <color indexed="81"/>
            <rFont val="Tahoma"/>
            <family val="2"/>
          </rPr>
          <t>Chris Burns :</t>
        </r>
        <r>
          <rPr>
            <sz val="9"/>
            <color indexed="81"/>
            <rFont val="Tahoma"/>
            <family val="2"/>
          </rPr>
          <t xml:space="preserve">
Used 2012-2014 spending to date as a guide.</t>
        </r>
      </text>
    </comment>
    <comment ref="B39" authorId="1">
      <text>
        <r>
          <rPr>
            <b/>
            <sz val="9"/>
            <color indexed="81"/>
            <rFont val="Tahoma"/>
            <family val="2"/>
          </rPr>
          <t>Chris Burns :</t>
        </r>
        <r>
          <rPr>
            <sz val="9"/>
            <color indexed="81"/>
            <rFont val="Tahoma"/>
            <family val="2"/>
          </rPr>
          <t xml:space="preserve">
Used 2012-2014 spending to date as a guide.</t>
        </r>
      </text>
    </comment>
    <comment ref="B42" authorId="0">
      <text>
        <r>
          <rPr>
            <b/>
            <sz val="8"/>
            <color indexed="81"/>
            <rFont val="Tahoma"/>
            <family val="2"/>
          </rPr>
          <t>cburns:</t>
        </r>
        <r>
          <rPr>
            <sz val="8"/>
            <color indexed="81"/>
            <rFont val="Tahoma"/>
            <family val="2"/>
          </rPr>
          <t xml:space="preserve">
Used 2012-2014 spending to date as a guide.</t>
        </r>
      </text>
    </comment>
    <comment ref="B46" authorId="0">
      <text>
        <r>
          <rPr>
            <b/>
            <sz val="8"/>
            <color indexed="81"/>
            <rFont val="Tahoma"/>
            <family val="2"/>
          </rPr>
          <t>cburns:</t>
        </r>
        <r>
          <rPr>
            <sz val="8"/>
            <color indexed="81"/>
            <rFont val="Tahoma"/>
            <family val="2"/>
          </rPr>
          <t xml:space="preserve">
Used 2012-2014 spending to date as a guide.</t>
        </r>
      </text>
    </comment>
  </commentList>
</comments>
</file>

<file path=xl/comments3.xml><?xml version="1.0" encoding="utf-8"?>
<comments xmlns="http://schemas.openxmlformats.org/spreadsheetml/2006/main">
  <authors>
    <author xml:space="preserve">Chris Burns </author>
  </authors>
  <commentList>
    <comment ref="A5" authorId="0">
      <text>
        <r>
          <rPr>
            <b/>
            <sz val="9"/>
            <color indexed="81"/>
            <rFont val="Tahoma"/>
            <family val="2"/>
          </rPr>
          <t>Chris Burns :</t>
        </r>
        <r>
          <rPr>
            <sz val="9"/>
            <color indexed="81"/>
            <rFont val="Tahoma"/>
            <family val="2"/>
          </rPr>
          <t xml:space="preserve">
These funds support BED's activities providing general energy education about weatherization and other thermal energy related topics. </t>
        </r>
      </text>
    </comment>
    <comment ref="A6" authorId="0">
      <text>
        <r>
          <rPr>
            <b/>
            <sz val="9"/>
            <color indexed="81"/>
            <rFont val="Tahoma"/>
            <family val="2"/>
          </rPr>
          <t>Chris Burns :</t>
        </r>
        <r>
          <rPr>
            <sz val="9"/>
            <color indexed="81"/>
            <rFont val="Tahoma"/>
            <family val="2"/>
          </rPr>
          <t xml:space="preserve">
These funds will help to support efforts to explore smart thermostatic controls when they are more than one space heating type in a dwelling. For example, a heat pump and some type of back-up system. </t>
        </r>
      </text>
    </comment>
    <comment ref="A7" authorId="0">
      <text>
        <r>
          <rPr>
            <b/>
            <sz val="9"/>
            <color indexed="81"/>
            <rFont val="Tahoma"/>
            <family val="2"/>
          </rPr>
          <t>Chris Burns :</t>
        </r>
        <r>
          <rPr>
            <sz val="9"/>
            <color indexed="81"/>
            <rFont val="Tahoma"/>
            <family val="2"/>
          </rPr>
          <t xml:space="preserve">
BED will have learned a great deal by the end of 2014 about our condominium efforts with Shelter Analytics.  These funds will help to support or future program strategy.  </t>
        </r>
      </text>
    </comment>
    <comment ref="A8" authorId="0">
      <text>
        <r>
          <rPr>
            <b/>
            <sz val="9"/>
            <color indexed="81"/>
            <rFont val="Tahoma"/>
            <family val="2"/>
          </rPr>
          <t>Chris Burns :</t>
        </r>
        <r>
          <rPr>
            <sz val="9"/>
            <color indexed="81"/>
            <rFont val="Tahoma"/>
            <family val="2"/>
          </rPr>
          <t xml:space="preserve">
This funds support BED's TAG and TRM participation along with other general program evaluation activities.  </t>
        </r>
      </text>
    </comment>
    <comment ref="A9" authorId="0">
      <text>
        <r>
          <rPr>
            <b/>
            <sz val="9"/>
            <color indexed="81"/>
            <rFont val="Tahoma"/>
            <family val="2"/>
          </rPr>
          <t>Chris Burns :</t>
        </r>
        <r>
          <rPr>
            <sz val="9"/>
            <color indexed="81"/>
            <rFont val="Tahoma"/>
            <family val="2"/>
          </rPr>
          <t xml:space="preserve">
This work supports BED’s participation in broad energy efficiency public discussions and EEU related regulatory proceedings.  The Thermal Energy Task Force and Building Energy Labeling working group are two examples. </t>
        </r>
      </text>
    </comment>
    <comment ref="A10" authorId="0">
      <text>
        <r>
          <rPr>
            <b/>
            <sz val="9"/>
            <color indexed="81"/>
            <rFont val="Tahoma"/>
            <family val="2"/>
          </rPr>
          <t>Chris Burns :</t>
        </r>
        <r>
          <rPr>
            <sz val="9"/>
            <color indexed="81"/>
            <rFont val="Tahoma"/>
            <family val="2"/>
          </rPr>
          <t xml:space="preserve">
BED’s IT initiative mainly consists of continuing the support of and improvement to the DSM database system for the collection and processing of project data and program information critical to tracking, reporting and planning functions.     </t>
        </r>
      </text>
    </comment>
    <comment ref="A11" authorId="0">
      <text>
        <r>
          <rPr>
            <b/>
            <sz val="9"/>
            <color indexed="81"/>
            <rFont val="Tahoma"/>
            <family val="2"/>
          </rPr>
          <t>Chris Burns :</t>
        </r>
        <r>
          <rPr>
            <sz val="9"/>
            <color indexed="81"/>
            <rFont val="Tahoma"/>
            <family val="2"/>
          </rPr>
          <t xml:space="preserve">
This category covers BED’s costs for the overall program management and includes: general staff meetings, coordination of program implementation and managing and monitoring of overall performance and spending.  </t>
        </r>
      </text>
    </comment>
  </commentList>
</comments>
</file>

<file path=xl/comments4.xml><?xml version="1.0" encoding="utf-8"?>
<comments xmlns="http://schemas.openxmlformats.org/spreadsheetml/2006/main">
  <authors>
    <author>Carole Hakstian</author>
  </authors>
  <commentList>
    <comment ref="G19" authorId="0">
      <text>
        <r>
          <rPr>
            <b/>
            <sz val="9"/>
            <color indexed="81"/>
            <rFont val="Tahoma"/>
            <family val="2"/>
          </rPr>
          <t>Carole Hakstian:</t>
        </r>
        <r>
          <rPr>
            <sz val="9"/>
            <color indexed="81"/>
            <rFont val="Tahoma"/>
            <family val="2"/>
          </rPr>
          <t xml:space="preserve">
First year after DRP filing is a lower resource-intensive year.</t>
        </r>
      </text>
    </comment>
    <comment ref="D41" authorId="0">
      <text>
        <r>
          <rPr>
            <b/>
            <sz val="9"/>
            <color indexed="81"/>
            <rFont val="Tahoma"/>
            <family val="2"/>
          </rPr>
          <t>Carole Hakstian:</t>
        </r>
        <r>
          <rPr>
            <sz val="9"/>
            <color indexed="81"/>
            <rFont val="Tahoma"/>
            <family val="2"/>
          </rPr>
          <t xml:space="preserve">
Initial tool maintenance</t>
        </r>
      </text>
    </comment>
    <comment ref="E41" authorId="0">
      <text>
        <r>
          <rPr>
            <b/>
            <sz val="9"/>
            <color indexed="81"/>
            <rFont val="Tahoma"/>
            <family val="2"/>
          </rPr>
          <t>Carole Hakstian:</t>
        </r>
        <r>
          <rPr>
            <sz val="9"/>
            <color indexed="81"/>
            <rFont val="Tahoma"/>
            <family val="2"/>
          </rPr>
          <t xml:space="preserve">
Initial tool maintenance</t>
        </r>
      </text>
    </comment>
    <comment ref="G41" authorId="0">
      <text>
        <r>
          <rPr>
            <b/>
            <sz val="9"/>
            <color indexed="81"/>
            <rFont val="Tahoma"/>
            <family val="2"/>
          </rPr>
          <t>Carole Hakstian:</t>
        </r>
        <r>
          <rPr>
            <sz val="9"/>
            <color indexed="81"/>
            <rFont val="Tahoma"/>
            <family val="2"/>
          </rPr>
          <t xml:space="preserve">
ongoing reduced-level maintenance</t>
        </r>
      </text>
    </comment>
  </commentList>
</comments>
</file>

<file path=xl/comments5.xml><?xml version="1.0" encoding="utf-8"?>
<comments xmlns="http://schemas.openxmlformats.org/spreadsheetml/2006/main">
  <authors>
    <author>Neil Curtis</author>
    <author>Carole Hakstian</author>
  </authors>
  <commentList>
    <comment ref="C6" authorId="0">
      <text>
        <r>
          <rPr>
            <b/>
            <sz val="11"/>
            <color indexed="81"/>
            <rFont val="Tahoma"/>
            <family val="2"/>
          </rPr>
          <t>Neil Curtis:</t>
        </r>
        <r>
          <rPr>
            <sz val="11"/>
            <color indexed="81"/>
            <rFont val="Tahoma"/>
            <family val="2"/>
          </rPr>
          <t xml:space="preserve">
2015-2024 budget From PSD "TEPF Revenue Analysis 1_10_2014"</t>
        </r>
      </text>
    </comment>
    <comment ref="A12" authorId="1">
      <text>
        <r>
          <rPr>
            <b/>
            <sz val="12"/>
            <color indexed="81"/>
            <rFont val="Tahoma"/>
            <family val="2"/>
          </rPr>
          <t>Carole Hakstian:</t>
        </r>
        <r>
          <rPr>
            <sz val="12"/>
            <color indexed="81"/>
            <rFont val="Tahoma"/>
            <family val="2"/>
          </rPr>
          <t xml:space="preserve">
2% inflation used to discount nominal budget for 2015$.</t>
        </r>
      </text>
    </comment>
    <comment ref="A13" authorId="1">
      <text>
        <r>
          <rPr>
            <b/>
            <sz val="12"/>
            <color indexed="81"/>
            <rFont val="Tahoma"/>
            <family val="2"/>
          </rPr>
          <t>Carole Hakstian:</t>
        </r>
        <r>
          <rPr>
            <sz val="12"/>
            <color indexed="81"/>
            <rFont val="Tahoma"/>
            <family val="2"/>
          </rPr>
          <t xml:space="preserve">
no discounting for inflation.</t>
        </r>
      </text>
    </comment>
    <comment ref="B14" authorId="0">
      <text>
        <r>
          <rPr>
            <b/>
            <sz val="11"/>
            <color indexed="81"/>
            <rFont val="Tahoma"/>
            <family val="2"/>
          </rPr>
          <t>Neil Curtis:</t>
        </r>
        <r>
          <rPr>
            <sz val="11"/>
            <color indexed="81"/>
            <rFont val="Tahoma"/>
            <family val="2"/>
          </rPr>
          <t xml:space="preserve">
Inflation Rate</t>
        </r>
      </text>
    </comment>
    <comment ref="C45" authorId="0">
      <text>
        <r>
          <rPr>
            <b/>
            <sz val="11"/>
            <color indexed="81"/>
            <rFont val="Tahoma"/>
            <family val="2"/>
          </rPr>
          <t>Neil Curtis:</t>
        </r>
        <r>
          <rPr>
            <sz val="11"/>
            <color indexed="81"/>
            <rFont val="Tahoma"/>
            <family val="2"/>
          </rPr>
          <t xml:space="preserve">
2015-2024 budget From PSD "TEPF Revenue Analysis 1_10_2014"</t>
        </r>
      </text>
    </comment>
  </commentList>
</comments>
</file>

<file path=xl/comments6.xml><?xml version="1.0" encoding="utf-8"?>
<comments xmlns="http://schemas.openxmlformats.org/spreadsheetml/2006/main">
  <authors>
    <author>tpoor</author>
  </authors>
  <commentList>
    <comment ref="A27" authorId="0">
      <text>
        <r>
          <rPr>
            <b/>
            <sz val="9"/>
            <color indexed="81"/>
            <rFont val="Tahoma"/>
            <family val="2"/>
          </rPr>
          <t>tpoor:</t>
        </r>
        <r>
          <rPr>
            <sz val="9"/>
            <color indexed="81"/>
            <rFont val="Tahoma"/>
            <family val="2"/>
          </rPr>
          <t xml:space="preserve">
DPS Evaluation Includes both HPF Program Evaluation activities and FCM Evaluation</t>
        </r>
      </text>
    </comment>
  </commentList>
</comments>
</file>

<file path=xl/sharedStrings.xml><?xml version="1.0" encoding="utf-8"?>
<sst xmlns="http://schemas.openxmlformats.org/spreadsheetml/2006/main" count="1515" uniqueCount="460">
  <si>
    <t>Incentive Budget</t>
  </si>
  <si>
    <t>Non-Incentive Budget</t>
  </si>
  <si>
    <t>Residential</t>
  </si>
  <si>
    <t>Commercial/Industrial</t>
  </si>
  <si>
    <t>Total</t>
  </si>
  <si>
    <t>Business Retrofit</t>
  </si>
  <si>
    <t>Business Equipment Replacement</t>
  </si>
  <si>
    <t>Business New Construction</t>
  </si>
  <si>
    <t>RNC</t>
  </si>
  <si>
    <t xml:space="preserve">   Efficient Products</t>
  </si>
  <si>
    <t xml:space="preserve">   Existing Homes</t>
  </si>
  <si>
    <t xml:space="preserve">   LISF Retrofit</t>
  </si>
  <si>
    <t>MF Low Income</t>
  </si>
  <si>
    <t>MF Market Rate</t>
  </si>
  <si>
    <t>TOTAL</t>
  </si>
  <si>
    <t>TOTAL RES</t>
  </si>
  <si>
    <t>TOTAL CI</t>
  </si>
  <si>
    <t>Incr. Ann. Summer MW Saved at gen (Net)</t>
  </si>
  <si>
    <t>Incr. Ann. MWh Saved at gen (Net)</t>
  </si>
  <si>
    <t>Incr. Ann. Winter MW Saved at gen (Net)</t>
  </si>
  <si>
    <t>TOTAL Budget</t>
  </si>
  <si>
    <t>TRB in 2015 $</t>
  </si>
  <si>
    <t>NOTE: All Benefits are discounted to 2015$</t>
  </si>
  <si>
    <t>Res Behavioral as % of Total Res</t>
  </si>
  <si>
    <t>CI Behavioral as % of Total CI</t>
  </si>
  <si>
    <t>Total Behavioral as % of Total CI</t>
  </si>
  <si>
    <t>Table 1: All Measures</t>
  </si>
  <si>
    <t>Incentive $/ MWh</t>
  </si>
  <si>
    <t>TOTAL $/ MWh</t>
  </si>
  <si>
    <t>TOTAL MWh/Summer kW</t>
  </si>
  <si>
    <t>TOTAL MWh/Winter kW</t>
  </si>
  <si>
    <t>Table 2: Behavioral Measures ONLY</t>
  </si>
  <si>
    <t>Res Behavioral as % of Total Res Incentive</t>
  </si>
  <si>
    <t>Res Behavioral as % of Total Res Non-Incentive</t>
  </si>
  <si>
    <t xml:space="preserve">Res Behavioral as % of Total Res </t>
  </si>
  <si>
    <t>Non-Incentive Budget: 2015 $</t>
  </si>
  <si>
    <t>Incentive Budget: 2015 $</t>
  </si>
  <si>
    <t>TOTAL Budget: 2015 $</t>
  </si>
  <si>
    <t xml:space="preserve">DRP ROUND 4 - Scenario 1 </t>
  </si>
  <si>
    <t>DRP ROUND 4 - Scenario 2</t>
  </si>
  <si>
    <t>DRP ROUND 4- Scenario 3</t>
  </si>
  <si>
    <t>DRP ROUND 4 - Scenario 3</t>
  </si>
  <si>
    <t>CI Behavioral as % of Total CI Incentive</t>
  </si>
  <si>
    <t>CI Behavioral as % of Total CI Non-Incentive</t>
  </si>
  <si>
    <t xml:space="preserve">CI Behavioral as % of Total CI </t>
  </si>
  <si>
    <t>3-yr Total</t>
  </si>
  <si>
    <t>Funded via EEC</t>
  </si>
  <si>
    <t>Electric Resource Acquisition</t>
  </si>
  <si>
    <t>Efficiency Vermont</t>
  </si>
  <si>
    <t>BED</t>
  </si>
  <si>
    <t>Non-Resource Acquisition</t>
  </si>
  <si>
    <t>Operations and QPI Fees</t>
  </si>
  <si>
    <t>DPS Evaluation</t>
  </si>
  <si>
    <t>Fiscal Agent</t>
  </si>
  <si>
    <t>Fiscal Agent Audit</t>
  </si>
  <si>
    <t>EEC-Funded Subtotal</t>
  </si>
  <si>
    <t>Funded via FCM and RGGI</t>
  </si>
  <si>
    <t>Heating-and-Process-Fuel Resource Acquisition</t>
  </si>
  <si>
    <t>FCM and RGGI-Funded Subtotal</t>
  </si>
  <si>
    <t>Total EEU Program Budget</t>
  </si>
  <si>
    <t>Scenario 2 - Sustained Growth -Inaugural DRP Extended (budget constrained)</t>
  </si>
  <si>
    <t>(Acquisition of all economically achievable potential through the extension of the current 2012-2031 DRP through 2034, with 2032-2034 annual budgets increased at the same rate as the average year 2018-2031).</t>
  </si>
  <si>
    <t>BED Delivery Budget</t>
  </si>
  <si>
    <t>mWh Goal</t>
  </si>
  <si>
    <t>Proposed Budgets</t>
  </si>
  <si>
    <t>Commercial</t>
  </si>
  <si>
    <t>Proposed mWh Savings</t>
  </si>
  <si>
    <t>Yield Rate ($/mWh)</t>
  </si>
  <si>
    <t>Proposed Summer CP-KW Goal</t>
  </si>
  <si>
    <t xml:space="preserve">Proposed Winter CP-KW </t>
  </si>
  <si>
    <t>Total Resource Benefits (TRB)</t>
  </si>
  <si>
    <t>Total TRB</t>
  </si>
  <si>
    <t>Residential New Construction</t>
  </si>
  <si>
    <t xml:space="preserve">   Existing Homes (inc. Market Rate MF)</t>
  </si>
  <si>
    <t xml:space="preserve">   Low Income Single &amp; Multi Family </t>
  </si>
  <si>
    <t>Business Existing Facilities</t>
  </si>
  <si>
    <t>TOTAL COMMERCIAL</t>
  </si>
  <si>
    <t>Total Res &amp; Com</t>
  </si>
  <si>
    <t>Incr. Ann. Summer CP-KW Saved at gen (Net)</t>
  </si>
  <si>
    <t>Incr. Ann. Winter CP-KW Saved at gen (Net)</t>
  </si>
  <si>
    <t xml:space="preserve">Incentive Budget: </t>
  </si>
  <si>
    <t>Total Res &amp; Com Incentive Budget</t>
  </si>
  <si>
    <t xml:space="preserve">Non- Incentive Budget: </t>
  </si>
  <si>
    <t>Total Res &amp; Com Non-Incentive Budget</t>
  </si>
  <si>
    <t xml:space="preserve">Total Budget: </t>
  </si>
  <si>
    <t>Total Res &amp; Com Budget</t>
  </si>
  <si>
    <t>2015-2017 Total</t>
  </si>
  <si>
    <t>Education &amp; Training</t>
  </si>
  <si>
    <t>Codes &amp; Standards Support - Residential</t>
  </si>
  <si>
    <t>Codes &amp; Standards Support - Commercial &amp; Industrial</t>
  </si>
  <si>
    <t>Energy Literacy Project</t>
  </si>
  <si>
    <t>General Public Education</t>
  </si>
  <si>
    <t>BBD Conference</t>
  </si>
  <si>
    <t>Customer Support</t>
  </si>
  <si>
    <t>Sub-Total</t>
  </si>
  <si>
    <t>Applied Research &amp; Development</t>
  </si>
  <si>
    <t>Emerging Data Services</t>
  </si>
  <si>
    <t>Technology Demonstrations</t>
  </si>
  <si>
    <t>Planning and Reporting</t>
  </si>
  <si>
    <t>Annual Plan</t>
  </si>
  <si>
    <t>Demand Resources Plan</t>
  </si>
  <si>
    <t>VSPC Participation</t>
  </si>
  <si>
    <t>ISO NE FCM Administration</t>
  </si>
  <si>
    <t>External Reporting</t>
  </si>
  <si>
    <t>Evaluation</t>
  </si>
  <si>
    <t>Annual Savings Verification</t>
  </si>
  <si>
    <t>Technical Advisory Group</t>
  </si>
  <si>
    <t>Technical Resource Manual</t>
  </si>
  <si>
    <t>ISO-NE FCM Metering and M&amp;E</t>
  </si>
  <si>
    <t>Quality Management Program</t>
  </si>
  <si>
    <t>Policy and Public Affairs</t>
  </si>
  <si>
    <t>Public Affairs</t>
  </si>
  <si>
    <t>Regulatory Affairs (non-DRPP)</t>
  </si>
  <si>
    <t>Financial and Leveraged Product Development</t>
  </si>
  <si>
    <t>Information Technology</t>
  </si>
  <si>
    <t>Strategic Technology Services, Analytics and Reporting</t>
  </si>
  <si>
    <t>Portfolio Screening Tool</t>
  </si>
  <si>
    <t xml:space="preserve">Administration </t>
  </si>
  <si>
    <t>General Administration</t>
  </si>
  <si>
    <t>Inflation</t>
  </si>
  <si>
    <t>2015 - 2024 TEPF DRP Summary Budget</t>
  </si>
  <si>
    <t>DRAFT v.3.2</t>
  </si>
  <si>
    <t>INPUT CELLS</t>
  </si>
  <si>
    <t>BUDGET - NOMINAL $</t>
  </si>
  <si>
    <t xml:space="preserve">Revenue projection - VEIC participation in FCM </t>
  </si>
  <si>
    <t>Revenue projection - RGGI funds directed to EVT</t>
  </si>
  <si>
    <t>TEPF Budget, nominal dollars</t>
  </si>
  <si>
    <t>BUDGET - 2015 $</t>
  </si>
  <si>
    <t xml:space="preserve">TEPF Budget, 2015$ </t>
  </si>
  <si>
    <t>Non Reource Acquisition</t>
  </si>
  <si>
    <t>Operations</t>
  </si>
  <si>
    <t>Compensation</t>
  </si>
  <si>
    <t>Resource Acquisition</t>
  </si>
  <si>
    <t>EVT Residential</t>
  </si>
  <si>
    <t>EVT Commercial</t>
  </si>
  <si>
    <t xml:space="preserve">Low Income </t>
  </si>
  <si>
    <t>Year over year change</t>
  </si>
  <si>
    <t>FORECAST</t>
  </si>
  <si>
    <t>SAVINGS (MMBtu)</t>
  </si>
  <si>
    <t>Residential Existing</t>
  </si>
  <si>
    <t xml:space="preserve">Residential New Construction </t>
  </si>
  <si>
    <t>Commercial Existing</t>
  </si>
  <si>
    <t xml:space="preserve">Commercial New Construction </t>
  </si>
  <si>
    <t>Total Savings</t>
  </si>
  <si>
    <t>PROJECTS (units)</t>
  </si>
  <si>
    <t>Commercial New Construction</t>
  </si>
  <si>
    <t>Total Projects / Units</t>
  </si>
  <si>
    <t>BUDGET CALCULATIONS (CH):</t>
  </si>
  <si>
    <t>EVT TEPF BUDGETS</t>
  </si>
  <si>
    <t>% of Total</t>
  </si>
  <si>
    <t>FCM</t>
  </si>
  <si>
    <t>RGGI</t>
  </si>
  <si>
    <t>BED's Suggested Annual TEPF Budgets (2015-2024)</t>
  </si>
  <si>
    <t>Proxy FCM</t>
  </si>
  <si>
    <t>Proxy RGGI</t>
  </si>
  <si>
    <t>Estimated Resource Acquisition and Non-Resource Acquisition Splits for EEU's</t>
  </si>
  <si>
    <t>EVT</t>
  </si>
  <si>
    <t>Notes:</t>
  </si>
  <si>
    <t xml:space="preserve">Total net FCM &amp; RGGI Funds directed to EVT </t>
  </si>
  <si>
    <t>Total net FCM &amp; RGGI funds directed to BED</t>
  </si>
  <si>
    <t>EEC</t>
  </si>
  <si>
    <t>TEPF</t>
  </si>
  <si>
    <t>Other</t>
  </si>
  <si>
    <t>EVT Total</t>
  </si>
  <si>
    <t>BED Total</t>
  </si>
  <si>
    <t xml:space="preserve"> </t>
  </si>
  <si>
    <t>Statewide (EVT + BED)</t>
  </si>
  <si>
    <r>
      <t xml:space="preserve">Residential Max. Achievable
</t>
    </r>
    <r>
      <rPr>
        <i/>
        <sz val="10"/>
        <color rgb="FF006100"/>
        <rFont val="Calibri"/>
        <family val="2"/>
        <scheme val="minor"/>
      </rPr>
      <t>Incremental Annual Savings
(GDS Potential Study)</t>
    </r>
  </si>
  <si>
    <r>
      <t xml:space="preserve">Non-Residential Max. Achievable
</t>
    </r>
    <r>
      <rPr>
        <i/>
        <sz val="10"/>
        <color rgb="FF006100"/>
        <rFont val="Calibri"/>
        <family val="2"/>
        <scheme val="minor"/>
      </rPr>
      <t>Incremental Annual Savings
(GDS Potential Study)</t>
    </r>
  </si>
  <si>
    <r>
      <t xml:space="preserve">Total Max. Achievable
</t>
    </r>
    <r>
      <rPr>
        <i/>
        <sz val="10"/>
        <color rgb="FF006100"/>
        <rFont val="Calibri"/>
        <family val="2"/>
        <scheme val="minor"/>
      </rPr>
      <t>Incremental Annual Savings
(GDS Potential Study)</t>
    </r>
  </si>
  <si>
    <t>Residential Forecast</t>
  </si>
  <si>
    <t>Non-Residential Forecast</t>
  </si>
  <si>
    <r>
      <t xml:space="preserve">All Sectors Forecast
</t>
    </r>
    <r>
      <rPr>
        <i/>
        <sz val="10"/>
        <color rgb="FF9C0006"/>
        <rFont val="Calibri"/>
        <family val="2"/>
        <scheme val="minor"/>
      </rPr>
      <t>(Includes Other)</t>
    </r>
  </si>
  <si>
    <t>Adjusted Forecast (Cumulative Impact of Past EE)</t>
  </si>
  <si>
    <t>Residential IA Savings as a % of Sector Sales</t>
  </si>
  <si>
    <t>Non-Residential IA Savings as a % of Sector Sales</t>
  </si>
  <si>
    <t>All Sector IA Savings as a % of Total Sales</t>
  </si>
  <si>
    <t>All Sector IA Savings as a % of Total Sales - EVT</t>
  </si>
  <si>
    <t>All Sector IA Savings as a % of Total Sales - BED</t>
  </si>
  <si>
    <t>NON-RESIDENTIAL FORECAST BREAKDOWN</t>
  </si>
  <si>
    <t>Industrial (less IBM &amp; OMYA)</t>
  </si>
  <si>
    <t>Industrial (less IBM)</t>
  </si>
  <si>
    <t>RESIDENTIAL INCREMENTAL ANNUAL SAVINGS</t>
  </si>
  <si>
    <r>
      <t xml:space="preserve">Non-Residential Max. Achievable (WITH OMYA)
</t>
    </r>
    <r>
      <rPr>
        <i/>
        <sz val="10"/>
        <color rgb="FF006100"/>
        <rFont val="Calibri"/>
        <family val="2"/>
        <scheme val="minor"/>
      </rPr>
      <t>Incremental Annual Savings
(GDS Potential Study)</t>
    </r>
  </si>
  <si>
    <r>
      <t xml:space="preserve">Non-Residential Max. Achievable (W/OUT OMYA)
</t>
    </r>
    <r>
      <rPr>
        <i/>
        <sz val="10"/>
        <color rgb="FF006100"/>
        <rFont val="Calibri"/>
        <family val="2"/>
        <scheme val="minor"/>
      </rPr>
      <t>Incremental Annual Savings
(GDS Potential Study)</t>
    </r>
  </si>
  <si>
    <t>Incremental Annual (IA) Savings as a % of Sales</t>
  </si>
  <si>
    <t>Statewide Total</t>
  </si>
  <si>
    <t>Cummulative Savings</t>
  </si>
  <si>
    <t>Statewide Total (mWh)</t>
  </si>
  <si>
    <t>EVT C&amp;I</t>
  </si>
  <si>
    <t>EVT Res</t>
  </si>
  <si>
    <t>BED C&amp;I</t>
  </si>
  <si>
    <t>BED Res</t>
  </si>
  <si>
    <t>No-EE Forecast</t>
  </si>
  <si>
    <t>Summer KW</t>
  </si>
  <si>
    <t>RA Budget</t>
  </si>
  <si>
    <t>Winter KW</t>
  </si>
  <si>
    <t>VEIC Modeled Summer KW</t>
  </si>
  <si>
    <t>VEIC Modeled Winter KW</t>
  </si>
  <si>
    <t>Less CCP</t>
  </si>
  <si>
    <t>VEIC Modeled RA Budget S2</t>
  </si>
  <si>
    <r>
      <rPr>
        <b/>
        <u/>
        <sz val="14"/>
        <color indexed="8"/>
        <rFont val="Calibri"/>
        <family val="2"/>
      </rPr>
      <t>Department of Public Service</t>
    </r>
    <r>
      <rPr>
        <b/>
        <sz val="14"/>
        <color indexed="8"/>
        <rFont val="Calibri"/>
        <family val="2"/>
      </rPr>
      <t>'s EEU Program Budget Recommendation</t>
    </r>
  </si>
  <si>
    <t>* From Innaugral DRP &amp; consistant with EEU Board order in EEU-2010-06 dated 8/01/2011</t>
  </si>
  <si>
    <t>Customer Credit Program Participant</t>
  </si>
  <si>
    <t>EVT RA 3 yr total</t>
  </si>
  <si>
    <t xml:space="preserve">BED RA 3 yr total </t>
  </si>
  <si>
    <t>EVT % Share</t>
  </si>
  <si>
    <t>BED % Share</t>
  </si>
  <si>
    <t>Reference (EVT/ BED Share of total EEC RA)</t>
  </si>
  <si>
    <t>EVT RA 3 yr total - EEC</t>
  </si>
  <si>
    <t>EVT RA 3 yr total - TEPF</t>
  </si>
  <si>
    <t>TEPF % Share</t>
  </si>
  <si>
    <t>EEC % Share</t>
  </si>
  <si>
    <t>Reference (EVT EEC/TEPF RA Split)</t>
  </si>
  <si>
    <t>Reference (BED EEC/TEPF RA Split)</t>
  </si>
  <si>
    <t>BED RA 3 yr total - EEC</t>
  </si>
  <si>
    <t>BED RA 3 yr total - TEPF</t>
  </si>
  <si>
    <t>EEC % of Total</t>
  </si>
  <si>
    <t>TEPF % of Total</t>
  </si>
  <si>
    <t>2015-2017</t>
  </si>
  <si>
    <t>DPS Recommendation</t>
  </si>
  <si>
    <t>Inaugural DRP (nominal)</t>
  </si>
  <si>
    <t>EVT RA (nominal)</t>
  </si>
  <si>
    <t>Summer MW</t>
  </si>
  <si>
    <t>Winter MW</t>
  </si>
  <si>
    <t>EVT Expected</t>
  </si>
  <si>
    <t>BED Expected</t>
  </si>
  <si>
    <t>EVT Max Achievable</t>
  </si>
  <si>
    <t>BED Max Achievable</t>
  </si>
  <si>
    <t>Scenario #2: Sustained Growth</t>
  </si>
  <si>
    <t>Appendix A: EEU Program Electric Budgets - 2012-2031 DRPP</t>
  </si>
  <si>
    <r>
      <t xml:space="preserve">EVT Electric Resource Acquistion Budgets </t>
    </r>
    <r>
      <rPr>
        <b/>
        <sz val="11"/>
        <color theme="1"/>
        <rFont val="Calibri"/>
        <family val="2"/>
        <scheme val="minor"/>
      </rPr>
      <t>(Nominal Dollars)</t>
    </r>
  </si>
  <si>
    <t>Dec 6, 2013 filing (Real 2015 $)</t>
  </si>
  <si>
    <t>C&amp;I</t>
  </si>
  <si>
    <t>RES</t>
  </si>
  <si>
    <t>TOTAL RA Budget</t>
  </si>
  <si>
    <t>April 8, 2014 Budget Revision (Real 2015 $)</t>
  </si>
  <si>
    <t xml:space="preserve">RES   </t>
  </si>
  <si>
    <t>Total RA Budget</t>
  </si>
  <si>
    <t>Variance: April 8, 2014 vs Dec 6, 2013 filing (Real 2015 $)</t>
  </si>
  <si>
    <t>% Difference</t>
  </si>
  <si>
    <t>Dec 6, 2013 filing Savings</t>
  </si>
  <si>
    <t>PROXY YIELD: $/MWh Savings (from Dec 6, 2013 filing)</t>
  </si>
  <si>
    <t>April 8, 2014 MWh Savings Revision</t>
  </si>
  <si>
    <t>TOTAL MWh savings</t>
  </si>
  <si>
    <t>Variance: April 8, 2014 vs Dec 6, 2013 filing</t>
  </si>
  <si>
    <t>Res</t>
  </si>
  <si>
    <t>C/I</t>
  </si>
  <si>
    <t xml:space="preserve">Total </t>
  </si>
  <si>
    <t>Estimated MW</t>
  </si>
  <si>
    <t>Estimated Summer MW</t>
  </si>
  <si>
    <t>Estimated Winter MW</t>
  </si>
  <si>
    <t>BED RA Budget</t>
  </si>
  <si>
    <t>EVT RA Budget</t>
  </si>
  <si>
    <t>% Change</t>
  </si>
  <si>
    <t>-</t>
  </si>
  <si>
    <t>Table X:  Annual Percent Rate Increase</t>
  </si>
  <si>
    <t>MMBtu</t>
  </si>
  <si>
    <t>Non-Resource Acquisition Initiatives Budgets: 2015-2034</t>
  </si>
  <si>
    <t>VEIC TOTAL NRA BUDGET</t>
  </si>
  <si>
    <t>EEC Share 88%</t>
  </si>
  <si>
    <t>TEPF Share 12%</t>
  </si>
  <si>
    <t>Estimated VEIC NRA Split</t>
  </si>
  <si>
    <t xml:space="preserve">BED EEU DRP Electric Budgets and Savings Recommendations for 2015-2034 </t>
  </si>
  <si>
    <t xml:space="preserve">BED EEU DRP Thermal Energy Process Fuels Program Budgets and Savings Recommendations for 2015-2034 </t>
  </si>
  <si>
    <t>(no natural gas customers are included in these figures)</t>
  </si>
  <si>
    <t>Years</t>
  </si>
  <si>
    <t>3 Yr. Total</t>
  </si>
  <si>
    <t>RA and NRA per DPS 1/10/2014 Filing</t>
  </si>
  <si>
    <t>Total BED TEPF RA Implementation Budget</t>
  </si>
  <si>
    <t>Residential (95%)</t>
  </si>
  <si>
    <t>Commercial (5%)</t>
  </si>
  <si>
    <t>Residential Services</t>
  </si>
  <si>
    <t>Number of Projects</t>
  </si>
  <si>
    <t xml:space="preserve">Single-Family </t>
  </si>
  <si>
    <t>Average MMBTU per Project</t>
  </si>
  <si>
    <t>MMBTU</t>
  </si>
  <si>
    <t>RES Total</t>
  </si>
  <si>
    <t>Yield (MMBTU/$1000)</t>
  </si>
  <si>
    <t xml:space="preserve">Single-Family HPwES </t>
  </si>
  <si>
    <t>Commercial Services</t>
  </si>
  <si>
    <t>Commercial Heating</t>
  </si>
  <si>
    <t>Building Performance - Small Business</t>
  </si>
  <si>
    <t>Commercial Subtotal</t>
  </si>
  <si>
    <t>Commercial Total</t>
  </si>
  <si>
    <t>Res. and Com TEPF Services MMBTU Total</t>
  </si>
  <si>
    <t>BED TEPF Budget Total</t>
  </si>
  <si>
    <t>Residential Implementation Budget</t>
  </si>
  <si>
    <t>Residential Support Services</t>
  </si>
  <si>
    <t>Total Residential Budget</t>
  </si>
  <si>
    <t>Commercial Implementation Budget</t>
  </si>
  <si>
    <t>Commercial Support Services</t>
  </si>
  <si>
    <t>Total Commercial Budget</t>
  </si>
  <si>
    <t>BED's Total TEPF RA Budget</t>
  </si>
  <si>
    <t xml:space="preserve">BED EEU DRP Electric NRA Budgets Recommendations for 2015-2034 </t>
  </si>
  <si>
    <t>3 Year Total</t>
  </si>
  <si>
    <t>1. Education &amp; Training</t>
  </si>
  <si>
    <t xml:space="preserve">Energy Code and Standards Support </t>
  </si>
  <si>
    <t>General Public Energy Efficiency Education</t>
  </si>
  <si>
    <t>Better Buildings by Design Conference</t>
  </si>
  <si>
    <t>Annual Total</t>
  </si>
  <si>
    <t>2. Smart Grid &amp; AMI</t>
  </si>
  <si>
    <t>UVM/BED Testing In-Home Devices with Students Living Off-campus</t>
  </si>
  <si>
    <t>3. Applied Research &amp;Demonstration</t>
  </si>
  <si>
    <t xml:space="preserve">Emerging Data Services and Analytics </t>
  </si>
  <si>
    <t>4. Planning and Reporting Related to BED EEU Matters</t>
  </si>
  <si>
    <t>Demand Resource Plan</t>
  </si>
  <si>
    <t xml:space="preserve">VSPC Participation (related strictly to energy efficiency matters) </t>
  </si>
  <si>
    <t xml:space="preserve">ISO-NE's FCM Administration &amp; Coordination (FCM related work only) </t>
  </si>
  <si>
    <t>Reporting</t>
  </si>
  <si>
    <t>5. Evaluation</t>
  </si>
  <si>
    <t>6. Policy and Public Affairs (Related to BED EEU Matters Only)</t>
  </si>
  <si>
    <t>7. Information Technology</t>
  </si>
  <si>
    <t>8. Administration - Non-Program Specific</t>
  </si>
  <si>
    <t>`</t>
  </si>
  <si>
    <t>BED EEU Delivery Budget</t>
  </si>
  <si>
    <t>NRA % of EEU Delivery Budget</t>
  </si>
  <si>
    <t xml:space="preserve">BED EEU DRP Thermal Energy Process Fuels Program NRA Budgets Recommendations for 2015-2034 </t>
  </si>
  <si>
    <t>Education</t>
  </si>
  <si>
    <t>Applied R&amp;D</t>
  </si>
  <si>
    <t>IT</t>
  </si>
  <si>
    <t>NRA % of TEPF Budget</t>
  </si>
  <si>
    <t>VEIC EEU Budget 2015-2017</t>
  </si>
  <si>
    <t>BED EEU Budget 2015-2017</t>
  </si>
  <si>
    <t>BED 2015-2017 EEC &amp; TEPF Total</t>
  </si>
  <si>
    <t>VEIC 2015-2017 EEC &amp; TEPF Total</t>
  </si>
  <si>
    <t>EEC Budget 2015-2017</t>
  </si>
  <si>
    <t>Evaluation Budget Summary</t>
  </si>
  <si>
    <t>Task</t>
  </si>
  <si>
    <t>Total 2015-17</t>
  </si>
  <si>
    <t>Proposed Carryover from 2012-2014 period</t>
  </si>
  <si>
    <t>Actual Budget Impact to Funding Source</t>
  </si>
  <si>
    <t>[Note 11]]</t>
  </si>
  <si>
    <t>[Note 12]</t>
  </si>
  <si>
    <t>[Note 13]</t>
  </si>
  <si>
    <t>Core EEC Evaluation Activities</t>
  </si>
  <si>
    <t>Geotargeting [2]</t>
  </si>
  <si>
    <t>Technical Advisory Group and Technical Reference Manual</t>
  </si>
  <si>
    <t>Market Characterizations*</t>
  </si>
  <si>
    <t>Benchmarking</t>
  </si>
  <si>
    <t>Supporting EEC Evaluation</t>
  </si>
  <si>
    <t xml:space="preserve">   Non-Resource Acquisition Initiatives*</t>
  </si>
  <si>
    <t xml:space="preserve">   Administrative Efficiency*</t>
  </si>
  <si>
    <t>HPwES Evaluation (electric only ) [3]</t>
  </si>
  <si>
    <t>Energy Savings Accounts &amp; Customer Credit Program</t>
  </si>
  <si>
    <t>Regional Coordination [4]</t>
  </si>
  <si>
    <t>Overall Performace Assessment</t>
  </si>
  <si>
    <r>
      <t xml:space="preserve">Planning and Management </t>
    </r>
    <r>
      <rPr>
        <sz val="10"/>
        <rFont val="Arial"/>
        <family val="2"/>
      </rPr>
      <t>[5]</t>
    </r>
  </si>
  <si>
    <t xml:space="preserve">   Evaluation Planning &amp; Administration*</t>
  </si>
  <si>
    <t>Expert Technical Assistance*</t>
  </si>
  <si>
    <t>Evaulation Training &amp; Development*</t>
  </si>
  <si>
    <t>DRP</t>
  </si>
  <si>
    <t xml:space="preserve">   Other Direct Costs*</t>
  </si>
  <si>
    <r>
      <t xml:space="preserve">Contingency </t>
    </r>
    <r>
      <rPr>
        <sz val="10"/>
        <rFont val="Arial"/>
        <family val="2"/>
      </rPr>
      <t>[6]</t>
    </r>
  </si>
  <si>
    <t>Behavioral Evaluation [7]</t>
  </si>
  <si>
    <t>Annual EEC Funded budget</t>
  </si>
  <si>
    <t>Total 2015-2017 Energy Efficiency Charge Funded Budget</t>
  </si>
  <si>
    <t xml:space="preserve">Core Heating and Process Fuel Evaluation </t>
  </si>
  <si>
    <t>HPwES Evaluation [8]</t>
  </si>
  <si>
    <t>TEPF Potential Study</t>
  </si>
  <si>
    <t>Shared Heating and Process Fuel Evaluation</t>
  </si>
  <si>
    <t>Non-Resource Acquisition Initiatives*</t>
  </si>
  <si>
    <t>Administrative Efficiency*</t>
  </si>
  <si>
    <t>Shared Planning and Management</t>
  </si>
  <si>
    <r>
      <t xml:space="preserve">HPF Contingency </t>
    </r>
    <r>
      <rPr>
        <sz val="10"/>
        <rFont val="Arial"/>
        <family val="2"/>
      </rPr>
      <t>[9]</t>
    </r>
  </si>
  <si>
    <t>Annual HPF Funded Budget</t>
  </si>
  <si>
    <t>Total 2015-2017 Thermal Energy Process Fuel Evaluation</t>
  </si>
  <si>
    <t>FCM Evaluation</t>
  </si>
  <si>
    <t xml:space="preserve">   Core FCM Evaluation [10]</t>
  </si>
  <si>
    <t>Annual FCM Evaluation Budget</t>
  </si>
  <si>
    <t>Total 2015-2017 FCM Revenue Funded Budget</t>
  </si>
  <si>
    <t>EEC Cost Share</t>
  </si>
  <si>
    <t>TEPF Cost Share</t>
  </si>
  <si>
    <t>[Notes]</t>
  </si>
  <si>
    <t>*</t>
  </si>
  <si>
    <t xml:space="preserve">Indicates a split funded EEC (88%) and TEPF (12%) activity as described in 'EEC TEPF % Share Reference' tab - based on  % share of total EEC and TEPF three year budgets </t>
  </si>
  <si>
    <t xml:space="preserve">Inflation = </t>
  </si>
  <si>
    <t>GT - Assume no specific GT study necessary.  Setaside for potential future GT study.</t>
  </si>
  <si>
    <t>HPwES study for the electric portion of the overall HPwES study.</t>
  </si>
  <si>
    <t>Regional Coordination is $239,000 over three years shared between EEC (75%) and FCM (25%) revenues, as described on 'Regional' tab.</t>
  </si>
  <si>
    <t>Planning and Management activities, informing and relating to areas funded by multiple sources, are proposed to be funded by both TEPF and EEC Funds as described on the 'plan&amp;Mgmt' tab.</t>
  </si>
  <si>
    <t xml:space="preserve">Contingency -- All budget values are estimates, and subject to varying degrees of uncertainty - especially with regards to projects that where competitive bids are solicited.  Planning and Management costs not subject to contingency factor (5%) </t>
  </si>
  <si>
    <t>Behavioral Evaluation Contingency - Budget amount included as contingency depending upon PSB order re behaviour</t>
  </si>
  <si>
    <t>HPwES evaluation assumes cost share equal to HPwES program in 2012. future costs assume full cost funded from HPF Revenue sources</t>
  </si>
  <si>
    <t>TEPF funding is highly uncertain, and thus programs may change throughout the funding period.  DPS proposes a contingency fund of 10% annual evaluation budgets to address specific issues as they arise.  In most cases, TEPF contingency will likely be used to leverage additional evaluation activity from other avenues</t>
  </si>
  <si>
    <t>FCM Core Evaluation held constat beginning in 2017 recognizing regional work and efficiencies will hold costs down</t>
  </si>
  <si>
    <t>Three year totals rounded to nearest 100</t>
  </si>
  <si>
    <t>Carryover represented here is only for prior approved PSD evaluations that have not yet taken place and no funds have been spent. This does not represent all of the funds that the PSD may request to carryover from the 2012-2014 period.</t>
  </si>
  <si>
    <t>Represents the actual budget impact of Evaluation on calculating the EEC if carrying over these specific ear marked funds are approved. The evaluations that include carryover funds are scheduled for early 2015.</t>
  </si>
  <si>
    <t>SMEEP tabincluded on this spreadsheet for reference purposes.  This tab may not represent full costs associated with this efforts.</t>
  </si>
  <si>
    <t>Natural Gas Efficeincy Evaluation is not included in this spreadsheet</t>
  </si>
  <si>
    <t>CEED not shown here due to CEED annual evaluation plan requirements.</t>
  </si>
  <si>
    <t>EEC/TEPF</t>
  </si>
  <si>
    <t>TEPF/EEC</t>
  </si>
  <si>
    <t>EEC Share</t>
  </si>
  <si>
    <t>TEPF Share</t>
  </si>
  <si>
    <t>EVT EEC Share</t>
  </si>
  <si>
    <t>BED EEC Share</t>
  </si>
  <si>
    <t>EVT TEPF Share</t>
  </si>
  <si>
    <t>BED TEPF Share</t>
  </si>
  <si>
    <t>TEPF-Funded Subtotal</t>
  </si>
  <si>
    <t>Operations and QPI Fees (4.1%)</t>
  </si>
  <si>
    <t>VEIC Compensation Budget 2015-2017</t>
  </si>
  <si>
    <t>Operations Fee and QPI Award</t>
  </si>
  <si>
    <t>Operations Fee and QPI Award (4.1%)</t>
  </si>
  <si>
    <t>RA R&amp;D</t>
  </si>
  <si>
    <t>MWh</t>
  </si>
  <si>
    <t>S2 BED Modeled Savings as % of Territory Sales</t>
  </si>
  <si>
    <t>Note: no RA R&amp;D included from 2018 and beyond</t>
  </si>
  <si>
    <t xml:space="preserve">  All measures</t>
  </si>
  <si>
    <t xml:space="preserve">  Behavior Measures</t>
  </si>
  <si>
    <t xml:space="preserve">  Equipment measures</t>
  </si>
  <si>
    <t>Estimated (Modeled) MWh Savings</t>
  </si>
  <si>
    <t>EVT Scenario 2 $/MWh Yields (from Dec 6, 2013 filing)</t>
  </si>
  <si>
    <t>EVT Scenario 2 $/MW Yields (from Dec 6, 2013 filing)</t>
  </si>
  <si>
    <t>SUMMER</t>
  </si>
  <si>
    <t>WINTER</t>
  </si>
  <si>
    <t>COMMERCIAL AND INDUSTRIAL</t>
  </si>
  <si>
    <t>RESIDENTIAL</t>
  </si>
  <si>
    <t>Summer $/KW from VEIC with Behavior measures</t>
  </si>
  <si>
    <t>Winter $/KW from VEIC with Behavior measures</t>
  </si>
  <si>
    <t>Modeled Summer $/KW Equipment measures only</t>
  </si>
  <si>
    <t>Modeled Winter $/KW Equipment measures only</t>
  </si>
  <si>
    <t>Estimated TRB</t>
  </si>
  <si>
    <t>EVT Scenario 2 $/TRB Yields (from Dec 6, 2013 filing)</t>
  </si>
  <si>
    <t>EQUIPMENT PROXY YIELD: $/TRB $</t>
  </si>
  <si>
    <t>Adjustment Factor (for model conservatism)</t>
  </si>
  <si>
    <t>PSD/S2 EVT Modeled Savings as % of Sales</t>
  </si>
  <si>
    <t>PSD/S2 BED Modeled Savings as % of Sales</t>
  </si>
  <si>
    <t>Adjusting Cumlative Savings for Equipment/Behavior mix</t>
  </si>
  <si>
    <t>EVT C&amp;I Behavior (First-year = Cumulative MWh)</t>
  </si>
  <si>
    <t>EVT Res Behavior (First-year = Cumulative MWh)</t>
  </si>
  <si>
    <t>EVT Scenario 2 cumulative savings</t>
  </si>
  <si>
    <t>APPROX Equip Only Scenario 2 Cumulative MWh</t>
  </si>
  <si>
    <t>Cumulative Savings (Max Acheivable)</t>
  </si>
  <si>
    <t>Cumulative savings as % of no-EE sales</t>
  </si>
  <si>
    <t>Scenario 2 (VEIC model)</t>
  </si>
  <si>
    <t>Equip-only Scenario 2 (approx)</t>
  </si>
  <si>
    <t>PSD/S2 EVT Modeled Savings as % of Territory Sales</t>
  </si>
  <si>
    <t>Statewide Total (MWh)</t>
  </si>
  <si>
    <t>Scenario 2 Cumulative with behavior subtracted</t>
  </si>
  <si>
    <t>AMI behavior TRB (PSD - elec only) - for scaling</t>
  </si>
  <si>
    <t>AMI behavior TRB (VEIC - all fuels) - for scaling</t>
  </si>
  <si>
    <t xml:space="preserve">  Behavior measures</t>
  </si>
  <si>
    <t xml:space="preserve">  Behavior measures (electric savings only)</t>
  </si>
  <si>
    <t>Annual VEIC Budgets (nominal) and Modeled Savings</t>
  </si>
  <si>
    <t xml:space="preserve">Annual BED Budgets (nominal) and Modeled Savings </t>
  </si>
  <si>
    <t>inflation adjustment:</t>
  </si>
  <si>
    <t>EQUIPMENT PROXY YIELD: $/MWh Savings (nominal dollars)</t>
  </si>
  <si>
    <t>EQUIPMENT PROXY YIELD: $/MW (nominal dollars)</t>
  </si>
  <si>
    <t>THE BELOW USES EVT'S DECEMBER 6 FILING, NOT THE INFLATION-ADJUSTED APRIL 8 DATA</t>
  </si>
  <si>
    <t xml:space="preserve">VEIC TEPF Budget and Modeled Savings </t>
  </si>
  <si>
    <t xml:space="preserve">BED TEPF Budget and Modeled Savings </t>
  </si>
  <si>
    <t>Total 2015-2017 EEU Program Budget</t>
  </si>
  <si>
    <t>Page 1</t>
  </si>
  <si>
    <t>Page 2</t>
  </si>
  <si>
    <t>Page 3</t>
  </si>
  <si>
    <t>Public Service Department EEU Program Budget Recommendation - April 16, 2014</t>
  </si>
  <si>
    <t>UVM Energy Minder Study/Peer Exchange Platforms</t>
  </si>
  <si>
    <t>Attachment A: PSD DRP Recommendation</t>
  </si>
</sst>
</file>

<file path=xl/styles.xml><?xml version="1.0" encoding="utf-8"?>
<styleSheet xmlns="http://schemas.openxmlformats.org/spreadsheetml/2006/main" xmlns:mc="http://schemas.openxmlformats.org/markup-compatibility/2006" xmlns:x14ac="http://schemas.microsoft.com/office/spreadsheetml/2009/9/ac" mc:Ignorable="x14ac">
  <numFmts count="23">
    <numFmt numFmtId="5" formatCode="&quot;$&quot;#,##0_);\(&quot;$&quot;#,##0\)"/>
    <numFmt numFmtId="6" formatCode="&quot;$&quot;#,##0_);[Red]\(&quot;$&quot;#,##0\)"/>
    <numFmt numFmtId="7" formatCode="&quot;$&quot;#,##0.00_);\(&quot;$&quot;#,##0.00\)"/>
    <numFmt numFmtId="42" formatCode="_(&quot;$&quot;* #,##0_);_(&quot;$&quot;* \(#,##0\);_(&quot;$&quot;* &quot;-&quot;_);_(@_)"/>
    <numFmt numFmtId="44" formatCode="_(&quot;$&quot;* #,##0.00_);_(&quot;$&quot;* \(#,##0.00\);_(&quot;$&quot;* &quot;-&quot;??_);_(@_)"/>
    <numFmt numFmtId="43" formatCode="_(* #,##0.00_);_(* \(#,##0.00\);_(* &quot;-&quot;??_);_(@_)"/>
    <numFmt numFmtId="164" formatCode="#,##0;[Red]\(#,##0\)"/>
    <numFmt numFmtId="165" formatCode="#,##0.0;[Red]\(#,##0.0\)"/>
    <numFmt numFmtId="166" formatCode="0.0"/>
    <numFmt numFmtId="167" formatCode="_(&quot;$&quot;* #,##0_);_(&quot;$&quot;* \(#,##0\);_(&quot;$&quot;* &quot;-&quot;??_);_(@_)"/>
    <numFmt numFmtId="168" formatCode="_(* #,##0_);_(* \(#,##0\);_(* &quot;-&quot;??_);_(@_)"/>
    <numFmt numFmtId="169" formatCode="&quot;$&quot;#,##0"/>
    <numFmt numFmtId="170" formatCode="[$-409]mmmm\ d\,\ yyyy;@"/>
    <numFmt numFmtId="171" formatCode="0.0%"/>
    <numFmt numFmtId="172" formatCode="&quot;$&quot;#,##0.00"/>
    <numFmt numFmtId="173" formatCode="&quot;$&quot;#,##0&quot;/MWh&quot;;\(&quot;$&quot;#,##0\)&quot;/MWh&quot;"/>
    <numFmt numFmtId="174" formatCode="&quot;$&quot;#,##0;[Red]\(&quot;$&quot;#,##0\)"/>
    <numFmt numFmtId="175" formatCode="_(&quot;$&quot;* #,##0.0_);_(&quot;$&quot;* \(#,##0.0\);_(&quot;$&quot;* &quot;-&quot;??_);_(@_)"/>
    <numFmt numFmtId="176" formatCode="_(* #,##0.0_);_(* \(#,##0.0\);_(* &quot;-&quot;??_);_(@_)"/>
    <numFmt numFmtId="177" formatCode="[$$-409]#,##0_);\([$$-409]#,##0\)"/>
    <numFmt numFmtId="178" formatCode="[$-F800]dddd\,\ mmmm\ dd\,\ yyyy"/>
    <numFmt numFmtId="179" formatCode="0.0000"/>
    <numFmt numFmtId="180" formatCode="0.000"/>
  </numFmts>
  <fonts count="113">
    <font>
      <sz val="11"/>
      <color theme="1"/>
      <name val="Calibri"/>
      <family val="2"/>
      <scheme val="minor"/>
    </font>
    <font>
      <b/>
      <sz val="11"/>
      <color theme="1"/>
      <name val="Calibri"/>
      <family val="2"/>
      <scheme val="minor"/>
    </font>
    <font>
      <b/>
      <u/>
      <sz val="11"/>
      <color theme="1"/>
      <name val="Calibri"/>
      <family val="2"/>
      <scheme val="minor"/>
    </font>
    <font>
      <b/>
      <u/>
      <sz val="12"/>
      <color rgb="FF0000CC"/>
      <name val="Calibri"/>
      <family val="2"/>
      <scheme val="minor"/>
    </font>
    <font>
      <u/>
      <sz val="11"/>
      <color theme="1"/>
      <name val="Calibri"/>
      <family val="2"/>
      <scheme val="minor"/>
    </font>
    <font>
      <b/>
      <sz val="11"/>
      <color rgb="FF7030A0"/>
      <name val="Calibri"/>
      <family val="2"/>
      <scheme val="minor"/>
    </font>
    <font>
      <b/>
      <u/>
      <sz val="11"/>
      <color rgb="FFC00000"/>
      <name val="Calibri"/>
      <family val="2"/>
      <scheme val="minor"/>
    </font>
    <font>
      <sz val="11"/>
      <color theme="1"/>
      <name val="Calibri"/>
      <family val="2"/>
      <scheme val="minor"/>
    </font>
    <font>
      <b/>
      <sz val="14"/>
      <color theme="1"/>
      <name val="Calibri"/>
      <family val="2"/>
      <scheme val="minor"/>
    </font>
    <font>
      <sz val="11"/>
      <color rgb="FF006100"/>
      <name val="Calibri"/>
      <family val="2"/>
      <scheme val="minor"/>
    </font>
    <font>
      <b/>
      <u/>
      <sz val="14"/>
      <color theme="1"/>
      <name val="Calibri"/>
      <family val="2"/>
      <scheme val="minor"/>
    </font>
    <font>
      <b/>
      <sz val="12"/>
      <color theme="1"/>
      <name val="Calibri"/>
      <family val="2"/>
      <scheme val="minor"/>
    </font>
    <font>
      <b/>
      <i/>
      <sz val="11"/>
      <color theme="1"/>
      <name val="Calibri"/>
      <family val="2"/>
      <scheme val="minor"/>
    </font>
    <font>
      <b/>
      <u/>
      <sz val="12"/>
      <color theme="1"/>
      <name val="Calibri"/>
      <family val="2"/>
      <scheme val="minor"/>
    </font>
    <font>
      <u val="singleAccounting"/>
      <sz val="11"/>
      <color theme="1"/>
      <name val="Calibri"/>
      <family val="2"/>
      <scheme val="minor"/>
    </font>
    <font>
      <sz val="10"/>
      <name val="Arial"/>
      <family val="2"/>
    </font>
    <font>
      <b/>
      <sz val="10"/>
      <name val="Arial"/>
      <family val="2"/>
    </font>
    <font>
      <sz val="10"/>
      <name val="Arial"/>
      <family val="2"/>
    </font>
    <font>
      <sz val="11"/>
      <color indexed="17"/>
      <name val="Calibri"/>
      <family val="2"/>
    </font>
    <font>
      <b/>
      <sz val="14"/>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8"/>
      <color indexed="56"/>
      <name val="Cambria"/>
      <family val="2"/>
    </font>
    <font>
      <b/>
      <sz val="11"/>
      <color indexed="8"/>
      <name val="Calibri"/>
      <family val="2"/>
    </font>
    <font>
      <sz val="11"/>
      <color indexed="10"/>
      <name val="Calibri"/>
      <family val="2"/>
    </font>
    <font>
      <u/>
      <sz val="10"/>
      <name val="Arial"/>
      <family val="2"/>
    </font>
    <font>
      <sz val="8"/>
      <color indexed="81"/>
      <name val="Tahoma"/>
      <family val="2"/>
    </font>
    <font>
      <b/>
      <sz val="8"/>
      <color indexed="81"/>
      <name val="Tahoma"/>
      <family val="2"/>
    </font>
    <font>
      <sz val="9"/>
      <color indexed="81"/>
      <name val="Tahoma"/>
      <family val="2"/>
    </font>
    <font>
      <b/>
      <sz val="9"/>
      <color indexed="81"/>
      <name val="Tahoma"/>
      <family val="2"/>
    </font>
    <font>
      <b/>
      <i/>
      <sz val="10"/>
      <color rgb="FF0000CC"/>
      <name val="Arial"/>
      <family val="2"/>
    </font>
    <font>
      <b/>
      <sz val="10"/>
      <name val="Calibri"/>
      <family val="2"/>
      <scheme val="minor"/>
    </font>
    <font>
      <b/>
      <u/>
      <sz val="10"/>
      <name val="Calibri"/>
      <family val="2"/>
      <scheme val="minor"/>
    </font>
    <font>
      <sz val="14"/>
      <color theme="1"/>
      <name val="Calibri"/>
      <family val="2"/>
      <scheme val="minor"/>
    </font>
    <font>
      <sz val="14"/>
      <name val="Calibri"/>
      <family val="2"/>
      <scheme val="minor"/>
    </font>
    <font>
      <u/>
      <sz val="14"/>
      <color theme="1"/>
      <name val="Calibri"/>
      <family val="2"/>
      <scheme val="minor"/>
    </font>
    <font>
      <b/>
      <sz val="14"/>
      <name val="Calibri"/>
      <family val="2"/>
      <scheme val="minor"/>
    </font>
    <font>
      <u/>
      <sz val="14"/>
      <name val="Calibri"/>
      <family val="2"/>
      <scheme val="minor"/>
    </font>
    <font>
      <b/>
      <sz val="16"/>
      <color theme="1"/>
      <name val="Calibri"/>
      <family val="2"/>
      <scheme val="minor"/>
    </font>
    <font>
      <b/>
      <sz val="16"/>
      <name val="Calibri"/>
      <family val="2"/>
      <scheme val="minor"/>
    </font>
    <font>
      <sz val="11"/>
      <name val="Calibri"/>
      <family val="2"/>
      <scheme val="minor"/>
    </font>
    <font>
      <b/>
      <sz val="11"/>
      <color indexed="81"/>
      <name val="Tahoma"/>
      <family val="2"/>
    </font>
    <font>
      <sz val="11"/>
      <color indexed="81"/>
      <name val="Tahoma"/>
      <family val="2"/>
    </font>
    <font>
      <b/>
      <sz val="12"/>
      <color indexed="81"/>
      <name val="Tahoma"/>
      <family val="2"/>
    </font>
    <font>
      <sz val="12"/>
      <color indexed="81"/>
      <name val="Tahoma"/>
      <family val="2"/>
    </font>
    <font>
      <sz val="8"/>
      <name val="Swis721 BT"/>
    </font>
    <font>
      <b/>
      <u/>
      <sz val="12"/>
      <name val="Dutch801 BT"/>
    </font>
    <font>
      <sz val="11"/>
      <color rgb="FF9C0006"/>
      <name val="Calibri"/>
      <family val="2"/>
      <scheme val="minor"/>
    </font>
    <font>
      <sz val="11"/>
      <color rgb="FF3F3F76"/>
      <name val="Calibri"/>
      <family val="2"/>
      <scheme val="minor"/>
    </font>
    <font>
      <b/>
      <sz val="11"/>
      <color rgb="FFFA7D00"/>
      <name val="Calibri"/>
      <family val="2"/>
      <scheme val="minor"/>
    </font>
    <font>
      <sz val="10"/>
      <color theme="1"/>
      <name val="Calibri"/>
      <family val="2"/>
      <scheme val="minor"/>
    </font>
    <font>
      <sz val="10"/>
      <color rgb="FF9C0006"/>
      <name val="Calibri"/>
      <family val="2"/>
      <scheme val="minor"/>
    </font>
    <font>
      <b/>
      <sz val="10"/>
      <color theme="1"/>
      <name val="Calibri"/>
      <family val="2"/>
      <scheme val="minor"/>
    </font>
    <font>
      <sz val="10"/>
      <color rgb="FF006100"/>
      <name val="Calibri"/>
      <family val="2"/>
      <scheme val="minor"/>
    </font>
    <font>
      <i/>
      <sz val="10"/>
      <color rgb="FF006100"/>
      <name val="Calibri"/>
      <family val="2"/>
      <scheme val="minor"/>
    </font>
    <font>
      <i/>
      <sz val="10"/>
      <color rgb="FF9C0006"/>
      <name val="Calibri"/>
      <family val="2"/>
      <scheme val="minor"/>
    </font>
    <font>
      <b/>
      <sz val="10"/>
      <color rgb="FFFA7D00"/>
      <name val="Calibri"/>
      <family val="2"/>
      <scheme val="minor"/>
    </font>
    <font>
      <b/>
      <sz val="10"/>
      <color theme="9" tint="-0.249977111117893"/>
      <name val="Calibri"/>
      <family val="2"/>
      <scheme val="minor"/>
    </font>
    <font>
      <sz val="10"/>
      <name val="Calibri"/>
      <family val="2"/>
      <scheme val="minor"/>
    </font>
    <font>
      <b/>
      <u/>
      <sz val="14"/>
      <color indexed="8"/>
      <name val="Calibri"/>
      <family val="2"/>
    </font>
    <font>
      <b/>
      <sz val="14"/>
      <color indexed="8"/>
      <name val="Calibri"/>
      <family val="2"/>
    </font>
    <font>
      <b/>
      <sz val="12"/>
      <color rgb="FF00B050"/>
      <name val="Calibri"/>
      <family val="2"/>
      <scheme val="minor"/>
    </font>
    <font>
      <sz val="11"/>
      <color rgb="FF0000CC"/>
      <name val="Calibri"/>
      <family val="2"/>
      <scheme val="minor"/>
    </font>
    <font>
      <b/>
      <sz val="11"/>
      <name val="Calibri"/>
      <family val="2"/>
      <scheme val="minor"/>
    </font>
    <font>
      <b/>
      <sz val="11"/>
      <color rgb="FFC00000"/>
      <name val="Calibri"/>
      <family val="2"/>
      <scheme val="minor"/>
    </font>
    <font>
      <sz val="11"/>
      <color rgb="FFC00000"/>
      <name val="Calibri"/>
      <family val="2"/>
      <scheme val="minor"/>
    </font>
    <font>
      <u/>
      <sz val="11"/>
      <color rgb="FFC00000"/>
      <name val="Calibri"/>
      <family val="2"/>
      <scheme val="minor"/>
    </font>
    <font>
      <b/>
      <u/>
      <sz val="11"/>
      <color rgb="FF0000CC"/>
      <name val="Calibri"/>
      <family val="2"/>
      <scheme val="minor"/>
    </font>
    <font>
      <b/>
      <sz val="11"/>
      <color rgb="FF0000CC"/>
      <name val="Calibri"/>
      <family val="2"/>
      <scheme val="minor"/>
    </font>
    <font>
      <sz val="11"/>
      <color rgb="FF7030A0"/>
      <name val="Calibri"/>
      <family val="2"/>
      <scheme val="minor"/>
    </font>
    <font>
      <u/>
      <sz val="11"/>
      <color rgb="FF7030A0"/>
      <name val="Calibri"/>
      <family val="2"/>
      <scheme val="minor"/>
    </font>
    <font>
      <u val="singleAccounting"/>
      <sz val="11"/>
      <color rgb="FFC00000"/>
      <name val="Calibri"/>
      <family val="2"/>
      <scheme val="minor"/>
    </font>
    <font>
      <u val="singleAccounting"/>
      <sz val="11"/>
      <color rgb="FF0000CC"/>
      <name val="Calibri"/>
      <family val="2"/>
      <scheme val="minor"/>
    </font>
    <font>
      <u val="singleAccounting"/>
      <sz val="11"/>
      <color rgb="FF7030A0"/>
      <name val="Calibri"/>
      <family val="2"/>
      <scheme val="minor"/>
    </font>
    <font>
      <b/>
      <u/>
      <sz val="10"/>
      <name val="Arial"/>
      <family val="2"/>
    </font>
    <font>
      <b/>
      <sz val="10"/>
      <color rgb="FF0000CC"/>
      <name val="Arial"/>
      <family val="2"/>
    </font>
    <font>
      <b/>
      <u/>
      <sz val="12"/>
      <color theme="1"/>
      <name val="Times New Roman"/>
      <family val="1"/>
    </font>
    <font>
      <sz val="12"/>
      <color theme="1"/>
      <name val="Times New Roman"/>
      <family val="1"/>
    </font>
    <font>
      <b/>
      <sz val="12"/>
      <color theme="1"/>
      <name val="Times New Roman"/>
      <family val="1"/>
    </font>
    <font>
      <b/>
      <i/>
      <sz val="12"/>
      <color theme="1"/>
      <name val="Times New Roman"/>
      <family val="1"/>
    </font>
    <font>
      <u/>
      <sz val="12"/>
      <color theme="1"/>
      <name val="Times New Roman"/>
      <family val="1"/>
    </font>
    <font>
      <u val="singleAccounting"/>
      <sz val="12"/>
      <color theme="1"/>
      <name val="Times New Roman"/>
      <family val="1"/>
    </font>
    <font>
      <b/>
      <u val="singleAccounting"/>
      <sz val="12"/>
      <color theme="1"/>
      <name val="Times New Roman"/>
      <family val="1"/>
    </font>
    <font>
      <b/>
      <u/>
      <sz val="12"/>
      <name val="Times New Roman"/>
      <family val="1"/>
    </font>
    <font>
      <sz val="12"/>
      <name val="Times New Roman"/>
      <family val="1"/>
    </font>
    <font>
      <b/>
      <sz val="12"/>
      <name val="Times New Roman"/>
      <family val="1"/>
    </font>
    <font>
      <sz val="11"/>
      <color theme="1"/>
      <name val="Times New Roman"/>
      <family val="1"/>
    </font>
    <font>
      <b/>
      <sz val="11"/>
      <name val="Times New Roman"/>
      <family val="1"/>
    </font>
    <font>
      <sz val="11"/>
      <name val="Times New Roman"/>
      <family val="1"/>
    </font>
    <font>
      <b/>
      <u/>
      <sz val="11"/>
      <name val="Times New Roman"/>
      <family val="1"/>
    </font>
    <font>
      <u/>
      <sz val="11"/>
      <name val="Times New Roman"/>
      <family val="1"/>
    </font>
    <font>
      <b/>
      <sz val="11"/>
      <color theme="1"/>
      <name val="Times New Roman"/>
      <family val="1"/>
    </font>
    <font>
      <b/>
      <u/>
      <sz val="11"/>
      <color theme="1"/>
      <name val="Times New Roman"/>
      <family val="1"/>
    </font>
    <font>
      <i/>
      <sz val="11"/>
      <color theme="1"/>
      <name val="Times New Roman"/>
      <family val="1"/>
    </font>
    <font>
      <u/>
      <sz val="11"/>
      <color theme="1"/>
      <name val="Times New Roman"/>
      <family val="1"/>
    </font>
    <font>
      <b/>
      <i/>
      <sz val="11"/>
      <color theme="1"/>
      <name val="Times New Roman"/>
      <family val="1"/>
    </font>
    <font>
      <sz val="12"/>
      <color theme="1"/>
      <name val="Calibri"/>
      <family val="2"/>
      <scheme val="minor"/>
    </font>
    <font>
      <b/>
      <sz val="11"/>
      <name val="Arial"/>
      <family val="2"/>
    </font>
    <font>
      <b/>
      <sz val="8"/>
      <name val="Arial"/>
      <family val="2"/>
    </font>
    <font>
      <sz val="11"/>
      <name val="Calibri"/>
      <family val="2"/>
    </font>
    <font>
      <b/>
      <sz val="11"/>
      <name val="Calibri"/>
      <family val="2"/>
    </font>
    <font>
      <sz val="8"/>
      <name val="Arial"/>
      <family val="2"/>
    </font>
  </fonts>
  <fills count="56">
    <fill>
      <patternFill patternType="none"/>
    </fill>
    <fill>
      <patternFill patternType="gray125"/>
    </fill>
    <fill>
      <patternFill patternType="solid">
        <fgColor rgb="FFFFFFCC"/>
        <bgColor indexed="64"/>
      </patternFill>
    </fill>
    <fill>
      <patternFill patternType="solid">
        <fgColor rgb="FFCCFFCC"/>
        <bgColor indexed="64"/>
      </patternFill>
    </fill>
    <fill>
      <patternFill patternType="solid">
        <fgColor rgb="FFCCCCFF"/>
        <bgColor indexed="64"/>
      </patternFill>
    </fill>
    <fill>
      <patternFill patternType="solid">
        <fgColor rgb="FFC6EFCE"/>
      </patternFill>
    </fill>
    <fill>
      <patternFill patternType="solid">
        <fgColor theme="0" tint="-0.14999847407452621"/>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
      <patternFill patternType="solid">
        <fgColor rgb="FFFFC1FF"/>
        <bgColor indexed="64"/>
      </patternFill>
    </fill>
    <fill>
      <patternFill patternType="solid">
        <fgColor theme="0"/>
        <bgColor indexed="64"/>
      </patternFill>
    </fill>
    <fill>
      <patternFill patternType="solid">
        <fgColor theme="9" tint="0.79998168889431442"/>
        <bgColor indexed="64"/>
      </patternFill>
    </fill>
    <fill>
      <patternFill patternType="solid">
        <fgColor rgb="FFCAE8AA"/>
        <bgColor indexed="64"/>
      </patternFill>
    </fill>
    <fill>
      <patternFill patternType="solid">
        <fgColor theme="1"/>
        <bgColor indexed="64"/>
      </patternFill>
    </fill>
    <fill>
      <patternFill patternType="solid">
        <fgColor theme="3" tint="0.59999389629810485"/>
        <bgColor indexed="64"/>
      </patternFill>
    </fill>
    <fill>
      <patternFill patternType="solid">
        <fgColor rgb="FFC9A6E4"/>
        <bgColor indexed="64"/>
      </patternFill>
    </fill>
    <fill>
      <patternFill patternType="solid">
        <fgColor theme="3" tint="0.79998168889431442"/>
        <bgColor indexed="64"/>
      </patternFill>
    </fill>
    <fill>
      <patternFill patternType="solid">
        <fgColor theme="5" tint="0.79998168889431442"/>
        <bgColor indexed="64"/>
      </patternFill>
    </fill>
    <fill>
      <patternFill patternType="solid">
        <fgColor rgb="FFFFFF00"/>
        <bgColor indexed="64"/>
      </patternFill>
    </fill>
    <fill>
      <patternFill patternType="solid">
        <fgColor indexed="9"/>
        <bgColor indexed="9"/>
      </patternFill>
    </fill>
    <fill>
      <patternFill patternType="solid">
        <fgColor rgb="FFFFC7CE"/>
      </patternFill>
    </fill>
    <fill>
      <patternFill patternType="solid">
        <fgColor rgb="FFFFCC99"/>
      </patternFill>
    </fill>
    <fill>
      <patternFill patternType="solid">
        <fgColor rgb="FFF2F2F2"/>
      </patternFill>
    </fill>
    <fill>
      <patternFill patternType="solid">
        <fgColor theme="0" tint="-4.9989318521683403E-2"/>
        <bgColor indexed="64"/>
      </patternFill>
    </fill>
    <fill>
      <patternFill patternType="solid">
        <fgColor rgb="FFC5D1FF"/>
        <bgColor indexed="64"/>
      </patternFill>
    </fill>
    <fill>
      <patternFill patternType="solid">
        <fgColor theme="0" tint="-0.249977111117893"/>
        <bgColor indexed="64"/>
      </patternFill>
    </fill>
    <fill>
      <patternFill patternType="solid">
        <fgColor rgb="FFFFCCFF"/>
        <bgColor indexed="64"/>
      </patternFill>
    </fill>
    <fill>
      <patternFill patternType="solid">
        <fgColor theme="6" tint="0.39997558519241921"/>
        <bgColor indexed="64"/>
      </patternFill>
    </fill>
    <fill>
      <patternFill patternType="solid">
        <fgColor theme="6" tint="0.59999389629810485"/>
        <bgColor rgb="FF000000"/>
      </patternFill>
    </fill>
    <fill>
      <patternFill patternType="solid">
        <fgColor theme="6" tint="0.59999389629810485"/>
        <bgColor indexed="64"/>
      </patternFill>
    </fill>
    <fill>
      <patternFill patternType="solid">
        <fgColor rgb="FFCCFFCC"/>
        <bgColor rgb="FF000000"/>
      </patternFill>
    </fill>
    <fill>
      <patternFill patternType="solid">
        <fgColor indexed="22"/>
        <bgColor indexed="64"/>
      </patternFill>
    </fill>
    <fill>
      <patternFill patternType="solid">
        <fgColor indexed="23"/>
        <bgColor indexed="64"/>
      </patternFill>
    </fill>
    <fill>
      <patternFill patternType="solid">
        <fgColor indexed="13"/>
        <bgColor indexed="64"/>
      </patternFill>
    </fill>
    <fill>
      <patternFill patternType="solid">
        <fgColor theme="8" tint="0.79998168889431442"/>
        <bgColor indexed="64"/>
      </patternFill>
    </fill>
    <fill>
      <patternFill patternType="solid">
        <fgColor theme="0" tint="-0.34998626667073579"/>
        <bgColor indexed="64"/>
      </patternFill>
    </fill>
  </fills>
  <borders count="64">
    <border>
      <left/>
      <right/>
      <top/>
      <bottom/>
      <diagonal/>
    </border>
    <border>
      <left/>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bottom/>
      <diagonal/>
    </border>
    <border>
      <left style="thin">
        <color indexed="64"/>
      </left>
      <right/>
      <top/>
      <bottom/>
      <diagonal/>
    </border>
    <border>
      <left/>
      <right/>
      <top/>
      <bottom style="double">
        <color indexed="64"/>
      </bottom>
      <diagonal/>
    </border>
    <border>
      <left style="thin">
        <color indexed="64"/>
      </left>
      <right style="thin">
        <color indexed="64"/>
      </right>
      <top style="thin">
        <color indexed="64"/>
      </top>
      <bottom style="thin">
        <color indexed="64"/>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right/>
      <top style="medium">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bottom style="thin">
        <color indexed="64"/>
      </bottom>
      <diagonal/>
    </border>
    <border>
      <left/>
      <right style="thin">
        <color indexed="64"/>
      </right>
      <top/>
      <bottom style="thin">
        <color indexed="64"/>
      </bottom>
      <diagonal/>
    </border>
    <border>
      <left style="medium">
        <color indexed="64"/>
      </left>
      <right style="medium">
        <color indexed="64"/>
      </right>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thin">
        <color indexed="64"/>
      </right>
      <top style="medium">
        <color indexed="64"/>
      </top>
      <bottom style="medium">
        <color indexed="64"/>
      </bottom>
      <diagonal/>
    </border>
    <border>
      <left/>
      <right style="thin">
        <color indexed="64"/>
      </right>
      <top style="medium">
        <color indexed="64"/>
      </top>
      <bottom style="thin">
        <color indexed="64"/>
      </bottom>
      <diagonal/>
    </border>
    <border>
      <left style="medium">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top style="medium">
        <color indexed="64"/>
      </top>
      <bottom/>
      <diagonal/>
    </border>
    <border>
      <left/>
      <right style="thin">
        <color indexed="64"/>
      </right>
      <top style="medium">
        <color indexed="64"/>
      </top>
      <bottom/>
      <diagonal/>
    </border>
    <border>
      <left style="thin">
        <color theme="1"/>
      </left>
      <right/>
      <top style="thin">
        <color theme="1"/>
      </top>
      <bottom style="thin">
        <color theme="1"/>
      </bottom>
      <diagonal/>
    </border>
    <border>
      <left/>
      <right/>
      <top style="thin">
        <color theme="1"/>
      </top>
      <bottom style="thin">
        <color theme="1"/>
      </bottom>
      <diagonal/>
    </border>
    <border>
      <left/>
      <right style="thin">
        <color theme="1"/>
      </right>
      <top style="thin">
        <color theme="1"/>
      </top>
      <bottom style="thin">
        <color theme="1"/>
      </bottom>
      <diagonal/>
    </border>
    <border>
      <left style="thin">
        <color theme="1"/>
      </left>
      <right style="thin">
        <color theme="1"/>
      </right>
      <top style="thin">
        <color theme="1"/>
      </top>
      <bottom style="thin">
        <color theme="1"/>
      </bottom>
      <diagonal/>
    </border>
    <border>
      <left style="thin">
        <color rgb="FF7F7F7F"/>
      </left>
      <right style="thin">
        <color rgb="FF7F7F7F"/>
      </right>
      <top style="thin">
        <color rgb="FF7F7F7F"/>
      </top>
      <bottom style="thin">
        <color rgb="FF7F7F7F"/>
      </bottom>
      <diagonal/>
    </border>
    <border>
      <left style="medium">
        <color indexed="64"/>
      </left>
      <right/>
      <top style="medium">
        <color indexed="64"/>
      </top>
      <bottom/>
      <diagonal/>
    </border>
    <border>
      <left style="medium">
        <color indexed="64"/>
      </left>
      <right/>
      <top/>
      <bottom style="medium">
        <color indexed="64"/>
      </bottom>
      <diagonal/>
    </border>
    <border>
      <left style="thin">
        <color indexed="64"/>
      </left>
      <right style="thin">
        <color indexed="64"/>
      </right>
      <top/>
      <bottom style="double">
        <color indexed="64"/>
      </bottom>
      <diagonal/>
    </border>
    <border>
      <left style="thin">
        <color indexed="64"/>
      </left>
      <right/>
      <top/>
      <bottom style="double">
        <color indexed="64"/>
      </bottom>
      <diagonal/>
    </border>
    <border>
      <left/>
      <right style="medium">
        <color indexed="64"/>
      </right>
      <top style="medium">
        <color indexed="64"/>
      </top>
      <bottom/>
      <diagonal/>
    </border>
    <border>
      <left/>
      <right style="medium">
        <color indexed="64"/>
      </right>
      <top/>
      <bottom style="thin">
        <color indexed="64"/>
      </bottom>
      <diagonal/>
    </border>
    <border>
      <left/>
      <right style="medium">
        <color indexed="64"/>
      </right>
      <top/>
      <bottom style="medium">
        <color indexed="64"/>
      </bottom>
      <diagonal/>
    </border>
    <border>
      <left/>
      <right/>
      <top style="thin">
        <color indexed="64"/>
      </top>
      <bottom style="double">
        <color indexed="64"/>
      </bottom>
      <diagonal/>
    </border>
  </borders>
  <cellStyleXfs count="74">
    <xf numFmtId="0" fontId="0" fillId="0" borderId="0"/>
    <xf numFmtId="9" fontId="7"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0" fontId="9" fillId="5" borderId="0" applyNumberFormat="0" applyBorder="0" applyAlignment="0" applyProtection="0"/>
    <xf numFmtId="0" fontId="15" fillId="0" borderId="0"/>
    <xf numFmtId="0" fontId="20" fillId="7" borderId="0" applyNumberFormat="0" applyBorder="0" applyAlignment="0" applyProtection="0"/>
    <xf numFmtId="0" fontId="20" fillId="8" borderId="0" applyNumberFormat="0" applyBorder="0" applyAlignment="0" applyProtection="0"/>
    <xf numFmtId="0" fontId="20" fillId="9" borderId="0" applyNumberFormat="0" applyBorder="0" applyAlignment="0" applyProtection="0"/>
    <xf numFmtId="0" fontId="20" fillId="10" borderId="0" applyNumberFormat="0" applyBorder="0" applyAlignment="0" applyProtection="0"/>
    <xf numFmtId="0" fontId="20" fillId="11" borderId="0" applyNumberFormat="0" applyBorder="0" applyAlignment="0" applyProtection="0"/>
    <xf numFmtId="0" fontId="20" fillId="12" borderId="0" applyNumberFormat="0" applyBorder="0" applyAlignment="0" applyProtection="0"/>
    <xf numFmtId="0" fontId="20" fillId="13" borderId="0" applyNumberFormat="0" applyBorder="0" applyAlignment="0" applyProtection="0"/>
    <xf numFmtId="0" fontId="20" fillId="14" borderId="0" applyNumberFormat="0" applyBorder="0" applyAlignment="0" applyProtection="0"/>
    <xf numFmtId="0" fontId="20" fillId="15" borderId="0" applyNumberFormat="0" applyBorder="0" applyAlignment="0" applyProtection="0"/>
    <xf numFmtId="0" fontId="20" fillId="10" borderId="0" applyNumberFormat="0" applyBorder="0" applyAlignment="0" applyProtection="0"/>
    <xf numFmtId="0" fontId="20" fillId="13" borderId="0" applyNumberFormat="0" applyBorder="0" applyAlignment="0" applyProtection="0"/>
    <xf numFmtId="0" fontId="20" fillId="16" borderId="0" applyNumberFormat="0" applyBorder="0" applyAlignment="0" applyProtection="0"/>
    <xf numFmtId="0" fontId="21" fillId="17" borderId="0" applyNumberFormat="0" applyBorder="0" applyAlignment="0" applyProtection="0"/>
    <xf numFmtId="0" fontId="21" fillId="14" borderId="0" applyNumberFormat="0" applyBorder="0" applyAlignment="0" applyProtection="0"/>
    <xf numFmtId="0" fontId="21" fillId="15" borderId="0" applyNumberFormat="0" applyBorder="0" applyAlignment="0" applyProtection="0"/>
    <xf numFmtId="0" fontId="21" fillId="18" borderId="0" applyNumberFormat="0" applyBorder="0" applyAlignment="0" applyProtection="0"/>
    <xf numFmtId="0" fontId="21" fillId="19" borderId="0" applyNumberFormat="0" applyBorder="0" applyAlignment="0" applyProtection="0"/>
    <xf numFmtId="0" fontId="21" fillId="20" borderId="0" applyNumberFormat="0" applyBorder="0" applyAlignment="0" applyProtection="0"/>
    <xf numFmtId="0" fontId="21" fillId="21" borderId="0" applyNumberFormat="0" applyBorder="0" applyAlignment="0" applyProtection="0"/>
    <xf numFmtId="0" fontId="21" fillId="22" borderId="0" applyNumberFormat="0" applyBorder="0" applyAlignment="0" applyProtection="0"/>
    <xf numFmtId="0" fontId="21" fillId="23" borderId="0" applyNumberFormat="0" applyBorder="0" applyAlignment="0" applyProtection="0"/>
    <xf numFmtId="0" fontId="21" fillId="18" borderId="0" applyNumberFormat="0" applyBorder="0" applyAlignment="0" applyProtection="0"/>
    <xf numFmtId="0" fontId="21" fillId="19" borderId="0" applyNumberFormat="0" applyBorder="0" applyAlignment="0" applyProtection="0"/>
    <xf numFmtId="0" fontId="21" fillId="24" borderId="0" applyNumberFormat="0" applyBorder="0" applyAlignment="0" applyProtection="0"/>
    <xf numFmtId="0" fontId="22" fillId="8" borderId="0" applyNumberFormat="0" applyBorder="0" applyAlignment="0" applyProtection="0"/>
    <xf numFmtId="0" fontId="23" fillId="25" borderId="8" applyNumberFormat="0" applyAlignment="0" applyProtection="0"/>
    <xf numFmtId="0" fontId="24" fillId="26" borderId="9" applyNumberFormat="0" applyAlignment="0" applyProtection="0"/>
    <xf numFmtId="44" fontId="17" fillId="0" borderId="0" applyFont="0" applyFill="0" applyBorder="0" applyAlignment="0" applyProtection="0"/>
    <xf numFmtId="44" fontId="17" fillId="0" borderId="0" applyFont="0" applyFill="0" applyBorder="0" applyAlignment="0" applyProtection="0"/>
    <xf numFmtId="0" fontId="25" fillId="0" borderId="0" applyNumberFormat="0" applyFill="0" applyBorder="0" applyAlignment="0" applyProtection="0"/>
    <xf numFmtId="0" fontId="18" fillId="9" borderId="0" applyNumberFormat="0" applyBorder="0" applyAlignment="0" applyProtection="0"/>
    <xf numFmtId="0" fontId="26" fillId="0" borderId="10" applyNumberFormat="0" applyFill="0" applyAlignment="0" applyProtection="0"/>
    <xf numFmtId="0" fontId="27" fillId="0" borderId="11" applyNumberFormat="0" applyFill="0" applyAlignment="0" applyProtection="0"/>
    <xf numFmtId="0" fontId="28" fillId="0" borderId="12" applyNumberFormat="0" applyFill="0" applyAlignment="0" applyProtection="0"/>
    <xf numFmtId="0" fontId="28" fillId="0" borderId="0" applyNumberFormat="0" applyFill="0" applyBorder="0" applyAlignment="0" applyProtection="0"/>
    <xf numFmtId="0" fontId="29" fillId="12" borderId="8" applyNumberFormat="0" applyAlignment="0" applyProtection="0"/>
    <xf numFmtId="0" fontId="30" fillId="0" borderId="13" applyNumberFormat="0" applyFill="0" applyAlignment="0" applyProtection="0"/>
    <xf numFmtId="0" fontId="31" fillId="27" borderId="0" applyNumberFormat="0" applyBorder="0" applyAlignment="0" applyProtection="0"/>
    <xf numFmtId="0" fontId="17" fillId="0" borderId="0"/>
    <xf numFmtId="0" fontId="17" fillId="28" borderId="14" applyNumberFormat="0" applyFont="0" applyAlignment="0" applyProtection="0"/>
    <xf numFmtId="0" fontId="32" fillId="25" borderId="15" applyNumberFormat="0" applyAlignment="0" applyProtection="0"/>
    <xf numFmtId="9" fontId="15" fillId="0" borderId="0" applyFont="0" applyFill="0" applyBorder="0" applyAlignment="0" applyProtection="0"/>
    <xf numFmtId="9" fontId="17" fillId="0" borderId="0" applyFont="0" applyFill="0" applyBorder="0" applyAlignment="0" applyProtection="0"/>
    <xf numFmtId="0" fontId="33" fillId="0" borderId="0" applyNumberFormat="0" applyFill="0" applyBorder="0" applyAlignment="0" applyProtection="0"/>
    <xf numFmtId="0" fontId="34" fillId="0" borderId="16" applyNumberFormat="0" applyFill="0" applyAlignment="0" applyProtection="0"/>
    <xf numFmtId="0" fontId="35" fillId="0" borderId="0" applyNumberFormat="0" applyFill="0" applyBorder="0" applyAlignment="0" applyProtection="0"/>
    <xf numFmtId="43" fontId="17" fillId="0" borderId="0" applyFont="0" applyFill="0" applyBorder="0" applyAlignment="0" applyProtection="0"/>
    <xf numFmtId="44" fontId="7" fillId="0" borderId="0" applyFont="0" applyFill="0" applyBorder="0" applyAlignment="0" applyProtection="0"/>
    <xf numFmtId="0" fontId="15" fillId="0" borderId="0"/>
    <xf numFmtId="0" fontId="7" fillId="0" borderId="0"/>
    <xf numFmtId="9" fontId="7" fillId="0" borderId="0" applyFont="0" applyFill="0" applyBorder="0" applyAlignment="0" applyProtection="0"/>
    <xf numFmtId="173" fontId="17" fillId="0" borderId="0">
      <alignment horizontal="right" wrapText="1"/>
    </xf>
    <xf numFmtId="164" fontId="56" fillId="0" borderId="0" applyFont="0" applyFill="0" applyBorder="0" applyAlignment="0" applyProtection="0"/>
    <xf numFmtId="3" fontId="17" fillId="0" borderId="0" applyFont="0" applyFill="0" applyBorder="0" applyAlignment="0" applyProtection="0"/>
    <xf numFmtId="0" fontId="17" fillId="0" borderId="0" applyFont="0" applyFill="0" applyBorder="0" applyAlignment="0" applyProtection="0"/>
    <xf numFmtId="2" fontId="17" fillId="39" borderId="0" applyFont="0" applyFill="0" applyBorder="0" applyAlignment="0" applyProtection="0"/>
    <xf numFmtId="174" fontId="57" fillId="0" borderId="0" applyNumberFormat="0" applyFill="0" applyBorder="0" applyProtection="0">
      <alignment horizontal="center"/>
    </xf>
    <xf numFmtId="0" fontId="17" fillId="0" borderId="0"/>
    <xf numFmtId="0" fontId="17" fillId="0" borderId="0"/>
    <xf numFmtId="0" fontId="7" fillId="0" borderId="0"/>
    <xf numFmtId="9" fontId="7" fillId="0" borderId="0" applyFont="0" applyFill="0" applyBorder="0" applyAlignment="0" applyProtection="0"/>
    <xf numFmtId="0" fontId="7" fillId="0" borderId="0"/>
    <xf numFmtId="9" fontId="7" fillId="0" borderId="0" applyFont="0" applyFill="0" applyBorder="0" applyAlignment="0" applyProtection="0"/>
    <xf numFmtId="0" fontId="58" fillId="40" borderId="0" applyNumberFormat="0" applyBorder="0" applyAlignment="0" applyProtection="0"/>
    <xf numFmtId="0" fontId="59" fillId="41" borderId="55" applyNumberFormat="0" applyAlignment="0" applyProtection="0"/>
    <xf numFmtId="0" fontId="60" fillId="42" borderId="55" applyNumberFormat="0" applyAlignment="0" applyProtection="0"/>
    <xf numFmtId="10" fontId="7" fillId="44" borderId="8" applyNumberFormat="0" applyBorder="0">
      <alignment horizontal="center"/>
    </xf>
    <xf numFmtId="0" fontId="15" fillId="0" borderId="0"/>
  </cellStyleXfs>
  <cellXfs count="832">
    <xf numFmtId="0" fontId="0" fillId="0" borderId="0" xfId="0"/>
    <xf numFmtId="0" fontId="0" fillId="0" borderId="0" xfId="0" applyAlignment="1">
      <alignment horizontal="left" indent="1"/>
    </xf>
    <xf numFmtId="0" fontId="0" fillId="0" borderId="0" xfId="0" applyAlignment="1">
      <alignment horizontal="left" indent="2"/>
    </xf>
    <xf numFmtId="0" fontId="1" fillId="0" borderId="0" xfId="0" applyFont="1" applyAlignment="1">
      <alignment horizontal="left" indent="1"/>
    </xf>
    <xf numFmtId="0" fontId="1" fillId="0" borderId="0" xfId="0" applyFont="1"/>
    <xf numFmtId="0" fontId="2" fillId="0" borderId="0" xfId="0" applyFont="1"/>
    <xf numFmtId="0" fontId="2" fillId="0" borderId="0" xfId="0" applyFont="1" applyAlignment="1">
      <alignment horizontal="center"/>
    </xf>
    <xf numFmtId="0" fontId="3" fillId="0" borderId="0" xfId="0" applyFont="1"/>
    <xf numFmtId="0" fontId="1" fillId="0" borderId="0" xfId="0" applyFont="1" applyAlignment="1">
      <alignment horizontal="left" indent="2"/>
    </xf>
    <xf numFmtId="0" fontId="0" fillId="0" borderId="0" xfId="0" applyFont="1" applyAlignment="1">
      <alignment horizontal="left" indent="2"/>
    </xf>
    <xf numFmtId="0" fontId="0" fillId="0" borderId="0" xfId="0" applyFont="1" applyAlignment="1">
      <alignment horizontal="left" indent="1"/>
    </xf>
    <xf numFmtId="164" fontId="0" fillId="0" borderId="0" xfId="0" applyNumberFormat="1"/>
    <xf numFmtId="164" fontId="1" fillId="0" borderId="0" xfId="0" applyNumberFormat="1" applyFont="1"/>
    <xf numFmtId="164" fontId="4" fillId="0" borderId="0" xfId="0" applyNumberFormat="1" applyFont="1"/>
    <xf numFmtId="165" fontId="0" fillId="0" borderId="0" xfId="0" applyNumberFormat="1"/>
    <xf numFmtId="165" fontId="4" fillId="0" borderId="0" xfId="0" applyNumberFormat="1" applyFont="1"/>
    <xf numFmtId="165" fontId="1" fillId="0" borderId="0" xfId="0" applyNumberFormat="1" applyFont="1"/>
    <xf numFmtId="0" fontId="2" fillId="2" borderId="0" xfId="0" applyFont="1" applyFill="1"/>
    <xf numFmtId="0" fontId="2" fillId="2" borderId="0" xfId="0" applyFont="1" applyFill="1" applyAlignment="1">
      <alignment horizontal="center"/>
    </xf>
    <xf numFmtId="0" fontId="1" fillId="2" borderId="0" xfId="0" applyFont="1" applyFill="1" applyAlignment="1">
      <alignment horizontal="left" indent="1"/>
    </xf>
    <xf numFmtId="0" fontId="0" fillId="2" borderId="0" xfId="0" applyFill="1"/>
    <xf numFmtId="0" fontId="0" fillId="2" borderId="0" xfId="0" applyFont="1" applyFill="1" applyAlignment="1">
      <alignment horizontal="left" indent="2"/>
    </xf>
    <xf numFmtId="5" fontId="0" fillId="2" borderId="0" xfId="0" applyNumberFormat="1" applyFill="1"/>
    <xf numFmtId="0" fontId="0" fillId="2" borderId="0" xfId="0" applyFont="1" applyFill="1" applyAlignment="1">
      <alignment horizontal="left" indent="1"/>
    </xf>
    <xf numFmtId="0" fontId="0" fillId="2" borderId="0" xfId="0" applyFill="1" applyAlignment="1">
      <alignment horizontal="left" indent="2"/>
    </xf>
    <xf numFmtId="5" fontId="4" fillId="2" borderId="0" xfId="0" applyNumberFormat="1" applyFont="1" applyFill="1"/>
    <xf numFmtId="0" fontId="1" fillId="2" borderId="0" xfId="0" applyFont="1" applyFill="1" applyAlignment="1">
      <alignment horizontal="left" indent="2"/>
    </xf>
    <xf numFmtId="5" fontId="1" fillId="2" borderId="0" xfId="0" applyNumberFormat="1" applyFont="1" applyFill="1"/>
    <xf numFmtId="0" fontId="2" fillId="3" borderId="0" xfId="0" applyFont="1" applyFill="1"/>
    <xf numFmtId="0" fontId="2" fillId="3" borderId="0" xfId="0" applyFont="1" applyFill="1" applyAlignment="1">
      <alignment horizontal="center"/>
    </xf>
    <xf numFmtId="0" fontId="1" fillId="3" borderId="0" xfId="0" applyFont="1" applyFill="1" applyAlignment="1">
      <alignment horizontal="left" indent="1"/>
    </xf>
    <xf numFmtId="0" fontId="0" fillId="3" borderId="0" xfId="0" applyFill="1"/>
    <xf numFmtId="0" fontId="0" fillId="3" borderId="0" xfId="0" applyFont="1" applyFill="1" applyAlignment="1">
      <alignment horizontal="left" indent="2"/>
    </xf>
    <xf numFmtId="5" fontId="0" fillId="3" borderId="0" xfId="0" applyNumberFormat="1" applyFill="1"/>
    <xf numFmtId="0" fontId="0" fillId="3" borderId="0" xfId="0" applyFont="1" applyFill="1" applyAlignment="1">
      <alignment horizontal="left" indent="1"/>
    </xf>
    <xf numFmtId="0" fontId="0" fillId="3" borderId="0" xfId="0" applyFill="1" applyAlignment="1">
      <alignment horizontal="left" indent="2"/>
    </xf>
    <xf numFmtId="5" fontId="4" fillId="3" borderId="0" xfId="0" applyNumberFormat="1" applyFont="1" applyFill="1"/>
    <xf numFmtId="0" fontId="1" fillId="3" borderId="0" xfId="0" applyFont="1" applyFill="1" applyAlignment="1">
      <alignment horizontal="left" indent="2"/>
    </xf>
    <xf numFmtId="5" fontId="1" fillId="3" borderId="0" xfId="0" applyNumberFormat="1" applyFont="1" applyFill="1"/>
    <xf numFmtId="0" fontId="2" fillId="4" borderId="0" xfId="0" applyFont="1" applyFill="1"/>
    <xf numFmtId="0" fontId="2" fillId="4" borderId="0" xfId="0" applyFont="1" applyFill="1" applyAlignment="1">
      <alignment horizontal="center"/>
    </xf>
    <xf numFmtId="0" fontId="1" fillId="4" borderId="0" xfId="0" applyFont="1" applyFill="1" applyAlignment="1">
      <alignment horizontal="left" indent="1"/>
    </xf>
    <xf numFmtId="0" fontId="0" fillId="4" borderId="0" xfId="0" applyFill="1"/>
    <xf numFmtId="0" fontId="0" fillId="4" borderId="0" xfId="0" applyFont="1" applyFill="1" applyAlignment="1">
      <alignment horizontal="left" indent="2"/>
    </xf>
    <xf numFmtId="5" fontId="0" fillId="4" borderId="0" xfId="0" applyNumberFormat="1" applyFill="1"/>
    <xf numFmtId="0" fontId="0" fillId="4" borderId="0" xfId="0" applyFont="1" applyFill="1" applyAlignment="1">
      <alignment horizontal="left" indent="1"/>
    </xf>
    <xf numFmtId="0" fontId="0" fillId="4" borderId="0" xfId="0" applyFill="1" applyAlignment="1">
      <alignment horizontal="left" indent="2"/>
    </xf>
    <xf numFmtId="5" fontId="4" fillId="4" borderId="0" xfId="0" applyNumberFormat="1" applyFont="1" applyFill="1"/>
    <xf numFmtId="0" fontId="1" fillId="4" borderId="0" xfId="0" applyFont="1" applyFill="1" applyAlignment="1">
      <alignment horizontal="left" indent="2"/>
    </xf>
    <xf numFmtId="5" fontId="1" fillId="4" borderId="0" xfId="0" applyNumberFormat="1" applyFont="1" applyFill="1"/>
    <xf numFmtId="0" fontId="2" fillId="0" borderId="0" xfId="0" applyFont="1" applyAlignment="1">
      <alignment horizontal="left" indent="1"/>
    </xf>
    <xf numFmtId="0" fontId="2" fillId="2" borderId="0" xfId="0" applyFont="1" applyFill="1" applyAlignment="1">
      <alignment horizontal="left" indent="1"/>
    </xf>
    <xf numFmtId="0" fontId="2" fillId="4" borderId="0" xfId="0" applyFont="1" applyFill="1" applyAlignment="1">
      <alignment horizontal="left" indent="1"/>
    </xf>
    <xf numFmtId="0" fontId="2" fillId="3" borderId="0" xfId="0" applyFont="1" applyFill="1" applyAlignment="1">
      <alignment horizontal="left" indent="1"/>
    </xf>
    <xf numFmtId="5" fontId="0" fillId="0" borderId="0" xfId="0" applyNumberFormat="1"/>
    <xf numFmtId="5" fontId="4" fillId="0" borderId="0" xfId="0" applyNumberFormat="1" applyFont="1"/>
    <xf numFmtId="5" fontId="1" fillId="0" borderId="0" xfId="0" applyNumberFormat="1" applyFont="1"/>
    <xf numFmtId="0" fontId="5" fillId="0" borderId="0" xfId="0" applyFont="1" applyFill="1" applyAlignment="1">
      <alignment vertical="center"/>
    </xf>
    <xf numFmtId="0" fontId="5" fillId="0" borderId="0" xfId="0" applyFont="1" applyAlignment="1">
      <alignment horizontal="left" indent="1"/>
    </xf>
    <xf numFmtId="39" fontId="0" fillId="0" borderId="0" xfId="0" applyNumberFormat="1"/>
    <xf numFmtId="39" fontId="1" fillId="0" borderId="0" xfId="0" applyNumberFormat="1" applyFont="1"/>
    <xf numFmtId="39" fontId="4" fillId="0" borderId="0" xfId="0" applyNumberFormat="1" applyFont="1"/>
    <xf numFmtId="0" fontId="6" fillId="0" borderId="0" xfId="0" applyFont="1"/>
    <xf numFmtId="9" fontId="0" fillId="0" borderId="0" xfId="1" applyFont="1"/>
    <xf numFmtId="166" fontId="0" fillId="0" borderId="0" xfId="0" applyNumberFormat="1"/>
    <xf numFmtId="166" fontId="1" fillId="0" borderId="0" xfId="0" applyNumberFormat="1" applyFont="1"/>
    <xf numFmtId="166" fontId="2" fillId="0" borderId="0" xfId="0" applyNumberFormat="1" applyFont="1" applyAlignment="1">
      <alignment horizontal="center"/>
    </xf>
    <xf numFmtId="5" fontId="0" fillId="0" borderId="0" xfId="0" applyNumberFormat="1" applyFont="1"/>
    <xf numFmtId="0" fontId="3" fillId="0" borderId="0" xfId="0" applyFont="1" applyFill="1"/>
    <xf numFmtId="0" fontId="0" fillId="0" borderId="0" xfId="0" applyFill="1"/>
    <xf numFmtId="0" fontId="2" fillId="0" borderId="0" xfId="0" applyFont="1" applyAlignment="1">
      <alignment horizontal="right"/>
    </xf>
    <xf numFmtId="5" fontId="0" fillId="3" borderId="0" xfId="0" applyNumberFormat="1" applyFont="1" applyFill="1"/>
    <xf numFmtId="0" fontId="8" fillId="0" borderId="0" xfId="0" applyFont="1"/>
    <xf numFmtId="0" fontId="0" fillId="0" borderId="0" xfId="0" applyBorder="1"/>
    <xf numFmtId="0" fontId="1" fillId="0" borderId="1" xfId="0" applyFont="1" applyBorder="1"/>
    <xf numFmtId="0" fontId="1" fillId="0" borderId="3" xfId="0" applyFont="1" applyBorder="1"/>
    <xf numFmtId="0" fontId="0" fillId="0" borderId="5" xfId="0" applyBorder="1"/>
    <xf numFmtId="0" fontId="1" fillId="0" borderId="0" xfId="0" applyFont="1" applyAlignment="1">
      <alignment horizontal="right"/>
    </xf>
    <xf numFmtId="0" fontId="1" fillId="0" borderId="0" xfId="0" applyFont="1" applyAlignment="1">
      <alignment horizontal="left"/>
    </xf>
    <xf numFmtId="167" fontId="0" fillId="0" borderId="0" xfId="2" applyNumberFormat="1" applyFont="1"/>
    <xf numFmtId="0" fontId="10" fillId="0" borderId="0" xfId="0" applyFont="1"/>
    <xf numFmtId="0" fontId="11" fillId="0" borderId="0" xfId="0" applyFont="1" applyAlignment="1">
      <alignment vertical="top" wrapText="1"/>
    </xf>
    <xf numFmtId="0" fontId="12" fillId="0" borderId="0" xfId="0" applyFont="1" applyAlignment="1">
      <alignment vertical="top" wrapText="1"/>
    </xf>
    <xf numFmtId="0" fontId="1" fillId="0" borderId="1" xfId="0" applyFont="1" applyBorder="1" applyAlignment="1">
      <alignment horizontal="center"/>
    </xf>
    <xf numFmtId="0" fontId="1" fillId="6" borderId="7" xfId="0" applyFont="1" applyFill="1" applyBorder="1" applyAlignment="1">
      <alignment horizontal="center"/>
    </xf>
    <xf numFmtId="0" fontId="1" fillId="0" borderId="0" xfId="0" applyFont="1" applyAlignment="1">
      <alignment horizontal="center"/>
    </xf>
    <xf numFmtId="0" fontId="13" fillId="0" borderId="0" xfId="0" applyFont="1" applyFill="1" applyAlignment="1">
      <alignment horizontal="left" indent="2"/>
    </xf>
    <xf numFmtId="0" fontId="0" fillId="6" borderId="0" xfId="0" applyFill="1"/>
    <xf numFmtId="0" fontId="1" fillId="0" borderId="0" xfId="0" applyFont="1" applyFill="1" applyAlignment="1">
      <alignment horizontal="right"/>
    </xf>
    <xf numFmtId="167" fontId="0" fillId="6" borderId="0" xfId="2" applyNumberFormat="1" applyFont="1" applyFill="1"/>
    <xf numFmtId="168" fontId="0" fillId="0" borderId="0" xfId="3" applyNumberFormat="1" applyFont="1"/>
    <xf numFmtId="168" fontId="1" fillId="0" borderId="0" xfId="3" applyNumberFormat="1" applyFont="1" applyFill="1" applyAlignment="1">
      <alignment horizontal="right"/>
    </xf>
    <xf numFmtId="168" fontId="0" fillId="6" borderId="0" xfId="3" applyNumberFormat="1" applyFont="1" applyFill="1"/>
    <xf numFmtId="0" fontId="13" fillId="0" borderId="0" xfId="0" applyFont="1" applyFill="1" applyAlignment="1">
      <alignment horizontal="center"/>
    </xf>
    <xf numFmtId="167" fontId="14" fillId="0" borderId="0" xfId="2" applyNumberFormat="1" applyFont="1"/>
    <xf numFmtId="167" fontId="14" fillId="6" borderId="0" xfId="2" applyNumberFormat="1" applyFont="1" applyFill="1"/>
    <xf numFmtId="167" fontId="1" fillId="0" borderId="0" xfId="2" applyNumberFormat="1" applyFont="1" applyFill="1" applyAlignment="1">
      <alignment horizontal="right"/>
    </xf>
    <xf numFmtId="168" fontId="14" fillId="0" borderId="0" xfId="3" applyNumberFormat="1" applyFont="1"/>
    <xf numFmtId="168" fontId="14" fillId="6" borderId="0" xfId="3" applyNumberFormat="1" applyFont="1" applyFill="1"/>
    <xf numFmtId="0" fontId="1" fillId="0" borderId="0" xfId="0" applyFont="1" applyFill="1" applyAlignment="1">
      <alignment horizontal="center"/>
    </xf>
    <xf numFmtId="0" fontId="13" fillId="0" borderId="0" xfId="0" applyFont="1" applyFill="1" applyBorder="1" applyAlignment="1">
      <alignment horizontal="center"/>
    </xf>
    <xf numFmtId="0" fontId="2" fillId="6" borderId="0" xfId="0" applyFont="1" applyFill="1" applyAlignment="1">
      <alignment horizontal="center"/>
    </xf>
    <xf numFmtId="0" fontId="2" fillId="0" borderId="0" xfId="0" applyFont="1" applyFill="1" applyBorder="1" applyAlignment="1">
      <alignment horizontal="center"/>
    </xf>
    <xf numFmtId="0" fontId="2" fillId="0" borderId="0" xfId="0" applyFont="1" applyFill="1" applyBorder="1" applyAlignment="1">
      <alignment horizontal="left" indent="1"/>
    </xf>
    <xf numFmtId="0" fontId="0" fillId="0" borderId="0" xfId="0" applyFont="1" applyFill="1" applyBorder="1" applyAlignment="1">
      <alignment horizontal="right" indent="2"/>
    </xf>
    <xf numFmtId="0" fontId="0" fillId="0" borderId="0" xfId="0" applyFont="1" applyFill="1" applyBorder="1" applyAlignment="1">
      <alignment horizontal="right" indent="1"/>
    </xf>
    <xf numFmtId="0" fontId="1" fillId="0" borderId="0" xfId="0" applyFont="1" applyFill="1" applyBorder="1" applyAlignment="1">
      <alignment horizontal="right" indent="2"/>
    </xf>
    <xf numFmtId="0" fontId="0" fillId="0" borderId="0" xfId="0" applyFill="1" applyBorder="1" applyAlignment="1">
      <alignment horizontal="right" indent="2"/>
    </xf>
    <xf numFmtId="0" fontId="1" fillId="0" borderId="0" xfId="0" applyFont="1" applyFill="1" applyBorder="1" applyAlignment="1">
      <alignment horizontal="left" indent="2"/>
    </xf>
    <xf numFmtId="0" fontId="1" fillId="0" borderId="0" xfId="0" applyFont="1" applyFill="1" applyBorder="1" applyAlignment="1">
      <alignment horizontal="right" indent="1"/>
    </xf>
    <xf numFmtId="0" fontId="14" fillId="6" borderId="0" xfId="0" applyFont="1" applyFill="1"/>
    <xf numFmtId="169" fontId="36" fillId="0" borderId="0" xfId="0" applyNumberFormat="1" applyFont="1" applyFill="1"/>
    <xf numFmtId="0" fontId="47" fillId="0" borderId="2" xfId="0" applyFont="1" applyFill="1" applyBorder="1"/>
    <xf numFmtId="5" fontId="46" fillId="6" borderId="4" xfId="2" applyNumberFormat="1" applyFont="1" applyFill="1" applyBorder="1"/>
    <xf numFmtId="5" fontId="46" fillId="31" borderId="4" xfId="2" applyNumberFormat="1" applyFont="1" applyFill="1" applyBorder="1"/>
    <xf numFmtId="0" fontId="45" fillId="0" borderId="19" xfId="0" applyFont="1" applyBorder="1"/>
    <xf numFmtId="0" fontId="45" fillId="0" borderId="7" xfId="0" applyFont="1" applyFill="1" applyBorder="1"/>
    <xf numFmtId="5" fontId="44" fillId="6" borderId="21" xfId="2" applyNumberFormat="1" applyFont="1" applyFill="1" applyBorder="1"/>
    <xf numFmtId="5" fontId="44" fillId="31" borderId="21" xfId="2" applyNumberFormat="1" applyFont="1" applyFill="1" applyBorder="1"/>
    <xf numFmtId="0" fontId="45" fillId="0" borderId="22" xfId="0" applyFont="1" applyBorder="1"/>
    <xf numFmtId="0" fontId="45" fillId="0" borderId="21" xfId="0" applyFont="1" applyFill="1" applyBorder="1"/>
    <xf numFmtId="0" fontId="44" fillId="0" borderId="0" xfId="0" applyFont="1"/>
    <xf numFmtId="167" fontId="8" fillId="32" borderId="7" xfId="2" applyNumberFormat="1" applyFont="1" applyFill="1" applyBorder="1" applyAlignment="1">
      <alignment horizontal="center"/>
    </xf>
    <xf numFmtId="0" fontId="8" fillId="32" borderId="7" xfId="3" applyNumberFormat="1" applyFont="1" applyFill="1" applyBorder="1" applyAlignment="1">
      <alignment horizontal="center"/>
    </xf>
    <xf numFmtId="0" fontId="43" fillId="30" borderId="0" xfId="0" applyFont="1" applyFill="1" applyAlignment="1">
      <alignment horizontal="center"/>
    </xf>
    <xf numFmtId="167" fontId="43" fillId="30" borderId="0" xfId="2" applyNumberFormat="1" applyFont="1" applyFill="1" applyAlignment="1">
      <alignment horizontal="center"/>
    </xf>
    <xf numFmtId="167" fontId="43" fillId="30" borderId="0" xfId="2" applyNumberFormat="1" applyFont="1" applyFill="1" applyBorder="1" applyAlignment="1">
      <alignment horizontal="center"/>
    </xf>
    <xf numFmtId="0" fontId="42" fillId="30" borderId="0" xfId="0" applyFont="1" applyFill="1"/>
    <xf numFmtId="0" fontId="0" fillId="30" borderId="0" xfId="0" applyFill="1" applyBorder="1"/>
    <xf numFmtId="0" fontId="0" fillId="30" borderId="0" xfId="0" applyFill="1"/>
    <xf numFmtId="167" fontId="0" fillId="30" borderId="0" xfId="2" applyNumberFormat="1" applyFont="1" applyFill="1"/>
    <xf numFmtId="169" fontId="0" fillId="0" borderId="0" xfId="0" applyNumberFormat="1" applyFill="1" applyBorder="1"/>
    <xf numFmtId="5" fontId="0" fillId="0" borderId="0" xfId="0" applyNumberFormat="1" applyFill="1" applyAlignment="1">
      <alignment horizontal="right"/>
    </xf>
    <xf numFmtId="0" fontId="41" fillId="0" borderId="0" xfId="0" applyFont="1" applyAlignment="1">
      <alignment horizontal="right"/>
    </xf>
    <xf numFmtId="169" fontId="0" fillId="0" borderId="0" xfId="0" applyNumberFormat="1" applyFill="1" applyAlignment="1">
      <alignment horizontal="right"/>
    </xf>
    <xf numFmtId="9" fontId="0" fillId="0" borderId="0" xfId="47" applyFont="1" applyFill="1"/>
    <xf numFmtId="169" fontId="16" fillId="29" borderId="0" xfId="0" applyNumberFormat="1" applyFont="1" applyFill="1" applyAlignment="1">
      <alignment horizontal="right"/>
    </xf>
    <xf numFmtId="169" fontId="16" fillId="0" borderId="0" xfId="0" applyNumberFormat="1" applyFont="1" applyFill="1"/>
    <xf numFmtId="0" fontId="16" fillId="0" borderId="0" xfId="0" applyFont="1" applyAlignment="1">
      <alignment horizontal="left"/>
    </xf>
    <xf numFmtId="169" fontId="16" fillId="0" borderId="0" xfId="0" applyNumberFormat="1" applyFont="1"/>
    <xf numFmtId="169" fontId="36" fillId="29" borderId="0" xfId="0" applyNumberFormat="1" applyFont="1" applyFill="1" applyAlignment="1">
      <alignment horizontal="right"/>
    </xf>
    <xf numFmtId="169" fontId="0" fillId="0" borderId="0" xfId="0" applyNumberFormat="1" applyFill="1"/>
    <xf numFmtId="169" fontId="0" fillId="29" borderId="0" xfId="0" applyNumberFormat="1" applyFill="1" applyAlignment="1">
      <alignment horizontal="right"/>
    </xf>
    <xf numFmtId="169" fontId="0" fillId="0" borderId="0" xfId="0" applyNumberFormat="1"/>
    <xf numFmtId="0" fontId="16" fillId="0" borderId="0" xfId="0" applyFont="1"/>
    <xf numFmtId="0" fontId="0" fillId="0" borderId="0" xfId="0" applyFill="1" applyAlignment="1">
      <alignment horizontal="right"/>
    </xf>
    <xf numFmtId="0" fontId="19" fillId="0" borderId="0" xfId="0" applyFont="1"/>
    <xf numFmtId="0" fontId="45" fillId="0" borderId="3" xfId="0" applyFont="1" applyBorder="1"/>
    <xf numFmtId="5" fontId="47" fillId="31" borderId="2" xfId="2" applyNumberFormat="1" applyFont="1" applyFill="1" applyBorder="1"/>
    <xf numFmtId="5" fontId="47" fillId="6" borderId="2" xfId="2" applyNumberFormat="1" applyFont="1" applyFill="1" applyBorder="1"/>
    <xf numFmtId="0" fontId="47" fillId="0" borderId="4" xfId="0" applyFont="1" applyFill="1" applyBorder="1"/>
    <xf numFmtId="5" fontId="47" fillId="0" borderId="2" xfId="2" applyNumberFormat="1" applyFont="1" applyFill="1" applyBorder="1"/>
    <xf numFmtId="5" fontId="47" fillId="0" borderId="4" xfId="2" applyNumberFormat="1" applyFont="1" applyFill="1" applyBorder="1"/>
    <xf numFmtId="5" fontId="45" fillId="31" borderId="21" xfId="2" applyNumberFormat="1" applyFont="1" applyFill="1" applyBorder="1"/>
    <xf numFmtId="5" fontId="48" fillId="31" borderId="4" xfId="2" applyNumberFormat="1" applyFont="1" applyFill="1" applyBorder="1"/>
    <xf numFmtId="171" fontId="45" fillId="31" borderId="3" xfId="1" applyNumberFormat="1" applyFont="1" applyFill="1" applyBorder="1"/>
    <xf numFmtId="171" fontId="45" fillId="0" borderId="3" xfId="1" applyNumberFormat="1" applyFont="1" applyFill="1" applyBorder="1"/>
    <xf numFmtId="5" fontId="47" fillId="0" borderId="7" xfId="2" applyNumberFormat="1" applyFont="1" applyFill="1" applyBorder="1"/>
    <xf numFmtId="5" fontId="47" fillId="0" borderId="20" xfId="2" applyNumberFormat="1" applyFont="1" applyFill="1" applyBorder="1"/>
    <xf numFmtId="0" fontId="45" fillId="0" borderId="2" xfId="0" applyFont="1" applyBorder="1"/>
    <xf numFmtId="171" fontId="44" fillId="31" borderId="3" xfId="1" applyNumberFormat="1" applyFont="1" applyFill="1" applyBorder="1"/>
    <xf numFmtId="167" fontId="44" fillId="0" borderId="2" xfId="2" applyNumberFormat="1" applyFont="1" applyBorder="1"/>
    <xf numFmtId="167" fontId="8" fillId="6" borderId="23" xfId="2" applyNumberFormat="1" applyFont="1" applyFill="1" applyBorder="1"/>
    <xf numFmtId="5" fontId="44" fillId="0" borderId="0" xfId="0" applyNumberFormat="1" applyFont="1"/>
    <xf numFmtId="0" fontId="45" fillId="0" borderId="21" xfId="0" applyFont="1" applyBorder="1"/>
    <xf numFmtId="171" fontId="44" fillId="31" borderId="22" xfId="1" applyNumberFormat="1" applyFont="1" applyFill="1" applyBorder="1"/>
    <xf numFmtId="167" fontId="44" fillId="0" borderId="7" xfId="2" applyNumberFormat="1" applyFont="1" applyBorder="1"/>
    <xf numFmtId="167" fontId="8" fillId="6" borderId="24" xfId="2" applyNumberFormat="1" applyFont="1" applyFill="1" applyBorder="1"/>
    <xf numFmtId="0" fontId="45" fillId="0" borderId="25" xfId="0" applyFont="1" applyBorder="1"/>
    <xf numFmtId="171" fontId="44" fillId="31" borderId="26" xfId="1" applyNumberFormat="1" applyFont="1" applyFill="1" applyBorder="1"/>
    <xf numFmtId="167" fontId="44" fillId="0" borderId="25" xfId="2" applyNumberFormat="1" applyFont="1" applyBorder="1"/>
    <xf numFmtId="167" fontId="8" fillId="6" borderId="27" xfId="2" applyNumberFormat="1" applyFont="1" applyFill="1" applyBorder="1"/>
    <xf numFmtId="0" fontId="8" fillId="6" borderId="28" xfId="0" applyFont="1" applyFill="1" applyBorder="1"/>
    <xf numFmtId="171" fontId="8" fillId="6" borderId="29" xfId="1" applyNumberFormat="1" applyFont="1" applyFill="1" applyBorder="1"/>
    <xf numFmtId="167" fontId="8" fillId="6" borderId="28" xfId="2" applyNumberFormat="1" applyFont="1" applyFill="1" applyBorder="1"/>
    <xf numFmtId="167" fontId="8" fillId="6" borderId="30" xfId="2" applyNumberFormat="1" applyFont="1" applyFill="1" applyBorder="1"/>
    <xf numFmtId="0" fontId="44" fillId="0" borderId="2" xfId="0" applyFont="1" applyBorder="1"/>
    <xf numFmtId="167" fontId="44" fillId="0" borderId="3" xfId="2" applyNumberFormat="1" applyFont="1" applyBorder="1"/>
    <xf numFmtId="167" fontId="44" fillId="0" borderId="0" xfId="0" applyNumberFormat="1" applyFont="1"/>
    <xf numFmtId="0" fontId="44" fillId="0" borderId="7" xfId="0" applyFont="1" applyBorder="1"/>
    <xf numFmtId="171" fontId="44" fillId="31" borderId="19" xfId="0" applyNumberFormat="1" applyFont="1" applyFill="1" applyBorder="1"/>
    <xf numFmtId="167" fontId="44" fillId="0" borderId="19" xfId="2" applyNumberFormat="1" applyFont="1" applyBorder="1"/>
    <xf numFmtId="171" fontId="44" fillId="31" borderId="3" xfId="0" applyNumberFormat="1" applyFont="1" applyFill="1" applyBorder="1"/>
    <xf numFmtId="0" fontId="44" fillId="30" borderId="0" xfId="0" applyFont="1" applyFill="1"/>
    <xf numFmtId="167" fontId="44" fillId="30" borderId="0" xfId="2" applyNumberFormat="1" applyFont="1" applyFill="1"/>
    <xf numFmtId="0" fontId="44" fillId="0" borderId="30" xfId="0" applyFont="1" applyBorder="1"/>
    <xf numFmtId="0" fontId="44" fillId="0" borderId="28" xfId="0" applyFont="1" applyBorder="1"/>
    <xf numFmtId="171" fontId="44" fillId="0" borderId="28" xfId="1" applyNumberFormat="1" applyFont="1" applyBorder="1" applyAlignment="1">
      <alignment horizontal="center"/>
    </xf>
    <xf numFmtId="167" fontId="44" fillId="33" borderId="31" xfId="2" applyNumberFormat="1" applyFont="1" applyFill="1" applyBorder="1"/>
    <xf numFmtId="0" fontId="44" fillId="30" borderId="0" xfId="0" applyFont="1" applyFill="1" applyBorder="1"/>
    <xf numFmtId="171" fontId="44" fillId="30" borderId="0" xfId="1" applyNumberFormat="1" applyFont="1" applyFill="1" applyBorder="1" applyAlignment="1">
      <alignment horizontal="center"/>
    </xf>
    <xf numFmtId="167" fontId="44" fillId="30" borderId="0" xfId="2" applyNumberFormat="1" applyFont="1" applyFill="1" applyBorder="1"/>
    <xf numFmtId="0" fontId="8" fillId="32" borderId="33" xfId="0" applyFont="1" applyFill="1" applyBorder="1" applyAlignment="1"/>
    <xf numFmtId="0" fontId="8" fillId="32" borderId="34" xfId="0" applyFont="1" applyFill="1" applyBorder="1" applyAlignment="1"/>
    <xf numFmtId="0" fontId="8" fillId="32" borderId="35" xfId="3" applyNumberFormat="1" applyFont="1" applyFill="1" applyBorder="1" applyAlignment="1">
      <alignment horizontal="center"/>
    </xf>
    <xf numFmtId="167" fontId="8" fillId="32" borderId="36" xfId="2" applyNumberFormat="1" applyFont="1" applyFill="1" applyBorder="1" applyAlignment="1">
      <alignment horizontal="center"/>
    </xf>
    <xf numFmtId="168" fontId="44" fillId="0" borderId="38" xfId="3" applyNumberFormat="1" applyFont="1" applyBorder="1"/>
    <xf numFmtId="168" fontId="44" fillId="0" borderId="2" xfId="3" applyNumberFormat="1" applyFont="1" applyBorder="1"/>
    <xf numFmtId="168" fontId="44" fillId="0" borderId="2" xfId="3" applyNumberFormat="1" applyFont="1" applyFill="1" applyBorder="1"/>
    <xf numFmtId="168" fontId="44" fillId="0" borderId="3" xfId="3" applyNumberFormat="1" applyFont="1" applyBorder="1"/>
    <xf numFmtId="168" fontId="8" fillId="6" borderId="39" xfId="3" applyNumberFormat="1" applyFont="1" applyFill="1" applyBorder="1"/>
    <xf numFmtId="168" fontId="44" fillId="0" borderId="20" xfId="3" applyNumberFormat="1" applyFont="1" applyBorder="1"/>
    <xf numFmtId="168" fontId="44" fillId="0" borderId="7" xfId="3" applyNumberFormat="1" applyFont="1" applyBorder="1"/>
    <xf numFmtId="168" fontId="44" fillId="0" borderId="7" xfId="3" applyNumberFormat="1" applyFont="1" applyFill="1" applyBorder="1"/>
    <xf numFmtId="168" fontId="44" fillId="0" borderId="19" xfId="3" applyNumberFormat="1" applyFont="1" applyBorder="1"/>
    <xf numFmtId="168" fontId="8" fillId="6" borderId="42" xfId="3" applyNumberFormat="1" applyFont="1" applyFill="1" applyBorder="1"/>
    <xf numFmtId="168" fontId="8" fillId="6" borderId="43" xfId="3" applyNumberFormat="1" applyFont="1" applyFill="1" applyBorder="1"/>
    <xf numFmtId="168" fontId="8" fillId="6" borderId="28" xfId="3" applyNumberFormat="1" applyFont="1" applyFill="1" applyBorder="1"/>
    <xf numFmtId="168" fontId="8" fillId="6" borderId="29" xfId="3" applyNumberFormat="1" applyFont="1" applyFill="1" applyBorder="1"/>
    <xf numFmtId="168" fontId="8" fillId="6" borderId="31" xfId="3" applyNumberFormat="1" applyFont="1" applyFill="1" applyBorder="1"/>
    <xf numFmtId="0" fontId="45" fillId="30" borderId="0" xfId="0" applyFont="1" applyFill="1"/>
    <xf numFmtId="0" fontId="8" fillId="32" borderId="44" xfId="0" applyFont="1" applyFill="1" applyBorder="1" applyAlignment="1"/>
    <xf numFmtId="167" fontId="0" fillId="0" borderId="0" xfId="2" applyNumberFormat="1" applyFont="1" applyFill="1"/>
    <xf numFmtId="0" fontId="50" fillId="35" borderId="22" xfId="0" applyFont="1" applyFill="1" applyBorder="1"/>
    <xf numFmtId="0" fontId="51" fillId="35" borderId="46" xfId="0" applyFont="1" applyFill="1" applyBorder="1"/>
    <xf numFmtId="167" fontId="51" fillId="35" borderId="46" xfId="2" applyNumberFormat="1" applyFont="1" applyFill="1" applyBorder="1"/>
    <xf numFmtId="167" fontId="51" fillId="35" borderId="47" xfId="2" applyNumberFormat="1" applyFont="1" applyFill="1" applyBorder="1"/>
    <xf numFmtId="0" fontId="0" fillId="30" borderId="5" xfId="0" applyFill="1" applyBorder="1"/>
    <xf numFmtId="167" fontId="0" fillId="30" borderId="0" xfId="2" applyNumberFormat="1" applyFont="1" applyFill="1" applyBorder="1"/>
    <xf numFmtId="167" fontId="0" fillId="30" borderId="48" xfId="2" applyNumberFormat="1" applyFont="1" applyFill="1" applyBorder="1"/>
    <xf numFmtId="167" fontId="8" fillId="32" borderId="35" xfId="2" applyNumberFormat="1" applyFont="1" applyFill="1" applyBorder="1" applyAlignment="1">
      <alignment horizontal="center"/>
    </xf>
    <xf numFmtId="0" fontId="45" fillId="0" borderId="22" xfId="0" applyFont="1" applyFill="1" applyBorder="1"/>
    <xf numFmtId="0" fontId="45" fillId="0" borderId="47" xfId="0" applyFont="1" applyBorder="1"/>
    <xf numFmtId="5" fontId="44" fillId="31" borderId="48" xfId="2" applyNumberFormat="1" applyFont="1" applyFill="1" applyBorder="1"/>
    <xf numFmtId="167" fontId="8" fillId="6" borderId="21" xfId="2" applyNumberFormat="1" applyFont="1" applyFill="1" applyBorder="1"/>
    <xf numFmtId="0" fontId="45" fillId="0" borderId="5" xfId="0" applyFont="1" applyFill="1" applyBorder="1"/>
    <xf numFmtId="0" fontId="45" fillId="0" borderId="48" xfId="0" applyFont="1" applyBorder="1"/>
    <xf numFmtId="5" fontId="46" fillId="31" borderId="48" xfId="2" applyNumberFormat="1" applyFont="1" applyFill="1" applyBorder="1"/>
    <xf numFmtId="167" fontId="8" fillId="6" borderId="4" xfId="2" applyNumberFormat="1" applyFont="1" applyFill="1" applyBorder="1"/>
    <xf numFmtId="0" fontId="1" fillId="30" borderId="3" xfId="0" applyFont="1" applyFill="1" applyBorder="1"/>
    <xf numFmtId="0" fontId="0" fillId="30" borderId="38" xfId="0" applyFill="1" applyBorder="1"/>
    <xf numFmtId="5" fontId="8" fillId="0" borderId="2" xfId="2" applyNumberFormat="1" applyFont="1" applyFill="1" applyBorder="1"/>
    <xf numFmtId="5" fontId="8" fillId="0" borderId="3" xfId="2" applyNumberFormat="1" applyFont="1" applyFill="1" applyBorder="1"/>
    <xf numFmtId="9" fontId="44" fillId="30" borderId="0" xfId="1" applyFont="1" applyFill="1" applyBorder="1"/>
    <xf numFmtId="9" fontId="44" fillId="30" borderId="48" xfId="1" applyFont="1" applyFill="1" applyBorder="1"/>
    <xf numFmtId="0" fontId="8" fillId="30" borderId="22" xfId="0" applyFont="1" applyFill="1" applyBorder="1"/>
    <xf numFmtId="0" fontId="1" fillId="30" borderId="47" xfId="0" applyFont="1" applyFill="1" applyBorder="1"/>
    <xf numFmtId="5" fontId="8" fillId="0" borderId="7" xfId="2" applyNumberFormat="1" applyFont="1" applyFill="1" applyBorder="1"/>
    <xf numFmtId="5" fontId="8" fillId="0" borderId="47" xfId="2" applyNumberFormat="1" applyFont="1" applyFill="1" applyBorder="1"/>
    <xf numFmtId="0" fontId="0" fillId="30" borderId="48" xfId="0" applyFill="1" applyBorder="1"/>
    <xf numFmtId="0" fontId="0" fillId="30" borderId="3" xfId="0" applyFill="1" applyBorder="1"/>
    <xf numFmtId="5" fontId="44" fillId="31" borderId="38" xfId="2" applyNumberFormat="1" applyFont="1" applyFill="1" applyBorder="1"/>
    <xf numFmtId="167" fontId="8" fillId="6" borderId="2" xfId="2" applyNumberFormat="1" applyFont="1" applyFill="1" applyBorder="1"/>
    <xf numFmtId="0" fontId="4" fillId="0" borderId="0" xfId="0" applyFont="1"/>
    <xf numFmtId="42" fontId="1" fillId="36" borderId="54" xfId="0" applyNumberFormat="1" applyFont="1" applyFill="1" applyBorder="1"/>
    <xf numFmtId="42" fontId="0" fillId="0" borderId="0" xfId="0" applyNumberFormat="1"/>
    <xf numFmtId="49" fontId="1" fillId="0" borderId="0" xfId="0" applyNumberFormat="1" applyFont="1" applyAlignment="1">
      <alignment horizontal="center"/>
    </xf>
    <xf numFmtId="42" fontId="1" fillId="37" borderId="7" xfId="0" applyNumberFormat="1" applyFont="1" applyFill="1" applyBorder="1"/>
    <xf numFmtId="167" fontId="0" fillId="0" borderId="0" xfId="0" applyNumberFormat="1"/>
    <xf numFmtId="169" fontId="0" fillId="0" borderId="0" xfId="0" applyNumberFormat="1" applyFont="1"/>
    <xf numFmtId="172" fontId="0" fillId="0" borderId="0" xfId="0" applyNumberFormat="1"/>
    <xf numFmtId="0" fontId="1" fillId="6" borderId="2" xfId="0" applyFont="1" applyFill="1" applyBorder="1"/>
    <xf numFmtId="0" fontId="0" fillId="0" borderId="0" xfId="0" applyAlignment="1">
      <alignment horizontal="right"/>
    </xf>
    <xf numFmtId="0" fontId="0" fillId="0" borderId="0" xfId="0" applyFont="1"/>
    <xf numFmtId="44" fontId="0" fillId="0" borderId="0" xfId="0" applyNumberFormat="1"/>
    <xf numFmtId="3" fontId="62" fillId="40" borderId="7" xfId="69" applyNumberFormat="1" applyFont="1" applyBorder="1" applyAlignment="1">
      <alignment horizontal="center"/>
    </xf>
    <xf numFmtId="0" fontId="63" fillId="44" borderId="7" xfId="72" applyNumberFormat="1" applyFont="1" applyBorder="1" applyAlignment="1">
      <alignment horizontal="left"/>
    </xf>
    <xf numFmtId="0" fontId="61" fillId="44" borderId="7" xfId="72" applyNumberFormat="1" applyFont="1" applyBorder="1">
      <alignment horizontal="center"/>
    </xf>
    <xf numFmtId="0" fontId="61" fillId="0" borderId="0" xfId="0" applyFont="1"/>
    <xf numFmtId="0" fontId="64" fillId="5" borderId="7" xfId="4" applyFont="1" applyBorder="1" applyAlignment="1">
      <alignment wrapText="1"/>
    </xf>
    <xf numFmtId="3" fontId="64" fillId="5" borderId="7" xfId="4" applyNumberFormat="1" applyFont="1" applyBorder="1" applyAlignment="1">
      <alignment horizontal="center"/>
    </xf>
    <xf numFmtId="3" fontId="61" fillId="0" borderId="0" xfId="0" applyNumberFormat="1" applyFont="1"/>
    <xf numFmtId="0" fontId="61" fillId="0" borderId="0" xfId="0" applyFont="1" applyAlignment="1">
      <alignment horizontal="center"/>
    </xf>
    <xf numFmtId="0" fontId="62" fillId="40" borderId="7" xfId="69" applyFont="1" applyBorder="1"/>
    <xf numFmtId="0" fontId="62" fillId="40" borderId="7" xfId="69" applyFont="1" applyBorder="1" applyAlignment="1">
      <alignment wrapText="1"/>
    </xf>
    <xf numFmtId="0" fontId="61" fillId="38" borderId="0" xfId="0" applyFont="1" applyFill="1"/>
    <xf numFmtId="3" fontId="61" fillId="0" borderId="0" xfId="0" applyNumberFormat="1" applyFont="1" applyAlignment="1">
      <alignment horizontal="center"/>
    </xf>
    <xf numFmtId="0" fontId="67" fillId="42" borderId="55" xfId="71" applyFont="1"/>
    <xf numFmtId="171" fontId="67" fillId="42" borderId="55" xfId="71" applyNumberFormat="1" applyFont="1" applyAlignment="1">
      <alignment horizontal="center"/>
    </xf>
    <xf numFmtId="10" fontId="67" fillId="42" borderId="55" xfId="71" applyNumberFormat="1" applyFont="1" applyAlignment="1">
      <alignment horizontal="center"/>
    </xf>
    <xf numFmtId="0" fontId="67" fillId="42" borderId="55" xfId="71" applyFont="1" applyAlignment="1">
      <alignment horizontal="right"/>
    </xf>
    <xf numFmtId="0" fontId="67" fillId="30" borderId="7" xfId="71" applyFont="1" applyFill="1" applyBorder="1" applyAlignment="1">
      <alignment horizontal="right"/>
    </xf>
    <xf numFmtId="10" fontId="67" fillId="30" borderId="7" xfId="71" applyNumberFormat="1" applyFont="1" applyFill="1" applyBorder="1" applyAlignment="1">
      <alignment horizontal="center"/>
    </xf>
    <xf numFmtId="0" fontId="61" fillId="30" borderId="0" xfId="0" applyFont="1" applyFill="1"/>
    <xf numFmtId="0" fontId="64" fillId="30" borderId="0" xfId="4" applyFont="1" applyFill="1" applyBorder="1" applyAlignment="1">
      <alignment wrapText="1"/>
    </xf>
    <xf numFmtId="3" fontId="64" fillId="30" borderId="0" xfId="4" applyNumberFormat="1" applyFont="1" applyFill="1" applyBorder="1" applyAlignment="1">
      <alignment horizontal="center"/>
    </xf>
    <xf numFmtId="3" fontId="61" fillId="30" borderId="0" xfId="0" applyNumberFormat="1" applyFont="1" applyFill="1"/>
    <xf numFmtId="0" fontId="67" fillId="30" borderId="55" xfId="71" applyFont="1" applyFill="1" applyAlignment="1">
      <alignment horizontal="right"/>
    </xf>
    <xf numFmtId="10" fontId="67" fillId="30" borderId="55" xfId="71" applyNumberFormat="1" applyFont="1" applyFill="1" applyAlignment="1">
      <alignment horizontal="center"/>
    </xf>
    <xf numFmtId="0" fontId="63" fillId="0" borderId="0" xfId="0" applyFont="1"/>
    <xf numFmtId="0" fontId="59" fillId="41" borderId="55" xfId="70"/>
    <xf numFmtId="0" fontId="60" fillId="42" borderId="55" xfId="71"/>
    <xf numFmtId="1" fontId="59" fillId="41" borderId="55" xfId="70" applyNumberFormat="1"/>
    <xf numFmtId="2" fontId="61" fillId="0" borderId="0" xfId="0" applyNumberFormat="1" applyFont="1"/>
    <xf numFmtId="10" fontId="61" fillId="0" borderId="0" xfId="0" applyNumberFormat="1" applyFont="1"/>
    <xf numFmtId="9" fontId="61" fillId="0" borderId="0" xfId="0" applyNumberFormat="1" applyFont="1"/>
    <xf numFmtId="0" fontId="61" fillId="0" borderId="0" xfId="0" applyFont="1" applyAlignment="1">
      <alignment horizontal="right"/>
    </xf>
    <xf numFmtId="1" fontId="61" fillId="0" borderId="0" xfId="0" applyNumberFormat="1" applyFont="1"/>
    <xf numFmtId="0" fontId="63" fillId="36" borderId="7" xfId="72" applyNumberFormat="1" applyFont="1" applyFill="1" applyBorder="1" applyAlignment="1">
      <alignment horizontal="left"/>
    </xf>
    <xf numFmtId="0" fontId="63" fillId="36" borderId="7" xfId="72" applyNumberFormat="1" applyFont="1" applyFill="1" applyBorder="1" applyAlignment="1">
      <alignment horizontal="right"/>
    </xf>
    <xf numFmtId="0" fontId="61" fillId="36" borderId="7" xfId="72" applyNumberFormat="1" applyFont="1" applyFill="1" applyBorder="1">
      <alignment horizontal="center"/>
    </xf>
    <xf numFmtId="0" fontId="68" fillId="42" borderId="55" xfId="71" applyFont="1"/>
    <xf numFmtId="10" fontId="68" fillId="42" borderId="55" xfId="71" applyNumberFormat="1" applyFont="1" applyAlignment="1">
      <alignment horizontal="right"/>
    </xf>
    <xf numFmtId="10" fontId="68" fillId="42" borderId="55" xfId="71" applyNumberFormat="1" applyFont="1" applyAlignment="1">
      <alignment horizontal="center"/>
    </xf>
    <xf numFmtId="0" fontId="61" fillId="42" borderId="55" xfId="71" applyFont="1" applyAlignment="1">
      <alignment horizontal="left"/>
    </xf>
    <xf numFmtId="10" fontId="61" fillId="42" borderId="55" xfId="71" applyNumberFormat="1" applyFont="1" applyAlignment="1">
      <alignment horizontal="right"/>
    </xf>
    <xf numFmtId="10" fontId="61" fillId="42" borderId="55" xfId="71" applyNumberFormat="1" applyFont="1" applyAlignment="1">
      <alignment horizontal="center"/>
    </xf>
    <xf numFmtId="0" fontId="68" fillId="43" borderId="7" xfId="72" applyNumberFormat="1" applyFont="1" applyFill="1" applyBorder="1" applyAlignment="1">
      <alignment horizontal="left"/>
    </xf>
    <xf numFmtId="3" fontId="68" fillId="43" borderId="7" xfId="72" applyNumberFormat="1" applyFont="1" applyFill="1" applyBorder="1" applyAlignment="1">
      <alignment horizontal="right"/>
    </xf>
    <xf numFmtId="0" fontId="68" fillId="30" borderId="0" xfId="0" applyFont="1" applyFill="1"/>
    <xf numFmtId="0" fontId="0" fillId="43" borderId="7" xfId="0" applyFill="1" applyBorder="1"/>
    <xf numFmtId="3" fontId="61" fillId="43" borderId="7" xfId="3" applyNumberFormat="1" applyFont="1" applyFill="1" applyBorder="1" applyAlignment="1">
      <alignment horizontal="right" vertical="center"/>
    </xf>
    <xf numFmtId="3" fontId="69" fillId="43" borderId="4" xfId="0" applyNumberFormat="1" applyFont="1" applyFill="1" applyBorder="1" applyAlignment="1">
      <alignment horizontal="right"/>
    </xf>
    <xf numFmtId="0" fontId="1" fillId="43" borderId="7" xfId="0" applyFont="1" applyFill="1" applyBorder="1"/>
    <xf numFmtId="3" fontId="63" fillId="43" borderId="7" xfId="0" applyNumberFormat="1" applyFont="1" applyFill="1" applyBorder="1" applyAlignment="1">
      <alignment horizontal="right"/>
    </xf>
    <xf numFmtId="0" fontId="1" fillId="36" borderId="7" xfId="0" applyFont="1" applyFill="1" applyBorder="1"/>
    <xf numFmtId="0" fontId="68" fillId="43" borderId="7" xfId="0" applyFont="1" applyFill="1" applyBorder="1"/>
    <xf numFmtId="3" fontId="68" fillId="43" borderId="7" xfId="0" applyNumberFormat="1" applyFont="1" applyFill="1" applyBorder="1"/>
    <xf numFmtId="0" fontId="61" fillId="43" borderId="7" xfId="0" applyFont="1" applyFill="1" applyBorder="1"/>
    <xf numFmtId="3" fontId="61" fillId="43" borderId="7" xfId="0" applyNumberFormat="1" applyFont="1" applyFill="1" applyBorder="1"/>
    <xf numFmtId="0" fontId="0" fillId="0" borderId="0" xfId="0" applyAlignment="1">
      <alignment horizontal="left"/>
    </xf>
    <xf numFmtId="0" fontId="0" fillId="0" borderId="0" xfId="0" applyAlignment="1">
      <alignment horizontal="center"/>
    </xf>
    <xf numFmtId="176" fontId="0" fillId="0" borderId="0" xfId="3" applyNumberFormat="1" applyFont="1"/>
    <xf numFmtId="0" fontId="0" fillId="0" borderId="7" xfId="0" applyBorder="1" applyAlignment="1">
      <alignment horizontal="center"/>
    </xf>
    <xf numFmtId="7" fontId="1" fillId="0" borderId="0" xfId="0" applyNumberFormat="1" applyFont="1"/>
    <xf numFmtId="0" fontId="0" fillId="45" borderId="0" xfId="0" applyFill="1"/>
    <xf numFmtId="169" fontId="0" fillId="45" borderId="0" xfId="0" applyNumberFormat="1" applyFill="1"/>
    <xf numFmtId="169" fontId="0" fillId="6" borderId="4" xfId="0" applyNumberFormat="1" applyFill="1" applyBorder="1"/>
    <xf numFmtId="169" fontId="0" fillId="0" borderId="5" xfId="0" applyNumberFormat="1" applyBorder="1"/>
    <xf numFmtId="169" fontId="0" fillId="6" borderId="0" xfId="0" applyNumberFormat="1" applyFill="1"/>
    <xf numFmtId="169" fontId="7" fillId="0" borderId="0" xfId="2" applyNumberFormat="1" applyFont="1" applyFill="1"/>
    <xf numFmtId="167" fontId="7" fillId="0" borderId="0" xfId="2" applyNumberFormat="1" applyFont="1" applyFill="1"/>
    <xf numFmtId="169" fontId="0" fillId="0" borderId="3" xfId="0" applyNumberFormat="1" applyBorder="1"/>
    <xf numFmtId="169" fontId="0" fillId="0" borderId="46" xfId="0" applyNumberFormat="1" applyBorder="1"/>
    <xf numFmtId="169" fontId="0" fillId="6" borderId="21" xfId="0" applyNumberFormat="1" applyFill="1" applyBorder="1"/>
    <xf numFmtId="5" fontId="0" fillId="6" borderId="4" xfId="0" applyNumberFormat="1" applyFill="1" applyBorder="1"/>
    <xf numFmtId="169" fontId="0" fillId="0" borderId="1" xfId="0" applyNumberFormat="1" applyBorder="1"/>
    <xf numFmtId="169" fontId="0" fillId="6" borderId="2" xfId="0" applyNumberFormat="1" applyFill="1" applyBorder="1"/>
    <xf numFmtId="169" fontId="0" fillId="0" borderId="6" xfId="0" applyNumberFormat="1" applyBorder="1"/>
    <xf numFmtId="169" fontId="0" fillId="6" borderId="58" xfId="0" applyNumberFormat="1" applyFill="1" applyBorder="1"/>
    <xf numFmtId="169" fontId="0" fillId="0" borderId="59" xfId="0" applyNumberFormat="1" applyBorder="1"/>
    <xf numFmtId="169" fontId="0" fillId="0" borderId="0" xfId="0" applyNumberFormat="1" applyBorder="1"/>
    <xf numFmtId="0" fontId="11" fillId="0" borderId="0" xfId="0" applyFont="1"/>
    <xf numFmtId="0" fontId="0" fillId="0" borderId="1" xfId="0" applyBorder="1"/>
    <xf numFmtId="0" fontId="0" fillId="45" borderId="4" xfId="0" applyFill="1" applyBorder="1"/>
    <xf numFmtId="169" fontId="0" fillId="0" borderId="47" xfId="0" applyNumberFormat="1" applyBorder="1"/>
    <xf numFmtId="169" fontId="0" fillId="6" borderId="48" xfId="0" applyNumberFormat="1" applyFill="1" applyBorder="1"/>
    <xf numFmtId="169" fontId="0" fillId="0" borderId="48" xfId="0" applyNumberFormat="1" applyBorder="1"/>
    <xf numFmtId="167" fontId="7" fillId="0" borderId="48" xfId="2" applyNumberFormat="1" applyFont="1" applyFill="1" applyBorder="1"/>
    <xf numFmtId="169" fontId="0" fillId="0" borderId="48" xfId="0" applyNumberFormat="1" applyFill="1" applyBorder="1"/>
    <xf numFmtId="169" fontId="0" fillId="0" borderId="38" xfId="0" applyNumberFormat="1" applyBorder="1"/>
    <xf numFmtId="169" fontId="0" fillId="6" borderId="0" xfId="0" applyNumberFormat="1" applyFill="1" applyBorder="1"/>
    <xf numFmtId="0" fontId="0" fillId="0" borderId="56" xfId="0" applyBorder="1"/>
    <xf numFmtId="167" fontId="0" fillId="0" borderId="60" xfId="0" applyNumberFormat="1" applyBorder="1"/>
    <xf numFmtId="0" fontId="0" fillId="0" borderId="37" xfId="0" applyBorder="1"/>
    <xf numFmtId="167" fontId="0" fillId="0" borderId="61" xfId="0" applyNumberFormat="1" applyBorder="1"/>
    <xf numFmtId="0" fontId="0" fillId="0" borderId="57" xfId="0" applyBorder="1"/>
    <xf numFmtId="167" fontId="0" fillId="0" borderId="62" xfId="0" applyNumberFormat="1" applyBorder="1"/>
    <xf numFmtId="9" fontId="0" fillId="0" borderId="0" xfId="1" applyFont="1" applyAlignment="1">
      <alignment horizontal="left"/>
    </xf>
    <xf numFmtId="5" fontId="0" fillId="0" borderId="0" xfId="2" applyNumberFormat="1" applyFont="1"/>
    <xf numFmtId="5" fontId="0" fillId="45" borderId="4" xfId="2" applyNumberFormat="1" applyFont="1" applyFill="1" applyBorder="1"/>
    <xf numFmtId="5" fontId="0" fillId="0" borderId="1" xfId="2" applyNumberFormat="1" applyFont="1" applyBorder="1"/>
    <xf numFmtId="5" fontId="0" fillId="45" borderId="4" xfId="0" applyNumberFormat="1" applyFill="1" applyBorder="1"/>
    <xf numFmtId="5" fontId="0" fillId="0" borderId="0" xfId="0" applyNumberFormat="1" applyBorder="1"/>
    <xf numFmtId="5" fontId="0" fillId="0" borderId="60" xfId="0" applyNumberFormat="1" applyBorder="1"/>
    <xf numFmtId="5" fontId="0" fillId="0" borderId="61" xfId="0" applyNumberFormat="1" applyBorder="1"/>
    <xf numFmtId="0" fontId="0" fillId="0" borderId="57" xfId="0" applyBorder="1" applyAlignment="1">
      <alignment horizontal="left"/>
    </xf>
    <xf numFmtId="5" fontId="0" fillId="0" borderId="62" xfId="0" applyNumberFormat="1" applyBorder="1"/>
    <xf numFmtId="177" fontId="0" fillId="0" borderId="0" xfId="0" applyNumberFormat="1"/>
    <xf numFmtId="177" fontId="0" fillId="45" borderId="4" xfId="0" applyNumberFormat="1" applyFill="1" applyBorder="1"/>
    <xf numFmtId="9" fontId="0" fillId="0" borderId="0" xfId="1" applyNumberFormat="1" applyFont="1" applyAlignment="1">
      <alignment horizontal="left"/>
    </xf>
    <xf numFmtId="0" fontId="1" fillId="0" borderId="0" xfId="0" applyFont="1" applyBorder="1"/>
    <xf numFmtId="5" fontId="0" fillId="0" borderId="0" xfId="3" applyNumberFormat="1" applyFont="1"/>
    <xf numFmtId="167" fontId="0" fillId="0" borderId="0" xfId="3" applyNumberFormat="1" applyFont="1"/>
    <xf numFmtId="175" fontId="0" fillId="0" borderId="0" xfId="3" applyNumberFormat="1" applyFont="1"/>
    <xf numFmtId="169" fontId="0" fillId="0" borderId="0" xfId="3" applyNumberFormat="1" applyFont="1"/>
    <xf numFmtId="1" fontId="0" fillId="0" borderId="0" xfId="0" applyNumberFormat="1"/>
    <xf numFmtId="168" fontId="0" fillId="0" borderId="7" xfId="3" applyNumberFormat="1" applyFont="1" applyBorder="1" applyAlignment="1">
      <alignment horizontal="right"/>
    </xf>
    <xf numFmtId="1" fontId="0" fillId="0" borderId="7" xfId="0" applyNumberFormat="1" applyBorder="1" applyAlignment="1">
      <alignment horizontal="right"/>
    </xf>
    <xf numFmtId="5" fontId="0" fillId="0" borderId="7" xfId="2" applyNumberFormat="1" applyFont="1" applyBorder="1" applyAlignment="1">
      <alignment horizontal="right"/>
    </xf>
    <xf numFmtId="169" fontId="0" fillId="0" borderId="7" xfId="0" applyNumberFormat="1" applyBorder="1" applyAlignment="1">
      <alignment horizontal="right"/>
    </xf>
    <xf numFmtId="176" fontId="0" fillId="0" borderId="7" xfId="3" applyNumberFormat="1" applyFont="1" applyBorder="1" applyAlignment="1">
      <alignment horizontal="right"/>
    </xf>
    <xf numFmtId="0" fontId="0" fillId="0" borderId="7" xfId="0" applyBorder="1"/>
    <xf numFmtId="171" fontId="0" fillId="0" borderId="7" xfId="1" applyNumberFormat="1" applyFont="1" applyBorder="1"/>
    <xf numFmtId="171" fontId="61" fillId="43" borderId="7" xfId="1" applyNumberFormat="1" applyFont="1" applyFill="1" applyBorder="1"/>
    <xf numFmtId="42" fontId="0" fillId="0" borderId="61" xfId="0" applyNumberFormat="1" applyBorder="1"/>
    <xf numFmtId="5" fontId="51" fillId="0" borderId="1" xfId="0" applyNumberFormat="1" applyFont="1" applyFill="1" applyBorder="1"/>
    <xf numFmtId="0" fontId="72" fillId="0" borderId="0" xfId="0" applyFont="1" applyAlignment="1">
      <alignment horizontal="left" vertical="center"/>
    </xf>
    <xf numFmtId="0" fontId="0" fillId="0" borderId="0" xfId="0" applyFont="1" applyBorder="1"/>
    <xf numFmtId="0" fontId="73" fillId="0" borderId="0" xfId="0" applyFont="1" applyBorder="1" applyAlignment="1">
      <alignment horizontal="center"/>
    </xf>
    <xf numFmtId="0" fontId="1" fillId="0" borderId="7" xfId="0" applyFont="1" applyBorder="1"/>
    <xf numFmtId="0" fontId="74" fillId="0" borderId="19" xfId="0" applyFont="1" applyBorder="1"/>
    <xf numFmtId="0" fontId="74" fillId="0" borderId="7" xfId="0" applyFont="1" applyBorder="1"/>
    <xf numFmtId="0" fontId="74" fillId="0" borderId="41" xfId="0" applyFont="1" applyBorder="1"/>
    <xf numFmtId="0" fontId="74" fillId="0" borderId="20" xfId="0" applyFont="1" applyBorder="1"/>
    <xf numFmtId="0" fontId="0" fillId="0" borderId="3" xfId="0" applyFont="1" applyFill="1" applyBorder="1"/>
    <xf numFmtId="169" fontId="0" fillId="0" borderId="2" xfId="0" applyNumberFormat="1" applyBorder="1"/>
    <xf numFmtId="0" fontId="73" fillId="0" borderId="1" xfId="0" applyFont="1" applyBorder="1" applyAlignment="1">
      <alignment horizontal="center"/>
    </xf>
    <xf numFmtId="0" fontId="0" fillId="0" borderId="1" xfId="0" applyFont="1" applyBorder="1"/>
    <xf numFmtId="0" fontId="75" fillId="0" borderId="7" xfId="0" applyFont="1" applyFill="1" applyBorder="1"/>
    <xf numFmtId="0" fontId="75" fillId="0" borderId="19" xfId="0" applyFont="1" applyBorder="1"/>
    <xf numFmtId="0" fontId="75" fillId="0" borderId="7" xfId="0" applyFont="1" applyBorder="1"/>
    <xf numFmtId="0" fontId="75" fillId="0" borderId="41" xfId="0" applyFont="1" applyBorder="1"/>
    <xf numFmtId="0" fontId="75" fillId="0" borderId="20" xfId="0" applyFont="1" applyBorder="1"/>
    <xf numFmtId="0" fontId="76" fillId="0" borderId="22" xfId="0" applyFont="1" applyFill="1" applyBorder="1"/>
    <xf numFmtId="5" fontId="76" fillId="0" borderId="0" xfId="0" applyNumberFormat="1" applyFont="1" applyBorder="1"/>
    <xf numFmtId="5" fontId="76" fillId="0" borderId="4" xfId="0" applyNumberFormat="1" applyFont="1" applyBorder="1"/>
    <xf numFmtId="5" fontId="76" fillId="0" borderId="21" xfId="0" applyNumberFormat="1" applyFont="1" applyBorder="1"/>
    <xf numFmtId="5" fontId="76" fillId="0" borderId="48" xfId="0" applyNumberFormat="1" applyFont="1" applyBorder="1"/>
    <xf numFmtId="0" fontId="76" fillId="0" borderId="5" xfId="0" applyFont="1" applyFill="1" applyBorder="1"/>
    <xf numFmtId="5" fontId="77" fillId="0" borderId="0" xfId="0" applyNumberFormat="1" applyFont="1" applyBorder="1"/>
    <xf numFmtId="5" fontId="77" fillId="0" borderId="4" xfId="0" applyNumberFormat="1" applyFont="1" applyBorder="1"/>
    <xf numFmtId="5" fontId="77" fillId="0" borderId="48" xfId="0" applyNumberFormat="1" applyFont="1" applyBorder="1"/>
    <xf numFmtId="0" fontId="76" fillId="0" borderId="3" xfId="0" applyFont="1" applyFill="1" applyBorder="1"/>
    <xf numFmtId="5" fontId="76" fillId="0" borderId="1" xfId="0" applyNumberFormat="1" applyFont="1" applyBorder="1"/>
    <xf numFmtId="5" fontId="76" fillId="0" borderId="2" xfId="0" applyNumberFormat="1" applyFont="1" applyBorder="1"/>
    <xf numFmtId="5" fontId="76" fillId="0" borderId="38" xfId="0" applyNumberFormat="1" applyFont="1" applyBorder="1"/>
    <xf numFmtId="0" fontId="78" fillId="0" borderId="19" xfId="0" applyFont="1" applyBorder="1" applyAlignment="1">
      <alignment horizontal="left" vertical="center"/>
    </xf>
    <xf numFmtId="0" fontId="79" fillId="0" borderId="19" xfId="0" applyFont="1" applyBorder="1"/>
    <xf numFmtId="0" fontId="79" fillId="0" borderId="7" xfId="0" applyFont="1" applyBorder="1"/>
    <xf numFmtId="0" fontId="79" fillId="0" borderId="41" xfId="0" applyFont="1" applyBorder="1"/>
    <xf numFmtId="0" fontId="79" fillId="0" borderId="20" xfId="0" applyFont="1" applyBorder="1"/>
    <xf numFmtId="0" fontId="79" fillId="0" borderId="5" xfId="0" applyFont="1" applyFill="1" applyBorder="1"/>
    <xf numFmtId="169" fontId="79" fillId="0" borderId="5" xfId="0" applyNumberFormat="1" applyFont="1" applyFill="1" applyBorder="1"/>
    <xf numFmtId="169" fontId="79" fillId="0" borderId="4" xfId="0" applyNumberFormat="1" applyFont="1" applyFill="1" applyBorder="1"/>
    <xf numFmtId="169" fontId="78" fillId="0" borderId="5" xfId="0" applyNumberFormat="1" applyFont="1" applyFill="1" applyBorder="1"/>
    <xf numFmtId="169" fontId="78" fillId="0" borderId="4" xfId="0" applyNumberFormat="1" applyFont="1" applyFill="1" applyBorder="1"/>
    <xf numFmtId="0" fontId="79" fillId="0" borderId="3" xfId="0" applyFont="1" applyFill="1" applyBorder="1"/>
    <xf numFmtId="169" fontId="79" fillId="0" borderId="1" xfId="0" applyNumberFormat="1" applyFont="1" applyFill="1" applyBorder="1"/>
    <xf numFmtId="169" fontId="79" fillId="0" borderId="2" xfId="0" applyNumberFormat="1" applyFont="1" applyFill="1" applyBorder="1"/>
    <xf numFmtId="169" fontId="79" fillId="0" borderId="38" xfId="0" applyNumberFormat="1" applyFont="1" applyFill="1" applyBorder="1"/>
    <xf numFmtId="0" fontId="0" fillId="0" borderId="0" xfId="0" applyFont="1" applyFill="1" applyBorder="1" applyAlignment="1">
      <alignment horizontal="right"/>
    </xf>
    <xf numFmtId="0" fontId="5" fillId="0" borderId="7" xfId="0" applyFont="1" applyFill="1" applyBorder="1"/>
    <xf numFmtId="0" fontId="5" fillId="0" borderId="22" xfId="0" applyFont="1" applyFill="1" applyBorder="1"/>
    <xf numFmtId="0" fontId="5" fillId="0" borderId="21" xfId="0" applyFont="1" applyFill="1" applyBorder="1"/>
    <xf numFmtId="0" fontId="5" fillId="0" borderId="47" xfId="0" applyFont="1" applyFill="1" applyBorder="1"/>
    <xf numFmtId="0" fontId="5" fillId="0" borderId="46" xfId="0" applyFont="1" applyFill="1" applyBorder="1"/>
    <xf numFmtId="0" fontId="80" fillId="0" borderId="22" xfId="0" applyFont="1" applyFill="1" applyBorder="1"/>
    <xf numFmtId="169" fontId="80" fillId="0" borderId="22" xfId="0" applyNumberFormat="1" applyFont="1" applyFill="1" applyBorder="1"/>
    <xf numFmtId="169" fontId="80" fillId="0" borderId="21" xfId="0" applyNumberFormat="1" applyFont="1" applyFill="1" applyBorder="1"/>
    <xf numFmtId="0" fontId="80" fillId="0" borderId="5" xfId="0" applyFont="1" applyFill="1" applyBorder="1"/>
    <xf numFmtId="169" fontId="81" fillId="0" borderId="5" xfId="0" applyNumberFormat="1" applyFont="1" applyFill="1" applyBorder="1"/>
    <xf numFmtId="169" fontId="81" fillId="0" borderId="4" xfId="0" applyNumberFormat="1" applyFont="1" applyFill="1" applyBorder="1"/>
    <xf numFmtId="169" fontId="5" fillId="0" borderId="2" xfId="0" applyNumberFormat="1" applyFont="1" applyFill="1" applyBorder="1"/>
    <xf numFmtId="10" fontId="5" fillId="0" borderId="7" xfId="1" applyNumberFormat="1" applyFont="1" applyFill="1" applyBorder="1"/>
    <xf numFmtId="168" fontId="76" fillId="0" borderId="21" xfId="3" applyNumberFormat="1" applyFont="1" applyBorder="1"/>
    <xf numFmtId="168" fontId="76" fillId="0" borderId="46" xfId="3" applyNumberFormat="1" applyFont="1" applyBorder="1"/>
    <xf numFmtId="168" fontId="76" fillId="0" borderId="47" xfId="3" applyNumberFormat="1" applyFont="1" applyBorder="1"/>
    <xf numFmtId="168" fontId="82" fillId="0" borderId="4" xfId="3" applyNumberFormat="1" applyFont="1" applyBorder="1"/>
    <xf numFmtId="168" fontId="82" fillId="0" borderId="5" xfId="3" applyNumberFormat="1" applyFont="1" applyBorder="1"/>
    <xf numFmtId="168" fontId="82" fillId="0" borderId="0" xfId="3" applyNumberFormat="1" applyFont="1" applyBorder="1"/>
    <xf numFmtId="168" fontId="82" fillId="0" borderId="48" xfId="3" applyNumberFormat="1" applyFont="1" applyBorder="1"/>
    <xf numFmtId="37" fontId="76" fillId="0" borderId="3" xfId="0" applyNumberFormat="1" applyFont="1" applyBorder="1"/>
    <xf numFmtId="37" fontId="76" fillId="0" borderId="2" xfId="0" applyNumberFormat="1" applyFont="1" applyBorder="1"/>
    <xf numFmtId="37" fontId="76" fillId="0" borderId="1" xfId="0" applyNumberFormat="1" applyFont="1" applyBorder="1"/>
    <xf numFmtId="37" fontId="76" fillId="0" borderId="38" xfId="0" applyNumberFormat="1" applyFont="1" applyBorder="1"/>
    <xf numFmtId="10" fontId="0" fillId="0" borderId="0" xfId="1" applyNumberFormat="1" applyFont="1"/>
    <xf numFmtId="0" fontId="74" fillId="0" borderId="7" xfId="0" applyFont="1" applyFill="1" applyBorder="1"/>
    <xf numFmtId="0" fontId="74" fillId="0" borderId="41" xfId="0" applyFont="1" applyFill="1" applyBorder="1"/>
    <xf numFmtId="0" fontId="74" fillId="0" borderId="20" xfId="0" applyFont="1" applyFill="1" applyBorder="1"/>
    <xf numFmtId="0" fontId="1" fillId="0" borderId="5" xfId="0" applyFont="1" applyFill="1" applyBorder="1"/>
    <xf numFmtId="5" fontId="7" fillId="0" borderId="48" xfId="3" applyNumberFormat="1" applyBorder="1"/>
    <xf numFmtId="0" fontId="1" fillId="0" borderId="3" xfId="0" applyFont="1" applyFill="1" applyBorder="1"/>
    <xf numFmtId="5" fontId="7" fillId="0" borderId="2" xfId="3" applyNumberFormat="1" applyFont="1" applyBorder="1"/>
    <xf numFmtId="0" fontId="79" fillId="0" borderId="7" xfId="0" applyFont="1" applyFill="1" applyBorder="1"/>
    <xf numFmtId="0" fontId="79" fillId="0" borderId="41" xfId="0" applyFont="1" applyFill="1" applyBorder="1"/>
    <xf numFmtId="0" fontId="79" fillId="0" borderId="20" xfId="0" applyFont="1" applyFill="1" applyBorder="1"/>
    <xf numFmtId="168" fontId="73" fillId="0" borderId="21" xfId="3" applyNumberFormat="1" applyFont="1" applyBorder="1"/>
    <xf numFmtId="168" fontId="83" fillId="0" borderId="4" xfId="3" applyNumberFormat="1" applyFont="1" applyBorder="1"/>
    <xf numFmtId="168" fontId="73" fillId="0" borderId="2" xfId="3" applyNumberFormat="1" applyFont="1" applyBorder="1"/>
    <xf numFmtId="0" fontId="5" fillId="0" borderId="41" xfId="0" applyFont="1" applyFill="1" applyBorder="1"/>
    <xf numFmtId="0" fontId="5" fillId="0" borderId="20" xfId="0" applyFont="1" applyFill="1" applyBorder="1"/>
    <xf numFmtId="0" fontId="5" fillId="0" borderId="5" xfId="0" applyFont="1" applyFill="1" applyBorder="1"/>
    <xf numFmtId="168" fontId="80" fillId="0" borderId="21" xfId="3" applyNumberFormat="1" applyFont="1" applyBorder="1"/>
    <xf numFmtId="168" fontId="84" fillId="0" borderId="4" xfId="3" applyNumberFormat="1" applyFont="1" applyBorder="1"/>
    <xf numFmtId="168" fontId="80" fillId="0" borderId="4" xfId="3" applyNumberFormat="1" applyFont="1" applyBorder="1"/>
    <xf numFmtId="0" fontId="1" fillId="0" borderId="0" xfId="0" applyFont="1" applyFill="1" applyBorder="1"/>
    <xf numFmtId="168" fontId="7" fillId="0" borderId="0" xfId="3" applyNumberFormat="1" applyBorder="1"/>
    <xf numFmtId="0" fontId="51" fillId="0" borderId="0" xfId="0" applyFont="1" applyAlignment="1">
      <alignment horizontal="left" vertical="center" wrapText="1"/>
    </xf>
    <xf numFmtId="9" fontId="0" fillId="0" borderId="0" xfId="0" applyNumberFormat="1"/>
    <xf numFmtId="5" fontId="4" fillId="0" borderId="0" xfId="3" applyNumberFormat="1" applyFont="1"/>
    <xf numFmtId="5" fontId="1" fillId="0" borderId="0" xfId="3" applyNumberFormat="1" applyFont="1"/>
    <xf numFmtId="0" fontId="74" fillId="0" borderId="0" xfId="0" applyFont="1" applyFill="1" applyBorder="1"/>
    <xf numFmtId="5" fontId="7" fillId="0" borderId="0" xfId="3" applyNumberFormat="1" applyBorder="1"/>
    <xf numFmtId="5" fontId="7" fillId="0" borderId="0" xfId="3" applyNumberFormat="1" applyFont="1" applyBorder="1"/>
    <xf numFmtId="0" fontId="0" fillId="0" borderId="0" xfId="0" applyFont="1" applyFill="1" applyBorder="1"/>
    <xf numFmtId="0" fontId="74" fillId="0" borderId="0" xfId="0" applyFont="1" applyFill="1" applyBorder="1" applyAlignment="1">
      <alignment wrapText="1"/>
    </xf>
    <xf numFmtId="37" fontId="7" fillId="0" borderId="0" xfId="3" applyNumberFormat="1" applyFont="1"/>
    <xf numFmtId="37" fontId="4" fillId="0" borderId="0" xfId="3" applyNumberFormat="1" applyFont="1"/>
    <xf numFmtId="37" fontId="1" fillId="0" borderId="0" xfId="3" applyNumberFormat="1" applyFont="1"/>
    <xf numFmtId="9" fontId="0" fillId="0" borderId="7" xfId="1" applyFont="1" applyBorder="1" applyAlignment="1">
      <alignment horizontal="center"/>
    </xf>
    <xf numFmtId="0" fontId="0" fillId="0" borderId="7" xfId="0" applyBorder="1" applyAlignment="1">
      <alignment horizontal="right"/>
    </xf>
    <xf numFmtId="169" fontId="0" fillId="0" borderId="0" xfId="0" applyNumberFormat="1" applyAlignment="1">
      <alignment horizontal="right"/>
    </xf>
    <xf numFmtId="169" fontId="0" fillId="0" borderId="7" xfId="2" applyNumberFormat="1" applyFont="1" applyBorder="1" applyAlignment="1">
      <alignment horizontal="right"/>
    </xf>
    <xf numFmtId="171" fontId="61" fillId="42" borderId="55" xfId="71" applyNumberFormat="1" applyFont="1" applyAlignment="1">
      <alignment horizontal="center"/>
    </xf>
    <xf numFmtId="9" fontId="0" fillId="0" borderId="0" xfId="47" applyFont="1" applyFill="1" applyAlignment="1">
      <alignment horizontal="right"/>
    </xf>
    <xf numFmtId="0" fontId="85" fillId="0" borderId="0" xfId="0" applyFont="1" applyAlignment="1">
      <alignment horizontal="center"/>
    </xf>
    <xf numFmtId="0" fontId="15" fillId="29" borderId="0" xfId="0" applyFont="1" applyFill="1" applyAlignment="1">
      <alignment horizontal="right" wrapText="1"/>
    </xf>
    <xf numFmtId="0" fontId="15" fillId="0" borderId="0" xfId="0" applyFont="1"/>
    <xf numFmtId="0" fontId="15" fillId="0" borderId="0" xfId="0" applyFont="1" applyAlignment="1">
      <alignment horizontal="right"/>
    </xf>
    <xf numFmtId="169" fontId="15" fillId="0" borderId="0" xfId="0" applyNumberFormat="1" applyFont="1" applyFill="1"/>
    <xf numFmtId="169" fontId="16" fillId="46" borderId="0" xfId="0" applyNumberFormat="1" applyFont="1" applyFill="1"/>
    <xf numFmtId="9" fontId="86" fillId="0" borderId="0" xfId="47" applyFont="1"/>
    <xf numFmtId="0" fontId="0" fillId="0" borderId="22" xfId="0" applyBorder="1"/>
    <xf numFmtId="0" fontId="0" fillId="0" borderId="46" xfId="0" applyBorder="1"/>
    <xf numFmtId="0" fontId="0" fillId="0" borderId="3" xfId="0" applyBorder="1"/>
    <xf numFmtId="44" fontId="0" fillId="0" borderId="0" xfId="2" applyFont="1"/>
    <xf numFmtId="167" fontId="7" fillId="0" borderId="0" xfId="2" applyNumberFormat="1" applyFont="1"/>
    <xf numFmtId="167" fontId="4" fillId="0" borderId="0" xfId="2" applyNumberFormat="1" applyFont="1"/>
    <xf numFmtId="0" fontId="87" fillId="0" borderId="0" xfId="0" applyFont="1"/>
    <xf numFmtId="0" fontId="88" fillId="0" borderId="0" xfId="0" applyFont="1"/>
    <xf numFmtId="0" fontId="89" fillId="0" borderId="0" xfId="0" applyFont="1" applyAlignment="1">
      <alignment horizontal="right"/>
    </xf>
    <xf numFmtId="0" fontId="89" fillId="0" borderId="0" xfId="0" applyFont="1" applyAlignment="1">
      <alignment horizontal="center"/>
    </xf>
    <xf numFmtId="0" fontId="89" fillId="47" borderId="0" xfId="0" applyFont="1" applyFill="1" applyAlignment="1">
      <alignment horizontal="center"/>
    </xf>
    <xf numFmtId="1" fontId="89" fillId="0" borderId="0" xfId="0" applyNumberFormat="1" applyFont="1" applyAlignment="1">
      <alignment horizontal="center"/>
    </xf>
    <xf numFmtId="0" fontId="90" fillId="0" borderId="0" xfId="0" applyFont="1" applyFill="1" applyAlignment="1">
      <alignment horizontal="center"/>
    </xf>
    <xf numFmtId="167" fontId="88" fillId="0" borderId="7" xfId="2" applyNumberFormat="1" applyFont="1" applyBorder="1" applyAlignment="1"/>
    <xf numFmtId="167" fontId="89" fillId="47" borderId="7" xfId="2" applyNumberFormat="1" applyFont="1" applyFill="1" applyBorder="1" applyAlignment="1"/>
    <xf numFmtId="167" fontId="88" fillId="0" borderId="7" xfId="2" applyNumberFormat="1" applyFont="1" applyBorder="1" applyAlignment="1">
      <alignment horizontal="center"/>
    </xf>
    <xf numFmtId="0" fontId="88" fillId="0" borderId="0" xfId="0" applyFont="1" applyFill="1" applyAlignment="1">
      <alignment horizontal="right"/>
    </xf>
    <xf numFmtId="0" fontId="91" fillId="0" borderId="0" xfId="0" applyFont="1" applyAlignment="1"/>
    <xf numFmtId="169" fontId="87" fillId="47" borderId="0" xfId="0" applyNumberFormat="1" applyFont="1" applyFill="1" applyAlignment="1"/>
    <xf numFmtId="1" fontId="91" fillId="0" borderId="0" xfId="0" applyNumberFormat="1" applyFont="1" applyAlignment="1">
      <alignment horizontal="center"/>
    </xf>
    <xf numFmtId="0" fontId="89" fillId="0" borderId="0" xfId="0" applyFont="1"/>
    <xf numFmtId="167" fontId="92" fillId="0" borderId="7" xfId="2" applyNumberFormat="1" applyFont="1" applyBorder="1" applyAlignment="1"/>
    <xf numFmtId="167" fontId="93" fillId="47" borderId="7" xfId="2" applyNumberFormat="1" applyFont="1" applyFill="1" applyBorder="1" applyAlignment="1"/>
    <xf numFmtId="167" fontId="92" fillId="0" borderId="7" xfId="2" applyNumberFormat="1" applyFont="1" applyBorder="1" applyAlignment="1">
      <alignment horizontal="center"/>
    </xf>
    <xf numFmtId="1" fontId="88" fillId="0" borderId="0" xfId="0" applyNumberFormat="1" applyFont="1" applyAlignment="1"/>
    <xf numFmtId="1" fontId="89" fillId="47" borderId="0" xfId="0" applyNumberFormat="1" applyFont="1" applyFill="1" applyAlignment="1"/>
    <xf numFmtId="1" fontId="88" fillId="0" borderId="0" xfId="0" applyNumberFormat="1" applyFont="1" applyAlignment="1">
      <alignment horizontal="center"/>
    </xf>
    <xf numFmtId="0" fontId="87" fillId="0" borderId="0" xfId="0" applyFont="1" applyFill="1" applyAlignment="1">
      <alignment horizontal="center"/>
    </xf>
    <xf numFmtId="167" fontId="88" fillId="0" borderId="0" xfId="0" applyNumberFormat="1" applyFont="1" applyAlignment="1"/>
    <xf numFmtId="0" fontId="89" fillId="47" borderId="0" xfId="0" applyFont="1" applyFill="1" applyAlignment="1"/>
    <xf numFmtId="0" fontId="94" fillId="0" borderId="0" xfId="0" applyFont="1" applyFill="1" applyAlignment="1">
      <alignment horizontal="right"/>
    </xf>
    <xf numFmtId="0" fontId="88" fillId="0" borderId="0" xfId="0" applyFont="1" applyAlignment="1"/>
    <xf numFmtId="0" fontId="95" fillId="0" borderId="0" xfId="0" applyFont="1" applyFill="1" applyAlignment="1">
      <alignment horizontal="right"/>
    </xf>
    <xf numFmtId="0" fontId="88" fillId="0" borderId="7" xfId="0" applyFont="1" applyBorder="1" applyAlignment="1">
      <alignment horizontal="center"/>
    </xf>
    <xf numFmtId="0" fontId="89" fillId="47" borderId="7" xfId="0" applyFont="1" applyFill="1" applyBorder="1" applyAlignment="1">
      <alignment horizontal="center"/>
    </xf>
    <xf numFmtId="1" fontId="88" fillId="0" borderId="7" xfId="0" applyNumberFormat="1" applyFont="1" applyBorder="1" applyAlignment="1">
      <alignment horizontal="center"/>
    </xf>
    <xf numFmtId="0" fontId="88" fillId="0" borderId="0" xfId="0" applyFont="1" applyFill="1"/>
    <xf numFmtId="0" fontId="96" fillId="0" borderId="0" xfId="0" applyFont="1" applyFill="1" applyAlignment="1">
      <alignment horizontal="right"/>
    </xf>
    <xf numFmtId="1" fontId="89" fillId="47" borderId="7" xfId="3" applyNumberFormat="1" applyFont="1" applyFill="1" applyBorder="1" applyAlignment="1">
      <alignment horizontal="center"/>
    </xf>
    <xf numFmtId="169" fontId="89" fillId="47" borderId="0" xfId="0" applyNumberFormat="1" applyFont="1" applyFill="1" applyAlignment="1"/>
    <xf numFmtId="1" fontId="88" fillId="0" borderId="7" xfId="3" applyNumberFormat="1" applyFont="1" applyBorder="1" applyAlignment="1">
      <alignment horizontal="center"/>
    </xf>
    <xf numFmtId="1" fontId="89" fillId="47" borderId="0" xfId="0" applyNumberFormat="1" applyFont="1" applyFill="1" applyAlignment="1">
      <alignment horizontal="center"/>
    </xf>
    <xf numFmtId="1" fontId="88" fillId="0" borderId="0" xfId="0" applyNumberFormat="1" applyFont="1"/>
    <xf numFmtId="0" fontId="88" fillId="47" borderId="7" xfId="0" applyFont="1" applyFill="1" applyBorder="1" applyAlignment="1">
      <alignment horizontal="center"/>
    </xf>
    <xf numFmtId="0" fontId="91" fillId="0" borderId="7" xfId="0" applyFont="1" applyBorder="1" applyAlignment="1">
      <alignment horizontal="center"/>
    </xf>
    <xf numFmtId="0" fontId="91" fillId="47" borderId="7" xfId="0" applyFont="1" applyFill="1" applyBorder="1" applyAlignment="1">
      <alignment horizontal="center"/>
    </xf>
    <xf numFmtId="0" fontId="88" fillId="0" borderId="0" xfId="0" applyFont="1" applyAlignment="1">
      <alignment horizontal="center"/>
    </xf>
    <xf numFmtId="0" fontId="88" fillId="47" borderId="0" xfId="0" applyFont="1" applyFill="1" applyAlignment="1">
      <alignment horizontal="center"/>
    </xf>
    <xf numFmtId="0" fontId="88" fillId="47" borderId="0" xfId="0" applyFont="1" applyFill="1"/>
    <xf numFmtId="1" fontId="88" fillId="47" borderId="0" xfId="0" applyNumberFormat="1" applyFont="1" applyFill="1" applyAlignment="1">
      <alignment horizontal="center"/>
    </xf>
    <xf numFmtId="1" fontId="88" fillId="47" borderId="0" xfId="0" applyNumberFormat="1" applyFont="1" applyFill="1"/>
    <xf numFmtId="1" fontId="88" fillId="47" borderId="7" xfId="0" applyNumberFormat="1" applyFont="1" applyFill="1" applyBorder="1" applyAlignment="1">
      <alignment horizontal="center"/>
    </xf>
    <xf numFmtId="168" fontId="88" fillId="0" borderId="0" xfId="0" applyNumberFormat="1" applyFont="1" applyFill="1"/>
    <xf numFmtId="169" fontId="88" fillId="0" borderId="0" xfId="0" applyNumberFormat="1" applyFont="1"/>
    <xf numFmtId="0" fontId="94" fillId="0" borderId="0" xfId="0" applyFont="1" applyFill="1" applyAlignment="1">
      <alignment horizontal="center"/>
    </xf>
    <xf numFmtId="0" fontId="89" fillId="0" borderId="7" xfId="0" applyFont="1" applyBorder="1" applyAlignment="1">
      <alignment horizontal="right"/>
    </xf>
    <xf numFmtId="167" fontId="88" fillId="47" borderId="7" xfId="2" applyNumberFormat="1" applyFont="1" applyFill="1" applyBorder="1" applyAlignment="1"/>
    <xf numFmtId="167" fontId="92" fillId="47" borderId="7" xfId="2" applyNumberFormat="1" applyFont="1" applyFill="1" applyBorder="1" applyAlignment="1"/>
    <xf numFmtId="167" fontId="89" fillId="0" borderId="0" xfId="2" applyNumberFormat="1" applyFont="1" applyAlignment="1"/>
    <xf numFmtId="167" fontId="89" fillId="47" borderId="0" xfId="2" applyNumberFormat="1" applyFont="1" applyFill="1" applyAlignment="1"/>
    <xf numFmtId="169" fontId="88" fillId="0" borderId="0" xfId="0" applyNumberFormat="1" applyFont="1" applyAlignment="1">
      <alignment horizontal="center"/>
    </xf>
    <xf numFmtId="169" fontId="88" fillId="47" borderId="0" xfId="0" applyNumberFormat="1" applyFont="1" applyFill="1" applyAlignment="1">
      <alignment horizontal="center"/>
    </xf>
    <xf numFmtId="167" fontId="89" fillId="0" borderId="0" xfId="2" applyNumberFormat="1" applyFont="1" applyAlignment="1">
      <alignment horizontal="center"/>
    </xf>
    <xf numFmtId="167" fontId="89" fillId="47" borderId="0" xfId="2" applyNumberFormat="1" applyFont="1" applyFill="1" applyAlignment="1">
      <alignment horizontal="center"/>
    </xf>
    <xf numFmtId="0" fontId="89" fillId="0" borderId="7" xfId="0" applyFont="1" applyBorder="1" applyAlignment="1">
      <alignment horizontal="center"/>
    </xf>
    <xf numFmtId="167" fontId="89" fillId="0" borderId="7" xfId="2" applyNumberFormat="1" applyFont="1" applyBorder="1" applyAlignment="1"/>
    <xf numFmtId="0" fontId="97" fillId="0" borderId="0" xfId="0" applyFont="1"/>
    <xf numFmtId="14" fontId="98" fillId="0" borderId="0" xfId="0" applyNumberFormat="1" applyFont="1"/>
    <xf numFmtId="0" fontId="99" fillId="0" borderId="0" xfId="0" applyFont="1" applyFill="1" applyBorder="1"/>
    <xf numFmtId="0" fontId="100" fillId="0" borderId="0" xfId="0" applyFont="1" applyFill="1" applyBorder="1" applyAlignment="1">
      <alignment horizontal="center"/>
    </xf>
    <xf numFmtId="0" fontId="100" fillId="48" borderId="0" xfId="0" applyFont="1" applyFill="1" applyBorder="1" applyAlignment="1">
      <alignment horizontal="center"/>
    </xf>
    <xf numFmtId="0" fontId="98" fillId="0" borderId="0" xfId="0" applyFont="1" applyFill="1" applyBorder="1" applyAlignment="1">
      <alignment horizontal="left"/>
    </xf>
    <xf numFmtId="169" fontId="99" fillId="0" borderId="0" xfId="0" applyNumberFormat="1" applyFont="1" applyFill="1" applyBorder="1"/>
    <xf numFmtId="169" fontId="99" fillId="48" borderId="0" xfId="0" applyNumberFormat="1" applyFont="1" applyFill="1" applyBorder="1"/>
    <xf numFmtId="169" fontId="99" fillId="0" borderId="0" xfId="0" applyNumberFormat="1" applyFont="1" applyFill="1" applyBorder="1" applyAlignment="1">
      <alignment horizontal="center"/>
    </xf>
    <xf numFmtId="169" fontId="99" fillId="48" borderId="0" xfId="0" applyNumberFormat="1" applyFont="1" applyFill="1" applyBorder="1" applyAlignment="1">
      <alignment horizontal="center"/>
    </xf>
    <xf numFmtId="0" fontId="99" fillId="0" borderId="0" xfId="73" applyFont="1"/>
    <xf numFmtId="169" fontId="101" fillId="0" borderId="0" xfId="0" applyNumberFormat="1" applyFont="1" applyFill="1" applyBorder="1" applyAlignment="1">
      <alignment horizontal="center"/>
    </xf>
    <xf numFmtId="169" fontId="101" fillId="48" borderId="0" xfId="0" applyNumberFormat="1" applyFont="1" applyFill="1" applyBorder="1" applyAlignment="1">
      <alignment horizontal="center"/>
    </xf>
    <xf numFmtId="169" fontId="98" fillId="0" borderId="0" xfId="0" applyNumberFormat="1" applyFont="1" applyFill="1" applyBorder="1"/>
    <xf numFmtId="0" fontId="99" fillId="0" borderId="0" xfId="0" applyFont="1" applyFill="1" applyBorder="1" applyAlignment="1">
      <alignment horizontal="right"/>
    </xf>
    <xf numFmtId="169" fontId="99" fillId="49" borderId="0" xfId="0" applyNumberFormat="1" applyFont="1" applyFill="1" applyBorder="1" applyAlignment="1">
      <alignment horizontal="center"/>
    </xf>
    <xf numFmtId="0" fontId="98" fillId="0" borderId="0" xfId="73" applyFont="1"/>
    <xf numFmtId="169" fontId="98" fillId="0" borderId="0" xfId="73" applyNumberFormat="1" applyFont="1"/>
    <xf numFmtId="0" fontId="99" fillId="0" borderId="0" xfId="73" applyFont="1" applyAlignment="1">
      <alignment horizontal="right"/>
    </xf>
    <xf numFmtId="169" fontId="98" fillId="0" borderId="0" xfId="0" applyNumberFormat="1" applyFont="1" applyFill="1" applyBorder="1" applyAlignment="1">
      <alignment horizontal="left"/>
    </xf>
    <xf numFmtId="1" fontId="99" fillId="0" borderId="0" xfId="0" applyNumberFormat="1" applyFont="1" applyFill="1" applyBorder="1"/>
    <xf numFmtId="0" fontId="99" fillId="0" borderId="0" xfId="0" applyFont="1" applyFill="1" applyBorder="1" applyAlignment="1">
      <alignment horizontal="left"/>
    </xf>
    <xf numFmtId="169" fontId="101" fillId="49" borderId="0" xfId="0" applyNumberFormat="1" applyFont="1" applyFill="1" applyBorder="1" applyAlignment="1">
      <alignment horizontal="center"/>
    </xf>
    <xf numFmtId="0" fontId="98" fillId="0" borderId="0" xfId="0" applyFont="1" applyFill="1" applyBorder="1" applyAlignment="1">
      <alignment horizontal="left" wrapText="1"/>
    </xf>
    <xf numFmtId="0" fontId="98" fillId="0" borderId="0" xfId="0" applyFont="1" applyFill="1" applyBorder="1" applyAlignment="1">
      <alignment wrapText="1"/>
    </xf>
    <xf numFmtId="0" fontId="98" fillId="0" borderId="0" xfId="0" applyFont="1" applyFill="1" applyBorder="1"/>
    <xf numFmtId="169" fontId="98" fillId="0" borderId="0" xfId="0" applyNumberFormat="1" applyFont="1" applyFill="1" applyBorder="1" applyAlignment="1">
      <alignment horizontal="right"/>
    </xf>
    <xf numFmtId="169" fontId="98" fillId="50" borderId="0" xfId="0" applyNumberFormat="1" applyFont="1" applyFill="1" applyBorder="1" applyAlignment="1">
      <alignment horizontal="center"/>
    </xf>
    <xf numFmtId="169" fontId="98" fillId="48" borderId="0" xfId="0" applyNumberFormat="1" applyFont="1" applyFill="1" applyBorder="1" applyAlignment="1">
      <alignment horizontal="center"/>
    </xf>
    <xf numFmtId="169" fontId="98" fillId="0" borderId="0" xfId="0" applyNumberFormat="1" applyFont="1" applyFill="1" applyBorder="1" applyAlignment="1">
      <alignment horizontal="center"/>
    </xf>
    <xf numFmtId="167" fontId="99" fillId="0" borderId="0" xfId="2" applyNumberFormat="1" applyFont="1" applyFill="1" applyBorder="1" applyAlignment="1">
      <alignment horizontal="center"/>
    </xf>
    <xf numFmtId="167" fontId="97" fillId="0" borderId="0" xfId="2" applyNumberFormat="1" applyFont="1"/>
    <xf numFmtId="0" fontId="98" fillId="0" borderId="0" xfId="0" applyFont="1" applyAlignment="1">
      <alignment horizontal="right"/>
    </xf>
    <xf numFmtId="169" fontId="97" fillId="0" borderId="63" xfId="0" applyNumberFormat="1" applyFont="1" applyBorder="1" applyAlignment="1">
      <alignment horizontal="center"/>
    </xf>
    <xf numFmtId="169" fontId="99" fillId="0" borderId="63" xfId="1" applyNumberFormat="1" applyFont="1" applyFill="1" applyBorder="1"/>
    <xf numFmtId="167" fontId="99" fillId="0" borderId="63" xfId="2" applyNumberFormat="1" applyFont="1" applyFill="1" applyBorder="1" applyAlignment="1">
      <alignment horizontal="center"/>
    </xf>
    <xf numFmtId="167" fontId="97" fillId="0" borderId="63" xfId="2" applyNumberFormat="1" applyFont="1" applyBorder="1"/>
    <xf numFmtId="169" fontId="99" fillId="0" borderId="0" xfId="73" applyNumberFormat="1" applyFont="1"/>
    <xf numFmtId="0" fontId="98" fillId="0" borderId="0" xfId="0" applyFont="1" applyFill="1" applyBorder="1" applyAlignment="1">
      <alignment horizontal="right"/>
    </xf>
    <xf numFmtId="9" fontId="99" fillId="0" borderId="0" xfId="1" applyNumberFormat="1" applyFont="1" applyFill="1" applyBorder="1" applyAlignment="1">
      <alignment horizontal="center"/>
    </xf>
    <xf numFmtId="10" fontId="99" fillId="0" borderId="0" xfId="1" applyNumberFormat="1" applyFont="1" applyFill="1" applyBorder="1"/>
    <xf numFmtId="0" fontId="97" fillId="0" borderId="0" xfId="0" applyFont="1" applyFill="1"/>
    <xf numFmtId="0" fontId="99" fillId="0" borderId="0" xfId="0" applyFont="1" applyFill="1" applyBorder="1" applyAlignment="1">
      <alignment horizontal="center"/>
    </xf>
    <xf numFmtId="42" fontId="99" fillId="0" borderId="0" xfId="0" applyNumberFormat="1" applyFont="1" applyFill="1" applyBorder="1" applyAlignment="1">
      <alignment horizontal="center"/>
    </xf>
    <xf numFmtId="9" fontId="99" fillId="0" borderId="0" xfId="0" applyNumberFormat="1" applyFont="1" applyFill="1" applyBorder="1" applyAlignment="1">
      <alignment horizontal="center"/>
    </xf>
    <xf numFmtId="44" fontId="97" fillId="0" borderId="0" xfId="0" applyNumberFormat="1" applyFont="1"/>
    <xf numFmtId="0" fontId="97" fillId="0" borderId="0" xfId="0" applyFont="1" applyAlignment="1">
      <alignment horizontal="right"/>
    </xf>
    <xf numFmtId="0" fontId="97" fillId="0" borderId="0" xfId="0" applyFont="1" applyBorder="1"/>
    <xf numFmtId="44" fontId="97" fillId="0" borderId="0" xfId="2" applyFont="1"/>
    <xf numFmtId="0" fontId="99" fillId="0" borderId="0" xfId="0" applyFont="1" applyAlignment="1">
      <alignment horizontal="right"/>
    </xf>
    <xf numFmtId="0" fontId="99" fillId="0" borderId="0" xfId="0" applyFont="1"/>
    <xf numFmtId="167" fontId="0" fillId="0" borderId="0" xfId="2" applyNumberFormat="1" applyFont="1" applyAlignment="1">
      <alignment horizontal="center"/>
    </xf>
    <xf numFmtId="0" fontId="102" fillId="0" borderId="0" xfId="0" applyFont="1" applyAlignment="1">
      <alignment wrapText="1"/>
    </xf>
    <xf numFmtId="169" fontId="0" fillId="0" borderId="0" xfId="0" applyNumberFormat="1" applyAlignment="1">
      <alignment horizontal="center"/>
    </xf>
    <xf numFmtId="0" fontId="102" fillId="0" borderId="0" xfId="0" applyFont="1" applyAlignment="1">
      <alignment horizontal="right"/>
    </xf>
    <xf numFmtId="0" fontId="103" fillId="0" borderId="0" xfId="0" applyFont="1" applyAlignment="1">
      <alignment horizontal="center"/>
    </xf>
    <xf numFmtId="169" fontId="103" fillId="47" borderId="0" xfId="0" applyNumberFormat="1" applyFont="1" applyFill="1" applyAlignment="1">
      <alignment horizontal="center"/>
    </xf>
    <xf numFmtId="0" fontId="104" fillId="0" borderId="0" xfId="0" applyFont="1" applyAlignment="1">
      <alignment horizontal="left"/>
    </xf>
    <xf numFmtId="0" fontId="97" fillId="0" borderId="0" xfId="0" applyFont="1" applyAlignment="1">
      <alignment horizontal="center"/>
    </xf>
    <xf numFmtId="0" fontId="102" fillId="47" borderId="0" xfId="0" applyFont="1" applyFill="1" applyAlignment="1">
      <alignment horizontal="center"/>
    </xf>
    <xf numFmtId="169" fontId="97" fillId="0" borderId="0" xfId="0" applyNumberFormat="1" applyFont="1" applyAlignment="1">
      <alignment horizontal="center"/>
    </xf>
    <xf numFmtId="0" fontId="104" fillId="0" borderId="0" xfId="0" applyFont="1" applyAlignment="1">
      <alignment horizontal="right"/>
    </xf>
    <xf numFmtId="169" fontId="97" fillId="0" borderId="7" xfId="0" applyNumberFormat="1" applyFont="1" applyBorder="1" applyAlignment="1">
      <alignment horizontal="center"/>
    </xf>
    <xf numFmtId="169" fontId="102" fillId="47" borderId="7" xfId="0" applyNumberFormat="1" applyFont="1" applyFill="1" applyBorder="1" applyAlignment="1">
      <alignment horizontal="center"/>
    </xf>
    <xf numFmtId="169" fontId="105" fillId="0" borderId="7" xfId="0" applyNumberFormat="1" applyFont="1" applyBorder="1" applyAlignment="1">
      <alignment horizontal="center"/>
    </xf>
    <xf numFmtId="169" fontId="103" fillId="47" borderId="7" xfId="0" applyNumberFormat="1" applyFont="1" applyFill="1" applyBorder="1" applyAlignment="1">
      <alignment horizontal="center"/>
    </xf>
    <xf numFmtId="0" fontId="106" fillId="0" borderId="0" xfId="0" applyFont="1" applyAlignment="1">
      <alignment horizontal="right"/>
    </xf>
    <xf numFmtId="0" fontId="104" fillId="0" borderId="0" xfId="0" applyFont="1" applyAlignment="1">
      <alignment horizontal="center"/>
    </xf>
    <xf numFmtId="169" fontId="97" fillId="0" borderId="0" xfId="0" applyNumberFormat="1" applyFont="1" applyBorder="1" applyAlignment="1">
      <alignment horizontal="center"/>
    </xf>
    <xf numFmtId="169" fontId="102" fillId="47" borderId="0" xfId="0" applyNumberFormat="1" applyFont="1" applyFill="1" applyBorder="1" applyAlignment="1">
      <alignment horizontal="center"/>
    </xf>
    <xf numFmtId="0" fontId="104" fillId="0" borderId="0" xfId="0" applyFont="1" applyFill="1" applyAlignment="1">
      <alignment horizontal="center"/>
    </xf>
    <xf numFmtId="42" fontId="1" fillId="47" borderId="0" xfId="0" applyNumberFormat="1" applyFont="1" applyFill="1" applyAlignment="1">
      <alignment horizontal="center"/>
    </xf>
    <xf numFmtId="0" fontId="97" fillId="0" borderId="0" xfId="0" applyFont="1" applyFill="1" applyAlignment="1">
      <alignment horizontal="right"/>
    </xf>
    <xf numFmtId="9" fontId="97" fillId="0" borderId="0" xfId="1" applyNumberFormat="1" applyFont="1" applyAlignment="1">
      <alignment horizontal="center"/>
    </xf>
    <xf numFmtId="9" fontId="97" fillId="0" borderId="0" xfId="1" applyFont="1" applyAlignment="1">
      <alignment horizontal="center"/>
    </xf>
    <xf numFmtId="0" fontId="107" fillId="0" borderId="0" xfId="0" applyFont="1" applyFill="1" applyBorder="1" applyAlignment="1">
      <alignment horizontal="right"/>
    </xf>
    <xf numFmtId="0" fontId="107" fillId="0" borderId="0" xfId="0" applyFont="1" applyBorder="1" applyAlignment="1">
      <alignment horizontal="center"/>
    </xf>
    <xf numFmtId="169" fontId="107" fillId="0" borderId="0" xfId="0" applyNumberFormat="1" applyFont="1" applyBorder="1" applyAlignment="1">
      <alignment horizontal="center"/>
    </xf>
    <xf numFmtId="0" fontId="88" fillId="0" borderId="0" xfId="0" applyFont="1" applyBorder="1" applyAlignment="1">
      <alignment horizontal="right"/>
    </xf>
    <xf numFmtId="0" fontId="107" fillId="0" borderId="0" xfId="0" applyFont="1" applyBorder="1" applyAlignment="1">
      <alignment horizontal="right"/>
    </xf>
    <xf numFmtId="0" fontId="107" fillId="0" borderId="0" xfId="0" applyFont="1" applyAlignment="1">
      <alignment horizontal="right"/>
    </xf>
    <xf numFmtId="0" fontId="107" fillId="0" borderId="0" xfId="0" applyFont="1" applyAlignment="1">
      <alignment horizontal="center"/>
    </xf>
    <xf numFmtId="0" fontId="0" fillId="45" borderId="21" xfId="0" applyFill="1" applyBorder="1"/>
    <xf numFmtId="5" fontId="0" fillId="45" borderId="2" xfId="0" applyNumberFormat="1" applyFill="1" applyBorder="1"/>
    <xf numFmtId="5" fontId="0" fillId="0" borderId="1" xfId="0" applyNumberFormat="1" applyBorder="1"/>
    <xf numFmtId="5" fontId="0" fillId="0" borderId="0" xfId="0" applyNumberFormat="1" applyFill="1" applyBorder="1"/>
    <xf numFmtId="0" fontId="1" fillId="0" borderId="22" xfId="0" applyFont="1" applyBorder="1"/>
    <xf numFmtId="0" fontId="1" fillId="0" borderId="5" xfId="0" applyFont="1" applyBorder="1"/>
    <xf numFmtId="0" fontId="0" fillId="0" borderId="5" xfId="0" applyBorder="1" applyAlignment="1">
      <alignment horizontal="left" indent="2"/>
    </xf>
    <xf numFmtId="0" fontId="1" fillId="0" borderId="0" xfId="0" applyFont="1" applyBorder="1" applyAlignment="1">
      <alignment horizontal="right"/>
    </xf>
    <xf numFmtId="0" fontId="1" fillId="0" borderId="5" xfId="0" applyFont="1" applyBorder="1" applyAlignment="1">
      <alignment horizontal="left"/>
    </xf>
    <xf numFmtId="0" fontId="1" fillId="45" borderId="7" xfId="0" applyFont="1" applyFill="1" applyBorder="1"/>
    <xf numFmtId="0" fontId="1" fillId="0" borderId="46" xfId="0" applyFont="1" applyBorder="1"/>
    <xf numFmtId="0" fontId="1" fillId="0" borderId="41" xfId="0" applyFont="1" applyBorder="1"/>
    <xf numFmtId="5" fontId="0" fillId="0" borderId="0" xfId="2" applyNumberFormat="1" applyFont="1" applyBorder="1"/>
    <xf numFmtId="0" fontId="1" fillId="0" borderId="3" xfId="0" applyFont="1" applyBorder="1" applyAlignment="1">
      <alignment horizontal="left" indent="2"/>
    </xf>
    <xf numFmtId="0" fontId="1" fillId="0" borderId="1" xfId="0" applyFont="1" applyBorder="1" applyAlignment="1">
      <alignment horizontal="right"/>
    </xf>
    <xf numFmtId="0" fontId="11" fillId="0" borderId="0" xfId="0" applyFont="1" applyBorder="1"/>
    <xf numFmtId="0" fontId="107" fillId="0" borderId="0" xfId="0" applyFont="1" applyBorder="1"/>
    <xf numFmtId="0" fontId="107" fillId="0" borderId="0" xfId="0" applyFont="1"/>
    <xf numFmtId="5" fontId="11" fillId="0" borderId="1" xfId="0" applyNumberFormat="1" applyFont="1" applyBorder="1" applyAlignment="1">
      <alignment horizontal="right"/>
    </xf>
    <xf numFmtId="5" fontId="11" fillId="0" borderId="1" xfId="0" applyNumberFormat="1" applyFont="1" applyFill="1" applyBorder="1"/>
    <xf numFmtId="5" fontId="1" fillId="45" borderId="2" xfId="0" applyNumberFormat="1" applyFont="1" applyFill="1" applyBorder="1"/>
    <xf numFmtId="15" fontId="0" fillId="0" borderId="0" xfId="0" applyNumberFormat="1"/>
    <xf numFmtId="172" fontId="108" fillId="0" borderId="0" xfId="0" applyNumberFormat="1" applyFont="1"/>
    <xf numFmtId="178" fontId="0" fillId="0" borderId="0" xfId="0" applyNumberFormat="1" applyAlignment="1">
      <alignment horizontal="left"/>
    </xf>
    <xf numFmtId="172" fontId="16" fillId="51" borderId="7" xfId="0" applyNumberFormat="1" applyFont="1" applyFill="1" applyBorder="1"/>
    <xf numFmtId="0" fontId="16" fillId="51" borderId="7" xfId="0" applyNumberFormat="1" applyFont="1" applyFill="1" applyBorder="1"/>
    <xf numFmtId="0" fontId="9" fillId="5" borderId="7" xfId="4" applyNumberFormat="1" applyBorder="1"/>
    <xf numFmtId="0" fontId="51" fillId="36" borderId="7" xfId="4" applyNumberFormat="1" applyFont="1" applyFill="1" applyBorder="1" applyAlignment="1">
      <alignment wrapText="1"/>
    </xf>
    <xf numFmtId="0" fontId="109" fillId="51" borderId="7" xfId="0" applyNumberFormat="1" applyFont="1" applyFill="1" applyBorder="1"/>
    <xf numFmtId="172" fontId="16" fillId="0" borderId="7" xfId="0" applyNumberFormat="1" applyFont="1" applyFill="1" applyBorder="1"/>
    <xf numFmtId="0" fontId="16" fillId="0" borderId="7" xfId="0" applyNumberFormat="1" applyFont="1" applyFill="1" applyBorder="1"/>
    <xf numFmtId="0" fontId="110" fillId="5" borderId="7" xfId="4" applyNumberFormat="1" applyFont="1" applyBorder="1"/>
    <xf numFmtId="0" fontId="110" fillId="0" borderId="7" xfId="4" applyNumberFormat="1" applyFont="1" applyFill="1" applyBorder="1"/>
    <xf numFmtId="0" fontId="109" fillId="0" borderId="7" xfId="0" applyNumberFormat="1" applyFont="1" applyFill="1" applyBorder="1"/>
    <xf numFmtId="0" fontId="109" fillId="0" borderId="19" xfId="0" applyNumberFormat="1" applyFont="1" applyFill="1" applyBorder="1"/>
    <xf numFmtId="169" fontId="111" fillId="5" borderId="7" xfId="4" applyNumberFormat="1" applyFont="1" applyBorder="1"/>
    <xf numFmtId="169" fontId="111" fillId="0" borderId="7" xfId="4" applyNumberFormat="1" applyFont="1" applyFill="1" applyBorder="1"/>
    <xf numFmtId="172" fontId="15" fillId="0" borderId="7" xfId="0" applyNumberFormat="1" applyFont="1" applyFill="1" applyBorder="1" applyAlignment="1">
      <alignment horizontal="left" indent="1"/>
    </xf>
    <xf numFmtId="169" fontId="15" fillId="0" borderId="7" xfId="0" applyNumberFormat="1" applyFont="1" applyBorder="1"/>
    <xf numFmtId="169" fontId="110" fillId="5" borderId="7" xfId="4" applyNumberFormat="1" applyFont="1" applyBorder="1"/>
    <xf numFmtId="169" fontId="110" fillId="0" borderId="7" xfId="4" applyNumberFormat="1" applyFont="1" applyFill="1" applyBorder="1"/>
    <xf numFmtId="169" fontId="112" fillId="0" borderId="7" xfId="0" applyNumberFormat="1" applyFont="1" applyBorder="1"/>
    <xf numFmtId="169" fontId="112" fillId="0" borderId="19" xfId="0" applyNumberFormat="1" applyFont="1" applyBorder="1"/>
    <xf numFmtId="172" fontId="0" fillId="0" borderId="0" xfId="0" applyNumberFormat="1" applyAlignment="1">
      <alignment horizontal="center"/>
    </xf>
    <xf numFmtId="172" fontId="15" fillId="0" borderId="7" xfId="0" applyNumberFormat="1" applyFont="1" applyFill="1" applyBorder="1"/>
    <xf numFmtId="5" fontId="112" fillId="0" borderId="7" xfId="0" applyNumberFormat="1" applyFont="1" applyBorder="1"/>
    <xf numFmtId="5" fontId="112" fillId="0" borderId="19" xfId="0" applyNumberFormat="1" applyFont="1" applyBorder="1"/>
    <xf numFmtId="172" fontId="15" fillId="0" borderId="7" xfId="0" applyNumberFormat="1" applyFont="1" applyBorder="1" applyAlignment="1">
      <alignment horizontal="left" indent="1"/>
    </xf>
    <xf numFmtId="172" fontId="16" fillId="0" borderId="7" xfId="0" applyNumberFormat="1" applyFont="1" applyBorder="1"/>
    <xf numFmtId="172" fontId="15" fillId="0" borderId="7" xfId="0" applyNumberFormat="1" applyFont="1" applyBorder="1"/>
    <xf numFmtId="172" fontId="112" fillId="0" borderId="7" xfId="0" applyNumberFormat="1" applyFont="1" applyBorder="1"/>
    <xf numFmtId="172" fontId="112" fillId="0" borderId="19" xfId="0" applyNumberFormat="1" applyFont="1" applyBorder="1"/>
    <xf numFmtId="172" fontId="15" fillId="0" borderId="21" xfId="0" applyNumberFormat="1" applyFont="1" applyBorder="1" applyAlignment="1">
      <alignment horizontal="left" indent="1"/>
    </xf>
    <xf numFmtId="172" fontId="16" fillId="38" borderId="7" xfId="0" applyNumberFormat="1" applyFont="1" applyFill="1" applyBorder="1" applyAlignment="1"/>
    <xf numFmtId="172" fontId="16" fillId="38" borderId="7" xfId="0" applyNumberFormat="1" applyFont="1" applyFill="1" applyBorder="1" applyAlignment="1">
      <alignment horizontal="left"/>
    </xf>
    <xf numFmtId="172" fontId="16" fillId="0" borderId="7" xfId="0" applyNumberFormat="1" applyFont="1" applyBorder="1" applyAlignment="1"/>
    <xf numFmtId="169" fontId="112" fillId="0" borderId="21" xfId="0" applyNumberFormat="1" applyFont="1" applyBorder="1"/>
    <xf numFmtId="172" fontId="16" fillId="0" borderId="7" xfId="0" applyNumberFormat="1" applyFont="1" applyBorder="1" applyAlignment="1">
      <alignment horizontal="center"/>
    </xf>
    <xf numFmtId="169" fontId="16" fillId="0" borderId="7" xfId="0" applyNumberFormat="1" applyFont="1" applyBorder="1"/>
    <xf numFmtId="169" fontId="9" fillId="5" borderId="19" xfId="4" applyNumberFormat="1" applyBorder="1"/>
    <xf numFmtId="169" fontId="9" fillId="0" borderId="7" xfId="4" applyNumberFormat="1" applyFill="1" applyBorder="1"/>
    <xf numFmtId="169" fontId="112" fillId="52" borderId="22" xfId="0" applyNumberFormat="1" applyFont="1" applyFill="1" applyBorder="1"/>
    <xf numFmtId="169" fontId="112" fillId="52" borderId="46" xfId="0" applyNumberFormat="1" applyFont="1" applyFill="1" applyBorder="1"/>
    <xf numFmtId="172" fontId="16" fillId="53" borderId="7" xfId="0" applyNumberFormat="1" applyFont="1" applyFill="1" applyBorder="1" applyAlignment="1">
      <alignment horizontal="center"/>
    </xf>
    <xf numFmtId="169" fontId="16" fillId="38" borderId="7" xfId="0" applyNumberFormat="1" applyFont="1" applyFill="1" applyBorder="1" applyAlignment="1">
      <alignment horizontal="center"/>
    </xf>
    <xf numFmtId="169" fontId="112" fillId="54" borderId="5" xfId="0" applyNumberFormat="1" applyFont="1" applyFill="1" applyBorder="1"/>
    <xf numFmtId="172" fontId="0" fillId="0" borderId="7" xfId="0" applyNumberFormat="1" applyBorder="1" applyAlignment="1">
      <alignment horizontal="left" indent="1"/>
    </xf>
    <xf numFmtId="169" fontId="0" fillId="0" borderId="7" xfId="0" applyNumberFormat="1" applyBorder="1"/>
    <xf numFmtId="169" fontId="112" fillId="52" borderId="3" xfId="0" applyNumberFormat="1" applyFont="1" applyFill="1" applyBorder="1"/>
    <xf numFmtId="169" fontId="112" fillId="52" borderId="1" xfId="0" applyNumberFormat="1" applyFont="1" applyFill="1" applyBorder="1"/>
    <xf numFmtId="172" fontId="16" fillId="0" borderId="7" xfId="0" applyNumberFormat="1" applyFont="1" applyBorder="1" applyAlignment="1">
      <alignment horizontal="left"/>
    </xf>
    <xf numFmtId="169" fontId="111" fillId="5" borderId="19" xfId="4" applyNumberFormat="1" applyFont="1" applyBorder="1"/>
    <xf numFmtId="169" fontId="112" fillId="0" borderId="2" xfId="0" applyNumberFormat="1" applyFont="1" applyBorder="1"/>
    <xf numFmtId="169" fontId="110" fillId="5" borderId="19" xfId="4" applyNumberFormat="1" applyFont="1" applyBorder="1"/>
    <xf numFmtId="172" fontId="15" fillId="0" borderId="7" xfId="0" applyNumberFormat="1" applyFont="1" applyBorder="1" applyAlignment="1">
      <alignment horizontal="left"/>
    </xf>
    <xf numFmtId="169" fontId="112" fillId="0" borderId="22" xfId="0" applyNumberFormat="1" applyFont="1" applyBorder="1"/>
    <xf numFmtId="0" fontId="16" fillId="38" borderId="7" xfId="0" applyFont="1" applyFill="1" applyBorder="1" applyAlignment="1">
      <alignment horizontal="center"/>
    </xf>
    <xf numFmtId="169" fontId="112" fillId="0" borderId="3" xfId="0" applyNumberFormat="1" applyFont="1" applyBorder="1"/>
    <xf numFmtId="172" fontId="15" fillId="38" borderId="7" xfId="0" applyNumberFormat="1" applyFont="1" applyFill="1" applyBorder="1"/>
    <xf numFmtId="172" fontId="15" fillId="0" borderId="0" xfId="0" applyNumberFormat="1" applyFont="1" applyFill="1" applyBorder="1"/>
    <xf numFmtId="169" fontId="9" fillId="0" borderId="0" xfId="4" applyNumberFormat="1" applyFill="1" applyBorder="1"/>
    <xf numFmtId="169" fontId="112" fillId="0" borderId="0" xfId="0" applyNumberFormat="1" applyFont="1" applyFill="1" applyBorder="1"/>
    <xf numFmtId="172" fontId="0" fillId="0" borderId="0" xfId="0" applyNumberFormat="1" applyFill="1"/>
    <xf numFmtId="169" fontId="15" fillId="0" borderId="0" xfId="0" applyNumberFormat="1" applyFont="1" applyFill="1" applyBorder="1" applyAlignment="1">
      <alignment shrinkToFit="1"/>
    </xf>
    <xf numFmtId="9" fontId="0" fillId="0" borderId="0" xfId="0" applyNumberFormat="1" applyFill="1" applyBorder="1"/>
    <xf numFmtId="172" fontId="15" fillId="0" borderId="0" xfId="0" applyNumberFormat="1" applyFont="1"/>
    <xf numFmtId="172" fontId="15" fillId="0" borderId="0" xfId="0" applyNumberFormat="1" applyFont="1" applyAlignment="1">
      <alignment horizontal="right"/>
    </xf>
    <xf numFmtId="0" fontId="0" fillId="0" borderId="0" xfId="0" applyNumberFormat="1"/>
    <xf numFmtId="0" fontId="0" fillId="0" borderId="0" xfId="0" applyNumberFormat="1" applyFill="1"/>
    <xf numFmtId="3" fontId="0" fillId="0" borderId="0" xfId="0" applyNumberFormat="1" applyAlignment="1"/>
    <xf numFmtId="172" fontId="15" fillId="0" borderId="0" xfId="0" applyNumberFormat="1" applyFont="1" applyBorder="1" applyAlignment="1">
      <alignment horizontal="left"/>
    </xf>
    <xf numFmtId="172" fontId="0" fillId="0" borderId="0" xfId="0" applyNumberFormat="1" applyBorder="1"/>
    <xf numFmtId="172" fontId="0" fillId="0" borderId="0" xfId="0" applyNumberFormat="1" applyBorder="1" applyAlignment="1">
      <alignment horizontal="left"/>
    </xf>
    <xf numFmtId="3" fontId="15" fillId="0" borderId="0" xfId="0" applyNumberFormat="1" applyFont="1" applyAlignment="1"/>
    <xf numFmtId="169" fontId="15" fillId="0" borderId="0" xfId="0" applyNumberFormat="1" applyFont="1" applyBorder="1"/>
    <xf numFmtId="1" fontId="112" fillId="0" borderId="0" xfId="0" applyNumberFormat="1" applyFont="1" applyAlignment="1">
      <alignment horizontal="center"/>
    </xf>
    <xf numFmtId="0" fontId="0" fillId="0" borderId="0" xfId="0" applyNumberFormat="1" applyAlignment="1">
      <alignment horizontal="center"/>
    </xf>
    <xf numFmtId="10" fontId="0" fillId="0" borderId="0" xfId="0" applyNumberFormat="1"/>
    <xf numFmtId="172" fontId="0" fillId="0" borderId="0" xfId="0" applyNumberFormat="1" applyBorder="1" applyAlignment="1"/>
    <xf numFmtId="1" fontId="0" fillId="0" borderId="0" xfId="0" applyNumberFormat="1" applyBorder="1" applyAlignment="1">
      <alignment horizontal="center"/>
    </xf>
    <xf numFmtId="1" fontId="112" fillId="0" borderId="0" xfId="0" applyNumberFormat="1" applyFont="1" applyBorder="1" applyAlignment="1">
      <alignment horizontal="center"/>
    </xf>
    <xf numFmtId="1" fontId="0" fillId="0" borderId="0" xfId="0" applyNumberFormat="1" applyAlignment="1">
      <alignment horizontal="center"/>
    </xf>
    <xf numFmtId="172" fontId="15" fillId="0" borderId="0" xfId="0" applyNumberFormat="1" applyFont="1" applyBorder="1" applyAlignment="1">
      <alignment horizontal="right"/>
    </xf>
    <xf numFmtId="169" fontId="112" fillId="0" borderId="0" xfId="0" applyNumberFormat="1" applyFont="1" applyBorder="1" applyAlignment="1"/>
    <xf numFmtId="169" fontId="112" fillId="0" borderId="0" xfId="0" applyNumberFormat="1" applyFont="1" applyBorder="1" applyAlignment="1">
      <alignment horizontal="center"/>
    </xf>
    <xf numFmtId="169" fontId="112" fillId="0" borderId="0" xfId="0" applyNumberFormat="1" applyFont="1" applyBorder="1" applyAlignment="1">
      <alignment horizontal="right"/>
    </xf>
    <xf numFmtId="172" fontId="112" fillId="0" borderId="0" xfId="0" applyNumberFormat="1" applyFont="1" applyBorder="1" applyAlignment="1"/>
    <xf numFmtId="0" fontId="0" fillId="0" borderId="7" xfId="0" applyBorder="1" applyAlignment="1">
      <alignment horizontal="center"/>
    </xf>
    <xf numFmtId="7" fontId="0" fillId="0" borderId="0" xfId="0" applyNumberFormat="1"/>
    <xf numFmtId="168" fontId="0" fillId="43" borderId="7" xfId="3" applyNumberFormat="1" applyFont="1" applyFill="1" applyBorder="1"/>
    <xf numFmtId="0" fontId="61" fillId="43" borderId="4" xfId="0" applyFont="1" applyFill="1" applyBorder="1"/>
    <xf numFmtId="169" fontId="0" fillId="0" borderId="1" xfId="0" applyNumberFormat="1" applyFont="1" applyBorder="1"/>
    <xf numFmtId="5" fontId="0" fillId="0" borderId="0" xfId="0" applyNumberFormat="1" applyFont="1" applyBorder="1"/>
    <xf numFmtId="0" fontId="0" fillId="0" borderId="3" xfId="0" applyBorder="1" applyAlignment="1">
      <alignment horizontal="left" indent="2"/>
    </xf>
    <xf numFmtId="0" fontId="1" fillId="55" borderId="7" xfId="0" applyFont="1" applyFill="1" applyBorder="1"/>
    <xf numFmtId="0" fontId="0" fillId="55" borderId="4" xfId="0" applyFill="1" applyBorder="1"/>
    <xf numFmtId="5" fontId="0" fillId="55" borderId="4" xfId="0" applyNumberFormat="1" applyFill="1" applyBorder="1"/>
    <xf numFmtId="5" fontId="0" fillId="55" borderId="2" xfId="0" applyNumberFormat="1" applyFill="1" applyBorder="1"/>
    <xf numFmtId="0" fontId="0" fillId="0" borderId="5" xfId="0" applyBorder="1" applyAlignment="1">
      <alignment horizontal="left" indent="3"/>
    </xf>
    <xf numFmtId="5" fontId="0" fillId="0" borderId="38" xfId="0" applyNumberFormat="1" applyBorder="1"/>
    <xf numFmtId="5" fontId="0" fillId="0" borderId="3" xfId="0" applyNumberFormat="1" applyBorder="1"/>
    <xf numFmtId="7" fontId="0" fillId="0" borderId="0" xfId="0" applyNumberFormat="1" applyBorder="1"/>
    <xf numFmtId="0" fontId="0" fillId="0" borderId="0" xfId="0" applyBorder="1" applyAlignment="1">
      <alignment horizontal="left" indent="1"/>
    </xf>
    <xf numFmtId="5" fontId="51" fillId="0" borderId="0" xfId="0" applyNumberFormat="1" applyFont="1" applyFill="1" applyBorder="1"/>
    <xf numFmtId="5" fontId="0" fillId="0" borderId="47" xfId="2" applyNumberFormat="1" applyFont="1" applyFill="1" applyBorder="1"/>
    <xf numFmtId="5" fontId="0" fillId="0" borderId="48" xfId="2" applyNumberFormat="1" applyFont="1" applyFill="1" applyBorder="1"/>
    <xf numFmtId="5" fontId="0" fillId="0" borderId="48" xfId="0" applyNumberFormat="1" applyFill="1" applyBorder="1"/>
    <xf numFmtId="5" fontId="0" fillId="0" borderId="38" xfId="0" applyNumberFormat="1" applyFill="1" applyBorder="1"/>
    <xf numFmtId="177" fontId="0" fillId="0" borderId="0" xfId="0" applyNumberFormat="1" applyBorder="1"/>
    <xf numFmtId="0" fontId="11" fillId="0" borderId="1" xfId="0" applyFont="1" applyBorder="1"/>
    <xf numFmtId="5" fontId="107" fillId="0" borderId="1" xfId="0" applyNumberFormat="1" applyFont="1" applyBorder="1"/>
    <xf numFmtId="5" fontId="11" fillId="0" borderId="1" xfId="0" applyNumberFormat="1" applyFont="1" applyBorder="1"/>
    <xf numFmtId="5" fontId="0" fillId="0" borderId="0" xfId="1" applyNumberFormat="1" applyFont="1"/>
    <xf numFmtId="179" fontId="0" fillId="0" borderId="0" xfId="0" applyNumberFormat="1"/>
    <xf numFmtId="180" fontId="0" fillId="0" borderId="0" xfId="3" applyNumberFormat="1" applyFont="1"/>
    <xf numFmtId="179" fontId="0" fillId="0" borderId="0" xfId="3" applyNumberFormat="1" applyFont="1"/>
    <xf numFmtId="169" fontId="4" fillId="0" borderId="0" xfId="3" applyNumberFormat="1" applyFont="1"/>
    <xf numFmtId="3" fontId="0" fillId="0" borderId="0" xfId="0" applyNumberFormat="1"/>
    <xf numFmtId="168" fontId="0" fillId="0" borderId="0" xfId="0" applyNumberFormat="1"/>
    <xf numFmtId="171" fontId="0" fillId="0" borderId="0" xfId="1" applyNumberFormat="1" applyFont="1"/>
    <xf numFmtId="6" fontId="0" fillId="0" borderId="0" xfId="0" applyNumberFormat="1"/>
    <xf numFmtId="169" fontId="1" fillId="0" borderId="0" xfId="3" applyNumberFormat="1" applyFont="1"/>
    <xf numFmtId="168" fontId="15" fillId="0" borderId="0" xfId="3" applyNumberFormat="1" applyFont="1"/>
    <xf numFmtId="10" fontId="61" fillId="43" borderId="7" xfId="1" applyNumberFormat="1" applyFont="1" applyFill="1" applyBorder="1"/>
    <xf numFmtId="10" fontId="0" fillId="0" borderId="7" xfId="1" applyNumberFormat="1" applyFont="1" applyBorder="1"/>
    <xf numFmtId="0" fontId="1" fillId="0" borderId="19" xfId="0" applyFont="1" applyBorder="1"/>
    <xf numFmtId="0" fontId="0" fillId="0" borderId="4" xfId="0" applyBorder="1"/>
    <xf numFmtId="5" fontId="0" fillId="0" borderId="4" xfId="2" applyNumberFormat="1" applyFont="1" applyBorder="1"/>
    <xf numFmtId="5" fontId="0" fillId="0" borderId="2" xfId="2" applyNumberFormat="1" applyFont="1" applyBorder="1"/>
    <xf numFmtId="5" fontId="0" fillId="0" borderId="4" xfId="0" applyNumberFormat="1" applyBorder="1"/>
    <xf numFmtId="5" fontId="0" fillId="0" borderId="2" xfId="0" applyNumberFormat="1" applyBorder="1"/>
    <xf numFmtId="5" fontId="0" fillId="0" borderId="47" xfId="0" applyNumberFormat="1" applyFill="1" applyBorder="1"/>
    <xf numFmtId="5" fontId="0" fillId="0" borderId="21" xfId="0" applyNumberFormat="1" applyBorder="1"/>
    <xf numFmtId="5" fontId="1" fillId="0" borderId="4" xfId="2" applyNumberFormat="1" applyFont="1" applyBorder="1"/>
    <xf numFmtId="5" fontId="1" fillId="0" borderId="2" xfId="0" applyNumberFormat="1" applyFont="1" applyBorder="1"/>
    <xf numFmtId="9" fontId="99" fillId="0" borderId="0" xfId="1" applyNumberFormat="1" applyFont="1" applyFill="1" applyBorder="1"/>
    <xf numFmtId="9" fontId="99" fillId="0" borderId="0" xfId="1" applyFont="1" applyFill="1" applyBorder="1"/>
    <xf numFmtId="171" fontId="99" fillId="0" borderId="0" xfId="1" applyNumberFormat="1" applyFont="1" applyFill="1" applyBorder="1"/>
    <xf numFmtId="44" fontId="99" fillId="0" borderId="0" xfId="2" applyFont="1" applyFill="1" applyBorder="1"/>
    <xf numFmtId="9" fontId="99" fillId="0" borderId="0" xfId="0" applyNumberFormat="1" applyFont="1" applyFill="1" applyBorder="1"/>
    <xf numFmtId="169" fontId="16" fillId="53" borderId="19" xfId="0" applyNumberFormat="1" applyFont="1" applyFill="1" applyBorder="1" applyAlignment="1">
      <alignment horizontal="center"/>
    </xf>
    <xf numFmtId="169" fontId="16" fillId="53" borderId="41" xfId="0" applyNumberFormat="1" applyFont="1" applyFill="1" applyBorder="1" applyAlignment="1">
      <alignment horizontal="center"/>
    </xf>
    <xf numFmtId="0" fontId="16" fillId="53" borderId="41" xfId="0" applyFont="1" applyFill="1" applyBorder="1" applyAlignment="1">
      <alignment horizontal="center"/>
    </xf>
    <xf numFmtId="0" fontId="1" fillId="0" borderId="7" xfId="0" applyFont="1" applyBorder="1" applyAlignment="1">
      <alignment horizontal="center"/>
    </xf>
    <xf numFmtId="0" fontId="1" fillId="0" borderId="19" xfId="0" applyFont="1" applyBorder="1" applyAlignment="1">
      <alignment horizontal="center"/>
    </xf>
    <xf numFmtId="0" fontId="1" fillId="0" borderId="41" xfId="0" applyFont="1" applyBorder="1" applyAlignment="1">
      <alignment horizontal="center"/>
    </xf>
    <xf numFmtId="0" fontId="1" fillId="0" borderId="20" xfId="0" applyFont="1" applyBorder="1" applyAlignment="1">
      <alignment horizontal="center"/>
    </xf>
    <xf numFmtId="0" fontId="44" fillId="0" borderId="40" xfId="0" applyFont="1" applyBorder="1" applyAlignment="1">
      <alignment horizontal="left"/>
    </xf>
    <xf numFmtId="0" fontId="44" fillId="0" borderId="41" xfId="0" applyFont="1" applyBorder="1" applyAlignment="1">
      <alignment horizontal="left"/>
    </xf>
    <xf numFmtId="0" fontId="44" fillId="0" borderId="45" xfId="0" applyFont="1" applyBorder="1" applyAlignment="1">
      <alignment horizontal="left"/>
    </xf>
    <xf numFmtId="0" fontId="44" fillId="0" borderId="46" xfId="0" applyFont="1" applyBorder="1" applyAlignment="1">
      <alignment horizontal="left"/>
    </xf>
    <xf numFmtId="0" fontId="8" fillId="6" borderId="17" xfId="0" applyFont="1" applyFill="1" applyBorder="1" applyAlignment="1">
      <alignment horizontal="left"/>
    </xf>
    <xf numFmtId="0" fontId="8" fillId="6" borderId="32" xfId="0" applyFont="1" applyFill="1" applyBorder="1" applyAlignment="1">
      <alignment horizontal="left"/>
    </xf>
    <xf numFmtId="0" fontId="8" fillId="32" borderId="49" xfId="0" applyFont="1" applyFill="1" applyBorder="1" applyAlignment="1">
      <alignment horizontal="left"/>
    </xf>
    <xf numFmtId="0" fontId="8" fillId="32" borderId="50" xfId="0" applyFont="1" applyFill="1" applyBorder="1" applyAlignment="1">
      <alignment horizontal="left"/>
    </xf>
    <xf numFmtId="0" fontId="44" fillId="0" borderId="37" xfId="0" applyFont="1" applyBorder="1" applyAlignment="1">
      <alignment horizontal="left"/>
    </xf>
    <xf numFmtId="0" fontId="44" fillId="0" borderId="1" xfId="0" applyFont="1" applyBorder="1" applyAlignment="1">
      <alignment horizontal="left"/>
    </xf>
    <xf numFmtId="170" fontId="0" fillId="30" borderId="0" xfId="0" applyNumberFormat="1" applyFill="1" applyBorder="1" applyAlignment="1">
      <alignment horizontal="left"/>
    </xf>
    <xf numFmtId="0" fontId="0" fillId="31" borderId="17" xfId="0" applyFill="1" applyBorder="1" applyAlignment="1">
      <alignment horizontal="center"/>
    </xf>
    <xf numFmtId="0" fontId="0" fillId="31" borderId="18" xfId="0" applyFill="1" applyBorder="1" applyAlignment="1">
      <alignment horizontal="center"/>
    </xf>
    <xf numFmtId="0" fontId="8" fillId="32" borderId="19" xfId="0" applyFont="1" applyFill="1" applyBorder="1" applyAlignment="1">
      <alignment horizontal="left"/>
    </xf>
    <xf numFmtId="0" fontId="8" fillId="32" borderId="20" xfId="0" applyFont="1" applyFill="1" applyBorder="1" applyAlignment="1">
      <alignment horizontal="left"/>
    </xf>
    <xf numFmtId="0" fontId="49" fillId="34" borderId="17" xfId="0" applyFont="1" applyFill="1" applyBorder="1" applyAlignment="1">
      <alignment horizontal="left"/>
    </xf>
    <xf numFmtId="0" fontId="49" fillId="34" borderId="32" xfId="0" applyFont="1" applyFill="1" applyBorder="1" applyAlignment="1">
      <alignment horizontal="left"/>
    </xf>
    <xf numFmtId="0" fontId="49" fillId="34" borderId="18" xfId="0" applyFont="1" applyFill="1" applyBorder="1" applyAlignment="1">
      <alignment horizontal="left"/>
    </xf>
    <xf numFmtId="0" fontId="1" fillId="36" borderId="51" xfId="0" applyFont="1" applyFill="1" applyBorder="1" applyAlignment="1">
      <alignment horizontal="center"/>
    </xf>
    <xf numFmtId="0" fontId="1" fillId="36" borderId="52" xfId="0" applyFont="1" applyFill="1" applyBorder="1" applyAlignment="1">
      <alignment horizontal="center"/>
    </xf>
    <xf numFmtId="0" fontId="1" fillId="36" borderId="53" xfId="0" applyFont="1" applyFill="1" applyBorder="1" applyAlignment="1">
      <alignment horizontal="center"/>
    </xf>
    <xf numFmtId="0" fontId="1" fillId="37" borderId="19" xfId="0" applyFont="1" applyFill="1" applyBorder="1" applyAlignment="1">
      <alignment horizontal="center"/>
    </xf>
    <xf numFmtId="0" fontId="1" fillId="37" borderId="41" xfId="0" applyFont="1" applyFill="1" applyBorder="1" applyAlignment="1">
      <alignment horizontal="center"/>
    </xf>
    <xf numFmtId="0" fontId="1" fillId="37" borderId="20" xfId="0" applyFont="1" applyFill="1" applyBorder="1" applyAlignment="1">
      <alignment horizontal="center"/>
    </xf>
  </cellXfs>
  <cellStyles count="74">
    <cellStyle name="$/MWh" xfId="57"/>
    <cellStyle name="(000's)" xfId="58"/>
    <cellStyle name="20% - Accent1 2" xfId="6"/>
    <cellStyle name="20% - Accent2 2" xfId="7"/>
    <cellStyle name="20% - Accent3 2" xfId="8"/>
    <cellStyle name="20% - Accent4 2" xfId="9"/>
    <cellStyle name="20% - Accent5 2" xfId="10"/>
    <cellStyle name="20% - Accent6 2" xfId="11"/>
    <cellStyle name="40% - Accent1 2" xfId="12"/>
    <cellStyle name="40% - Accent2 2" xfId="13"/>
    <cellStyle name="40% - Accent3 2" xfId="14"/>
    <cellStyle name="40% - Accent4 2" xfId="15"/>
    <cellStyle name="40% - Accent5 2" xfId="16"/>
    <cellStyle name="40% - Accent6 2" xfId="17"/>
    <cellStyle name="60% - Accent1 2" xfId="18"/>
    <cellStyle name="60% - Accent2 2" xfId="19"/>
    <cellStyle name="60% - Accent3 2" xfId="20"/>
    <cellStyle name="60% - Accent4 2" xfId="21"/>
    <cellStyle name="60% - Accent5 2" xfId="22"/>
    <cellStyle name="60% - Accent6 2" xfId="23"/>
    <cellStyle name="Accent1 2" xfId="24"/>
    <cellStyle name="Accent2 2" xfId="25"/>
    <cellStyle name="Accent3 2" xfId="26"/>
    <cellStyle name="Accent4 2" xfId="27"/>
    <cellStyle name="Accent5 2" xfId="28"/>
    <cellStyle name="Accent6 2" xfId="29"/>
    <cellStyle name="Bad" xfId="69" builtinId="27"/>
    <cellStyle name="Bad 2" xfId="30"/>
    <cellStyle name="Calculation" xfId="71" builtinId="22"/>
    <cellStyle name="Calculation 2" xfId="31"/>
    <cellStyle name="Check Cell 2" xfId="32"/>
    <cellStyle name="Comma" xfId="3" builtinId="3"/>
    <cellStyle name="Comma 2" xfId="52"/>
    <cellStyle name="Comma0" xfId="59"/>
    <cellStyle name="Currency" xfId="2" builtinId="4"/>
    <cellStyle name="Currency 2" xfId="33"/>
    <cellStyle name="Currency 3" xfId="34"/>
    <cellStyle name="Currency 3 2" xfId="53"/>
    <cellStyle name="Currency0" xfId="60"/>
    <cellStyle name="Explanatory Text 2" xfId="35"/>
    <cellStyle name="Fixed" xfId="61"/>
    <cellStyle name="Good" xfId="4" builtinId="26"/>
    <cellStyle name="Good 2" xfId="36"/>
    <cellStyle name="Heading 1 2" xfId="37"/>
    <cellStyle name="Heading 2 2" xfId="38"/>
    <cellStyle name="Heading 3 2" xfId="39"/>
    <cellStyle name="Heading 4 2" xfId="40"/>
    <cellStyle name="heading1" xfId="62"/>
    <cellStyle name="Input" xfId="70" builtinId="20"/>
    <cellStyle name="Input 2" xfId="41"/>
    <cellStyle name="Input2" xfId="72"/>
    <cellStyle name="Linked Cell 2" xfId="42"/>
    <cellStyle name="Neutral 2" xfId="43"/>
    <cellStyle name="Normal" xfId="0" builtinId="0"/>
    <cellStyle name="Normal 2" xfId="44"/>
    <cellStyle name="Normal 2 2" xfId="63"/>
    <cellStyle name="Normal 2_CSO Layer Info" xfId="64"/>
    <cellStyle name="Normal 3" xfId="5"/>
    <cellStyle name="Normal 3 2" xfId="55"/>
    <cellStyle name="Normal 4" xfId="65"/>
    <cellStyle name="Normal 5" xfId="67"/>
    <cellStyle name="Normal 6" xfId="54"/>
    <cellStyle name="Normal_NRA Budgets 1 10 2011" xfId="73"/>
    <cellStyle name="Note 2" xfId="45"/>
    <cellStyle name="Output 2" xfId="46"/>
    <cellStyle name="Percent" xfId="1" builtinId="5"/>
    <cellStyle name="Percent 2" xfId="48"/>
    <cellStyle name="Percent 3" xfId="47"/>
    <cellStyle name="Percent 3 2" xfId="56"/>
    <cellStyle name="Percent 4" xfId="66"/>
    <cellStyle name="Percent 5" xfId="68"/>
    <cellStyle name="Title 2" xfId="49"/>
    <cellStyle name="Total 2" xfId="50"/>
    <cellStyle name="Warning Text 2" xfId="51"/>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CCFFCC"/>
      <color rgb="FFFFFFCC"/>
      <color rgb="FFCCCCFF"/>
      <color rgb="FF0000CC"/>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externalLink" Target="externalLinks/externalLink1.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externalLink" Target="externalLinks/externalLink4.xml"/><Relationship Id="rId47" Type="http://schemas.openxmlformats.org/officeDocument/2006/relationships/calcChain" Target="calcChain.xml"/><Relationship Id="rId50" Type="http://schemas.openxmlformats.org/officeDocument/2006/relationships/customXml" Target="../customXml/item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41" Type="http://schemas.openxmlformats.org/officeDocument/2006/relationships/externalLink" Target="externalLinks/externalLink3.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externalLink" Target="externalLinks/externalLink2.xml"/><Relationship Id="rId45"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customXml" Target="../customXml/item2.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externalLink" Target="externalLinks/externalLink5.xml"/><Relationship Id="rId48" Type="http://schemas.openxmlformats.org/officeDocument/2006/relationships/customXml" Target="../customXml/item1.xml"/><Relationship Id="rId8" Type="http://schemas.openxmlformats.org/officeDocument/2006/relationships/worksheet" Target="worksheets/sheet8.xml"/><Relationship Id="rId51" Type="http://schemas.openxmlformats.org/officeDocument/2006/relationships/customXml" Target="../customXml/item4.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en-US"/>
              <a:t>Max Achievable</a:t>
            </a:r>
            <a:r>
              <a:rPr lang="en-US" baseline="0"/>
              <a:t> </a:t>
            </a:r>
            <a:r>
              <a:rPr lang="en-US"/>
              <a:t>Incremental Annual Savings as a % of Adjusted Sales</a:t>
            </a:r>
          </a:p>
        </c:rich>
      </c:tx>
      <c:overlay val="0"/>
    </c:title>
    <c:autoTitleDeleted val="0"/>
    <c:plotArea>
      <c:layout/>
      <c:lineChart>
        <c:grouping val="standard"/>
        <c:varyColors val="0"/>
        <c:ser>
          <c:idx val="0"/>
          <c:order val="0"/>
          <c:tx>
            <c:strRef>
              <c:f>'[4]2013 Savings as % of Sales'!$A$3</c:f>
              <c:strCache>
                <c:ptCount val="1"/>
                <c:pt idx="0">
                  <c:v>Statewide Total</c:v>
                </c:pt>
              </c:strCache>
            </c:strRef>
          </c:tx>
          <c:marker>
            <c:symbol val="none"/>
          </c:marker>
          <c:cat>
            <c:numRef>
              <c:f>'[4]2013 Savings as % of Sales'!$C$2:$U$2</c:f>
              <c:numCache>
                <c:formatCode>General</c:formatCode>
                <c:ptCount val="19"/>
                <c:pt idx="0">
                  <c:v>2015</c:v>
                </c:pt>
                <c:pt idx="1">
                  <c:v>2016</c:v>
                </c:pt>
                <c:pt idx="2">
                  <c:v>2017</c:v>
                </c:pt>
                <c:pt idx="3">
                  <c:v>2018</c:v>
                </c:pt>
                <c:pt idx="4">
                  <c:v>2019</c:v>
                </c:pt>
                <c:pt idx="5">
                  <c:v>2020</c:v>
                </c:pt>
                <c:pt idx="6">
                  <c:v>2021</c:v>
                </c:pt>
                <c:pt idx="7">
                  <c:v>2022</c:v>
                </c:pt>
                <c:pt idx="8">
                  <c:v>2023</c:v>
                </c:pt>
                <c:pt idx="9">
                  <c:v>2024</c:v>
                </c:pt>
                <c:pt idx="10">
                  <c:v>2025</c:v>
                </c:pt>
                <c:pt idx="11">
                  <c:v>2026</c:v>
                </c:pt>
                <c:pt idx="12">
                  <c:v>2027</c:v>
                </c:pt>
                <c:pt idx="13">
                  <c:v>2028</c:v>
                </c:pt>
                <c:pt idx="14">
                  <c:v>2029</c:v>
                </c:pt>
                <c:pt idx="15">
                  <c:v>2030</c:v>
                </c:pt>
                <c:pt idx="16">
                  <c:v>2031</c:v>
                </c:pt>
                <c:pt idx="17">
                  <c:v>2032</c:v>
                </c:pt>
                <c:pt idx="18">
                  <c:v>2033</c:v>
                </c:pt>
              </c:numCache>
            </c:numRef>
          </c:cat>
          <c:val>
            <c:numRef>
              <c:f>'[4]2013 Savings as % of Sales'!$C$3:$U$3</c:f>
              <c:numCache>
                <c:formatCode>General</c:formatCode>
                <c:ptCount val="19"/>
                <c:pt idx="0">
                  <c:v>3.626180850741488E-2</c:v>
                </c:pt>
                <c:pt idx="1">
                  <c:v>3.7830138313715046E-2</c:v>
                </c:pt>
                <c:pt idx="2">
                  <c:v>3.6612216278650175E-2</c:v>
                </c:pt>
                <c:pt idx="3">
                  <c:v>3.5104867526051096E-2</c:v>
                </c:pt>
                <c:pt idx="4">
                  <c:v>3.3768044190585281E-2</c:v>
                </c:pt>
                <c:pt idx="5">
                  <c:v>3.3522512030882141E-2</c:v>
                </c:pt>
                <c:pt idx="6">
                  <c:v>2.9017264034013977E-2</c:v>
                </c:pt>
                <c:pt idx="7">
                  <c:v>2.8559088554613015E-2</c:v>
                </c:pt>
                <c:pt idx="8">
                  <c:v>2.4166418820721566E-2</c:v>
                </c:pt>
                <c:pt idx="9">
                  <c:v>2.3837287862424283E-2</c:v>
                </c:pt>
                <c:pt idx="10">
                  <c:v>2.4191329687826762E-2</c:v>
                </c:pt>
                <c:pt idx="11">
                  <c:v>2.5961446357059235E-2</c:v>
                </c:pt>
                <c:pt idx="12">
                  <c:v>2.5509387186371208E-2</c:v>
                </c:pt>
                <c:pt idx="13">
                  <c:v>2.800674388404098E-2</c:v>
                </c:pt>
                <c:pt idx="14">
                  <c:v>3.4984077587175415E-2</c:v>
                </c:pt>
                <c:pt idx="15">
                  <c:v>3.4940390320989743E-2</c:v>
                </c:pt>
                <c:pt idx="16">
                  <c:v>3.3749225472566716E-2</c:v>
                </c:pt>
                <c:pt idx="17">
                  <c:v>3.2284434532577934E-2</c:v>
                </c:pt>
                <c:pt idx="18">
                  <c:v>2.9537895134378479E-2</c:v>
                </c:pt>
              </c:numCache>
            </c:numRef>
          </c:val>
          <c:smooth val="0"/>
        </c:ser>
        <c:ser>
          <c:idx val="1"/>
          <c:order val="1"/>
          <c:tx>
            <c:strRef>
              <c:f>'[4]2013 Savings as % of Sales'!$A$4</c:f>
              <c:strCache>
                <c:ptCount val="1"/>
                <c:pt idx="0">
                  <c:v>EVT</c:v>
                </c:pt>
              </c:strCache>
            </c:strRef>
          </c:tx>
          <c:marker>
            <c:symbol val="none"/>
          </c:marker>
          <c:cat>
            <c:numRef>
              <c:f>'[4]2013 Savings as % of Sales'!$C$2:$U$2</c:f>
              <c:numCache>
                <c:formatCode>General</c:formatCode>
                <c:ptCount val="19"/>
                <c:pt idx="0">
                  <c:v>2015</c:v>
                </c:pt>
                <c:pt idx="1">
                  <c:v>2016</c:v>
                </c:pt>
                <c:pt idx="2">
                  <c:v>2017</c:v>
                </c:pt>
                <c:pt idx="3">
                  <c:v>2018</c:v>
                </c:pt>
                <c:pt idx="4">
                  <c:v>2019</c:v>
                </c:pt>
                <c:pt idx="5">
                  <c:v>2020</c:v>
                </c:pt>
                <c:pt idx="6">
                  <c:v>2021</c:v>
                </c:pt>
                <c:pt idx="7">
                  <c:v>2022</c:v>
                </c:pt>
                <c:pt idx="8">
                  <c:v>2023</c:v>
                </c:pt>
                <c:pt idx="9">
                  <c:v>2024</c:v>
                </c:pt>
                <c:pt idx="10">
                  <c:v>2025</c:v>
                </c:pt>
                <c:pt idx="11">
                  <c:v>2026</c:v>
                </c:pt>
                <c:pt idx="12">
                  <c:v>2027</c:v>
                </c:pt>
                <c:pt idx="13">
                  <c:v>2028</c:v>
                </c:pt>
                <c:pt idx="14">
                  <c:v>2029</c:v>
                </c:pt>
                <c:pt idx="15">
                  <c:v>2030</c:v>
                </c:pt>
                <c:pt idx="16">
                  <c:v>2031</c:v>
                </c:pt>
                <c:pt idx="17">
                  <c:v>2032</c:v>
                </c:pt>
                <c:pt idx="18">
                  <c:v>2033</c:v>
                </c:pt>
              </c:numCache>
            </c:numRef>
          </c:cat>
          <c:val>
            <c:numRef>
              <c:f>'[4]2013 Savings as % of Sales'!$C$4:$U$4</c:f>
              <c:numCache>
                <c:formatCode>General</c:formatCode>
                <c:ptCount val="19"/>
                <c:pt idx="0">
                  <c:v>3.6389388522432863E-2</c:v>
                </c:pt>
                <c:pt idx="1">
                  <c:v>3.7929040963953289E-2</c:v>
                </c:pt>
                <c:pt idx="2">
                  <c:v>3.6719537453506076E-2</c:v>
                </c:pt>
                <c:pt idx="3">
                  <c:v>3.5238548976399484E-2</c:v>
                </c:pt>
                <c:pt idx="4">
                  <c:v>3.3949633724534911E-2</c:v>
                </c:pt>
                <c:pt idx="5">
                  <c:v>3.3816580362701826E-2</c:v>
                </c:pt>
                <c:pt idx="6">
                  <c:v>2.924090812142768E-2</c:v>
                </c:pt>
                <c:pt idx="7">
                  <c:v>2.877567884627031E-2</c:v>
                </c:pt>
                <c:pt idx="8">
                  <c:v>2.4517061220309229E-2</c:v>
                </c:pt>
                <c:pt idx="9">
                  <c:v>2.4174095139666996E-2</c:v>
                </c:pt>
                <c:pt idx="10">
                  <c:v>2.4473026277404442E-2</c:v>
                </c:pt>
                <c:pt idx="11">
                  <c:v>2.6168179836002347E-2</c:v>
                </c:pt>
                <c:pt idx="12">
                  <c:v>2.5690644426690477E-2</c:v>
                </c:pt>
                <c:pt idx="13">
                  <c:v>2.8141107309753798E-2</c:v>
                </c:pt>
                <c:pt idx="14">
                  <c:v>3.4968266308275056E-2</c:v>
                </c:pt>
                <c:pt idx="15">
                  <c:v>3.4877952691942229E-2</c:v>
                </c:pt>
                <c:pt idx="16">
                  <c:v>3.3698840779635565E-2</c:v>
                </c:pt>
                <c:pt idx="17">
                  <c:v>3.2267450324371394E-2</c:v>
                </c:pt>
                <c:pt idx="18">
                  <c:v>2.9592552640373106E-2</c:v>
                </c:pt>
              </c:numCache>
            </c:numRef>
          </c:val>
          <c:smooth val="0"/>
        </c:ser>
        <c:ser>
          <c:idx val="2"/>
          <c:order val="2"/>
          <c:tx>
            <c:strRef>
              <c:f>'[4]2013 Savings as % of Sales'!$A$5</c:f>
              <c:strCache>
                <c:ptCount val="1"/>
                <c:pt idx="0">
                  <c:v>BED</c:v>
                </c:pt>
              </c:strCache>
            </c:strRef>
          </c:tx>
          <c:marker>
            <c:symbol val="none"/>
          </c:marker>
          <c:cat>
            <c:numRef>
              <c:f>'[4]2013 Savings as % of Sales'!$C$2:$U$2</c:f>
              <c:numCache>
                <c:formatCode>General</c:formatCode>
                <c:ptCount val="19"/>
                <c:pt idx="0">
                  <c:v>2015</c:v>
                </c:pt>
                <c:pt idx="1">
                  <c:v>2016</c:v>
                </c:pt>
                <c:pt idx="2">
                  <c:v>2017</c:v>
                </c:pt>
                <c:pt idx="3">
                  <c:v>2018</c:v>
                </c:pt>
                <c:pt idx="4">
                  <c:v>2019</c:v>
                </c:pt>
                <c:pt idx="5">
                  <c:v>2020</c:v>
                </c:pt>
                <c:pt idx="6">
                  <c:v>2021</c:v>
                </c:pt>
                <c:pt idx="7">
                  <c:v>2022</c:v>
                </c:pt>
                <c:pt idx="8">
                  <c:v>2023</c:v>
                </c:pt>
                <c:pt idx="9">
                  <c:v>2024</c:v>
                </c:pt>
                <c:pt idx="10">
                  <c:v>2025</c:v>
                </c:pt>
                <c:pt idx="11">
                  <c:v>2026</c:v>
                </c:pt>
                <c:pt idx="12">
                  <c:v>2027</c:v>
                </c:pt>
                <c:pt idx="13">
                  <c:v>2028</c:v>
                </c:pt>
                <c:pt idx="14">
                  <c:v>2029</c:v>
                </c:pt>
                <c:pt idx="15">
                  <c:v>2030</c:v>
                </c:pt>
                <c:pt idx="16">
                  <c:v>2031</c:v>
                </c:pt>
                <c:pt idx="17">
                  <c:v>2032</c:v>
                </c:pt>
                <c:pt idx="18">
                  <c:v>2033</c:v>
                </c:pt>
              </c:numCache>
            </c:numRef>
          </c:cat>
          <c:val>
            <c:numRef>
              <c:f>'[4]2013 Savings as % of Sales'!$C$5:$U$5</c:f>
              <c:numCache>
                <c:formatCode>General</c:formatCode>
                <c:ptCount val="19"/>
                <c:pt idx="0">
                  <c:v>3.4602917267040428E-2</c:v>
                </c:pt>
                <c:pt idx="1">
                  <c:v>3.6529504670614978E-2</c:v>
                </c:pt>
                <c:pt idx="2">
                  <c:v>3.5187020055724487E-2</c:v>
                </c:pt>
                <c:pt idx="3">
                  <c:v>3.3328564435602004E-2</c:v>
                </c:pt>
                <c:pt idx="4">
                  <c:v>3.1377598303260236E-2</c:v>
                </c:pt>
                <c:pt idx="5">
                  <c:v>2.9765569585114674E-2</c:v>
                </c:pt>
                <c:pt idx="6">
                  <c:v>2.614685215561605E-2</c:v>
                </c:pt>
                <c:pt idx="7">
                  <c:v>2.5760205843578941E-2</c:v>
                </c:pt>
                <c:pt idx="8">
                  <c:v>1.9703034300340875E-2</c:v>
                </c:pt>
                <c:pt idx="9">
                  <c:v>1.9545341537726215E-2</c:v>
                </c:pt>
                <c:pt idx="10">
                  <c:v>2.0563223181516935E-2</c:v>
                </c:pt>
                <c:pt idx="11">
                  <c:v>2.3273096917851458E-2</c:v>
                </c:pt>
                <c:pt idx="12">
                  <c:v>2.312715230923959E-2</c:v>
                </c:pt>
                <c:pt idx="13">
                  <c:v>2.6228482558507529E-2</c:v>
                </c:pt>
                <c:pt idx="14">
                  <c:v>3.5193679030433619E-2</c:v>
                </c:pt>
                <c:pt idx="15">
                  <c:v>3.5780684649191451E-2</c:v>
                </c:pt>
                <c:pt idx="16">
                  <c:v>3.4428382214429176E-2</c:v>
                </c:pt>
                <c:pt idx="17">
                  <c:v>3.2513206334652905E-2</c:v>
                </c:pt>
                <c:pt idx="18">
                  <c:v>2.880395798684075E-2</c:v>
                </c:pt>
              </c:numCache>
            </c:numRef>
          </c:val>
          <c:smooth val="0"/>
        </c:ser>
        <c:dLbls>
          <c:showLegendKey val="0"/>
          <c:showVal val="0"/>
          <c:showCatName val="0"/>
          <c:showSerName val="0"/>
          <c:showPercent val="0"/>
          <c:showBubbleSize val="0"/>
        </c:dLbls>
        <c:marker val="1"/>
        <c:smooth val="0"/>
        <c:axId val="94814976"/>
        <c:axId val="94816512"/>
      </c:lineChart>
      <c:catAx>
        <c:axId val="94814976"/>
        <c:scaling>
          <c:orientation val="minMax"/>
        </c:scaling>
        <c:delete val="0"/>
        <c:axPos val="b"/>
        <c:numFmt formatCode="General" sourceLinked="1"/>
        <c:majorTickMark val="none"/>
        <c:minorTickMark val="none"/>
        <c:tickLblPos val="nextTo"/>
        <c:crossAx val="94816512"/>
        <c:crosses val="autoZero"/>
        <c:auto val="1"/>
        <c:lblAlgn val="ctr"/>
        <c:lblOffset val="100"/>
        <c:noMultiLvlLbl val="0"/>
      </c:catAx>
      <c:valAx>
        <c:axId val="94816512"/>
        <c:scaling>
          <c:orientation val="minMax"/>
          <c:max val="5.000000000000001E-2"/>
          <c:min val="1.5000000000000003E-2"/>
        </c:scaling>
        <c:delete val="0"/>
        <c:axPos val="l"/>
        <c:majorGridlines/>
        <c:title>
          <c:tx>
            <c:rich>
              <a:bodyPr/>
              <a:lstStyle/>
              <a:p>
                <a:pPr>
                  <a:defRPr/>
                </a:pPr>
                <a:r>
                  <a:rPr lang="en-US"/>
                  <a:t>%</a:t>
                </a:r>
                <a:r>
                  <a:rPr lang="en-US" baseline="0"/>
                  <a:t> of Sales</a:t>
                </a:r>
                <a:endParaRPr lang="en-US"/>
              </a:p>
            </c:rich>
          </c:tx>
          <c:overlay val="0"/>
        </c:title>
        <c:numFmt formatCode="General" sourceLinked="1"/>
        <c:majorTickMark val="none"/>
        <c:minorTickMark val="none"/>
        <c:tickLblPos val="nextTo"/>
        <c:crossAx val="94814976"/>
        <c:crosses val="autoZero"/>
        <c:crossBetween val="between"/>
      </c:valAx>
    </c:plotArea>
    <c:legend>
      <c:legendPos val="r"/>
      <c:overlay val="0"/>
    </c:legend>
    <c:plotVisOnly val="1"/>
    <c:dispBlanksAs val="gap"/>
    <c:showDLblsOverMax val="0"/>
  </c:chart>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en-US"/>
              <a:t>Sales</a:t>
            </a:r>
            <a:r>
              <a:rPr lang="en-US" baseline="0"/>
              <a:t> Forecast</a:t>
            </a:r>
            <a:endParaRPr lang="en-US"/>
          </a:p>
        </c:rich>
      </c:tx>
      <c:overlay val="0"/>
    </c:title>
    <c:autoTitleDeleted val="0"/>
    <c:plotArea>
      <c:layout/>
      <c:lineChart>
        <c:grouping val="standard"/>
        <c:varyColors val="0"/>
        <c:ser>
          <c:idx val="0"/>
          <c:order val="0"/>
          <c:tx>
            <c:v>No-EE Sales</c:v>
          </c:tx>
          <c:marker>
            <c:symbol val="none"/>
          </c:marker>
          <c:cat>
            <c:numRef>
              <c:f>'[4]2013 Savings as % of Sales'!$B$24:$U$24</c:f>
              <c:numCache>
                <c:formatCode>General</c:formatCode>
                <c:ptCount val="20"/>
                <c:pt idx="0">
                  <c:v>2014</c:v>
                </c:pt>
                <c:pt idx="1">
                  <c:v>2015</c:v>
                </c:pt>
                <c:pt idx="2">
                  <c:v>2016</c:v>
                </c:pt>
                <c:pt idx="3">
                  <c:v>2017</c:v>
                </c:pt>
                <c:pt idx="4">
                  <c:v>2018</c:v>
                </c:pt>
                <c:pt idx="5">
                  <c:v>2019</c:v>
                </c:pt>
                <c:pt idx="6">
                  <c:v>2020</c:v>
                </c:pt>
                <c:pt idx="7">
                  <c:v>2021</c:v>
                </c:pt>
                <c:pt idx="8">
                  <c:v>2022</c:v>
                </c:pt>
                <c:pt idx="9">
                  <c:v>2023</c:v>
                </c:pt>
                <c:pt idx="10">
                  <c:v>2024</c:v>
                </c:pt>
                <c:pt idx="11">
                  <c:v>2025</c:v>
                </c:pt>
                <c:pt idx="12">
                  <c:v>2026</c:v>
                </c:pt>
                <c:pt idx="13">
                  <c:v>2027</c:v>
                </c:pt>
                <c:pt idx="14">
                  <c:v>2028</c:v>
                </c:pt>
                <c:pt idx="15">
                  <c:v>2029</c:v>
                </c:pt>
                <c:pt idx="16">
                  <c:v>2030</c:v>
                </c:pt>
                <c:pt idx="17">
                  <c:v>2031</c:v>
                </c:pt>
                <c:pt idx="18">
                  <c:v>2032</c:v>
                </c:pt>
                <c:pt idx="19">
                  <c:v>2033</c:v>
                </c:pt>
              </c:numCache>
            </c:numRef>
          </c:cat>
          <c:val>
            <c:numRef>
              <c:f>'[4]2013 Savings as % of Sales'!$B$18:$U$18</c:f>
              <c:numCache>
                <c:formatCode>General</c:formatCode>
                <c:ptCount val="20"/>
                <c:pt idx="0">
                  <c:v>5000487.0117270034</c:v>
                </c:pt>
                <c:pt idx="1">
                  <c:v>5081576.8059160989</c:v>
                </c:pt>
                <c:pt idx="2">
                  <c:v>5187635.003592357</c:v>
                </c:pt>
                <c:pt idx="3">
                  <c:v>5271789.508203472</c:v>
                </c:pt>
                <c:pt idx="4">
                  <c:v>5360585.9118454196</c:v>
                </c:pt>
                <c:pt idx="5">
                  <c:v>5439897.3155827392</c:v>
                </c:pt>
                <c:pt idx="6">
                  <c:v>5400807.9797639977</c:v>
                </c:pt>
                <c:pt idx="7">
                  <c:v>5499235.9733325373</c:v>
                </c:pt>
                <c:pt idx="8">
                  <c:v>5554538.048132549</c:v>
                </c:pt>
                <c:pt idx="9">
                  <c:v>5521073.0232105609</c:v>
                </c:pt>
                <c:pt idx="10">
                  <c:v>5599444.0091124028</c:v>
                </c:pt>
                <c:pt idx="11">
                  <c:v>5671937.2571757175</c:v>
                </c:pt>
                <c:pt idx="12">
                  <c:v>5748015.1798180817</c:v>
                </c:pt>
                <c:pt idx="13">
                  <c:v>5824120.7108208099</c:v>
                </c:pt>
                <c:pt idx="14">
                  <c:v>5900003.3656084985</c:v>
                </c:pt>
                <c:pt idx="15">
                  <c:v>5927812.0215243697</c:v>
                </c:pt>
                <c:pt idx="16">
                  <c:v>6032589.0281015048</c:v>
                </c:pt>
                <c:pt idx="17">
                  <c:v>6081685.6273299828</c:v>
                </c:pt>
                <c:pt idx="18">
                  <c:v>6138552.4439200331</c:v>
                </c:pt>
                <c:pt idx="19">
                  <c:v>6185595.2855612319</c:v>
                </c:pt>
              </c:numCache>
            </c:numRef>
          </c:val>
          <c:smooth val="0"/>
        </c:ser>
        <c:ser>
          <c:idx val="1"/>
          <c:order val="1"/>
          <c:tx>
            <c:v>Adjusted sales</c:v>
          </c:tx>
          <c:marker>
            <c:symbol val="none"/>
          </c:marker>
          <c:cat>
            <c:numRef>
              <c:f>'[4]2013 Savings as % of Sales'!$B$24:$U$24</c:f>
              <c:numCache>
                <c:formatCode>General</c:formatCode>
                <c:ptCount val="20"/>
                <c:pt idx="0">
                  <c:v>2014</c:v>
                </c:pt>
                <c:pt idx="1">
                  <c:v>2015</c:v>
                </c:pt>
                <c:pt idx="2">
                  <c:v>2016</c:v>
                </c:pt>
                <c:pt idx="3">
                  <c:v>2017</c:v>
                </c:pt>
                <c:pt idx="4">
                  <c:v>2018</c:v>
                </c:pt>
                <c:pt idx="5">
                  <c:v>2019</c:v>
                </c:pt>
                <c:pt idx="6">
                  <c:v>2020</c:v>
                </c:pt>
                <c:pt idx="7">
                  <c:v>2021</c:v>
                </c:pt>
                <c:pt idx="8">
                  <c:v>2022</c:v>
                </c:pt>
                <c:pt idx="9">
                  <c:v>2023</c:v>
                </c:pt>
                <c:pt idx="10">
                  <c:v>2024</c:v>
                </c:pt>
                <c:pt idx="11">
                  <c:v>2025</c:v>
                </c:pt>
                <c:pt idx="12">
                  <c:v>2026</c:v>
                </c:pt>
                <c:pt idx="13">
                  <c:v>2027</c:v>
                </c:pt>
                <c:pt idx="14">
                  <c:v>2028</c:v>
                </c:pt>
                <c:pt idx="15">
                  <c:v>2029</c:v>
                </c:pt>
                <c:pt idx="16">
                  <c:v>2030</c:v>
                </c:pt>
                <c:pt idx="17">
                  <c:v>2031</c:v>
                </c:pt>
                <c:pt idx="18">
                  <c:v>2032</c:v>
                </c:pt>
                <c:pt idx="19">
                  <c:v>2033</c:v>
                </c:pt>
              </c:numCache>
            </c:numRef>
          </c:cat>
          <c:val>
            <c:numRef>
              <c:f>'[4]2013 Savings as % of Sales'!$B$25:$U$25</c:f>
              <c:numCache>
                <c:formatCode>General</c:formatCode>
                <c:ptCount val="20"/>
                <c:pt idx="0">
                  <c:v>4834310.6226909123</c:v>
                </c:pt>
                <c:pt idx="1">
                  <c:v>4739800.5206086319</c:v>
                </c:pt>
                <c:pt idx="2">
                  <c:v>4665479.3870708151</c:v>
                </c:pt>
                <c:pt idx="3">
                  <c:v>4584763.8573051412</c:v>
                </c:pt>
                <c:pt idx="4">
                  <c:v>4536539.0667165928</c:v>
                </c:pt>
                <c:pt idx="5">
                  <c:v>4492321.8165571578</c:v>
                </c:pt>
                <c:pt idx="6">
                  <c:v>4340648.1884772759</c:v>
                </c:pt>
                <c:pt idx="7">
                  <c:v>4417812.2696278747</c:v>
                </c:pt>
                <c:pt idx="8">
                  <c:v>4393335.2107171398</c:v>
                </c:pt>
                <c:pt idx="9">
                  <c:v>4306907.4062932935</c:v>
                </c:pt>
                <c:pt idx="10">
                  <c:v>4354612.1544431029</c:v>
                </c:pt>
                <c:pt idx="11">
                  <c:v>4397107.8600216052</c:v>
                </c:pt>
                <c:pt idx="12">
                  <c:v>4445918.4946893975</c:v>
                </c:pt>
                <c:pt idx="13">
                  <c:v>4495648.2248471286</c:v>
                </c:pt>
                <c:pt idx="14">
                  <c:v>4546207.2832883392</c:v>
                </c:pt>
                <c:pt idx="15">
                  <c:v>4551618.1205694797</c:v>
                </c:pt>
                <c:pt idx="16">
                  <c:v>4635952.6400833782</c:v>
                </c:pt>
                <c:pt idx="17">
                  <c:v>4665416.4855436664</c:v>
                </c:pt>
                <c:pt idx="18">
                  <c:v>4705342.9694330916</c:v>
                </c:pt>
                <c:pt idx="19">
                  <c:v>4735595.6055915859</c:v>
                </c:pt>
              </c:numCache>
            </c:numRef>
          </c:val>
          <c:smooth val="0"/>
        </c:ser>
        <c:dLbls>
          <c:showLegendKey val="0"/>
          <c:showVal val="0"/>
          <c:showCatName val="0"/>
          <c:showSerName val="0"/>
          <c:showPercent val="0"/>
          <c:showBubbleSize val="0"/>
        </c:dLbls>
        <c:marker val="1"/>
        <c:smooth val="0"/>
        <c:axId val="95751552"/>
        <c:axId val="95753344"/>
      </c:lineChart>
      <c:catAx>
        <c:axId val="95751552"/>
        <c:scaling>
          <c:orientation val="minMax"/>
        </c:scaling>
        <c:delete val="0"/>
        <c:axPos val="b"/>
        <c:numFmt formatCode="General" sourceLinked="1"/>
        <c:majorTickMark val="none"/>
        <c:minorTickMark val="none"/>
        <c:tickLblPos val="nextTo"/>
        <c:crossAx val="95753344"/>
        <c:crosses val="autoZero"/>
        <c:auto val="1"/>
        <c:lblAlgn val="ctr"/>
        <c:lblOffset val="100"/>
        <c:noMultiLvlLbl val="0"/>
      </c:catAx>
      <c:valAx>
        <c:axId val="95753344"/>
        <c:scaling>
          <c:orientation val="minMax"/>
          <c:min val="3000000"/>
        </c:scaling>
        <c:delete val="0"/>
        <c:axPos val="l"/>
        <c:majorGridlines/>
        <c:title>
          <c:tx>
            <c:rich>
              <a:bodyPr/>
              <a:lstStyle/>
              <a:p>
                <a:pPr>
                  <a:defRPr/>
                </a:pPr>
                <a:r>
                  <a:rPr lang="en-US"/>
                  <a:t>mWh</a:t>
                </a:r>
              </a:p>
            </c:rich>
          </c:tx>
          <c:overlay val="0"/>
        </c:title>
        <c:numFmt formatCode="General" sourceLinked="1"/>
        <c:majorTickMark val="none"/>
        <c:minorTickMark val="none"/>
        <c:tickLblPos val="nextTo"/>
        <c:crossAx val="95751552"/>
        <c:crosses val="autoZero"/>
        <c:crossBetween val="between"/>
      </c:valAx>
    </c:plotArea>
    <c:legend>
      <c:legendPos val="r"/>
      <c:overlay val="0"/>
    </c:legend>
    <c:plotVisOnly val="1"/>
    <c:dispBlanksAs val="gap"/>
    <c:showDLblsOverMax val="0"/>
  </c:chart>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en-US"/>
              <a:t>VEIC/EVT</a:t>
            </a:r>
          </a:p>
        </c:rich>
      </c:tx>
      <c:overlay val="0"/>
    </c:title>
    <c:autoTitleDeleted val="0"/>
    <c:plotArea>
      <c:layout/>
      <c:lineChart>
        <c:grouping val="standard"/>
        <c:varyColors val="0"/>
        <c:ser>
          <c:idx val="2"/>
          <c:order val="0"/>
          <c:tx>
            <c:strRef>
              <c:f>'BED EVT as % Sales'!$A$4</c:f>
              <c:strCache>
                <c:ptCount val="1"/>
                <c:pt idx="0">
                  <c:v>EVT Max Achievable</c:v>
                </c:pt>
              </c:strCache>
            </c:strRef>
          </c:tx>
          <c:spPr>
            <a:ln>
              <a:prstDash val="sysDash"/>
            </a:ln>
          </c:spPr>
          <c:marker>
            <c:symbol val="none"/>
          </c:marker>
          <c:cat>
            <c:numRef>
              <c:f>'BED EVT as % Sales'!$C$2:$U$2</c:f>
              <c:numCache>
                <c:formatCode>General</c:formatCode>
                <c:ptCount val="19"/>
                <c:pt idx="0">
                  <c:v>2015</c:v>
                </c:pt>
                <c:pt idx="1">
                  <c:v>2016</c:v>
                </c:pt>
                <c:pt idx="2">
                  <c:v>2017</c:v>
                </c:pt>
                <c:pt idx="3">
                  <c:v>2018</c:v>
                </c:pt>
                <c:pt idx="4">
                  <c:v>2019</c:v>
                </c:pt>
                <c:pt idx="5">
                  <c:v>2020</c:v>
                </c:pt>
                <c:pt idx="6">
                  <c:v>2021</c:v>
                </c:pt>
                <c:pt idx="7">
                  <c:v>2022</c:v>
                </c:pt>
                <c:pt idx="8">
                  <c:v>2023</c:v>
                </c:pt>
                <c:pt idx="9">
                  <c:v>2024</c:v>
                </c:pt>
                <c:pt idx="10">
                  <c:v>2025</c:v>
                </c:pt>
                <c:pt idx="11">
                  <c:v>2026</c:v>
                </c:pt>
                <c:pt idx="12">
                  <c:v>2027</c:v>
                </c:pt>
                <c:pt idx="13">
                  <c:v>2028</c:v>
                </c:pt>
                <c:pt idx="14">
                  <c:v>2029</c:v>
                </c:pt>
                <c:pt idx="15">
                  <c:v>2030</c:v>
                </c:pt>
                <c:pt idx="16">
                  <c:v>2031</c:v>
                </c:pt>
                <c:pt idx="17">
                  <c:v>2032</c:v>
                </c:pt>
                <c:pt idx="18">
                  <c:v>2033</c:v>
                </c:pt>
              </c:numCache>
            </c:numRef>
          </c:cat>
          <c:val>
            <c:numRef>
              <c:f>'BED EVT as % Sales'!$B$4:$U$4</c:f>
              <c:numCache>
                <c:formatCode>0.00%</c:formatCode>
                <c:ptCount val="20"/>
                <c:pt idx="0">
                  <c:v>3.3711762834354571E-2</c:v>
                </c:pt>
                <c:pt idx="1">
                  <c:v>3.6389388522432863E-2</c:v>
                </c:pt>
                <c:pt idx="2">
                  <c:v>3.7929040963953289E-2</c:v>
                </c:pt>
                <c:pt idx="3">
                  <c:v>3.6719537453506076E-2</c:v>
                </c:pt>
                <c:pt idx="4">
                  <c:v>3.5238548976399484E-2</c:v>
                </c:pt>
                <c:pt idx="5">
                  <c:v>3.3949633724534911E-2</c:v>
                </c:pt>
                <c:pt idx="6">
                  <c:v>3.3816580362701826E-2</c:v>
                </c:pt>
                <c:pt idx="7">
                  <c:v>2.924090812142768E-2</c:v>
                </c:pt>
                <c:pt idx="8">
                  <c:v>2.877567884627031E-2</c:v>
                </c:pt>
                <c:pt idx="9">
                  <c:v>2.4517061220309229E-2</c:v>
                </c:pt>
                <c:pt idx="10">
                  <c:v>2.4174095139666996E-2</c:v>
                </c:pt>
                <c:pt idx="11">
                  <c:v>2.4473026277404442E-2</c:v>
                </c:pt>
                <c:pt idx="12">
                  <c:v>2.6168179836002347E-2</c:v>
                </c:pt>
                <c:pt idx="13">
                  <c:v>2.5690644426690477E-2</c:v>
                </c:pt>
                <c:pt idx="14">
                  <c:v>2.8141107309753798E-2</c:v>
                </c:pt>
                <c:pt idx="15">
                  <c:v>3.4968266308275056E-2</c:v>
                </c:pt>
                <c:pt idx="16">
                  <c:v>3.4877952691942229E-2</c:v>
                </c:pt>
                <c:pt idx="17">
                  <c:v>3.3698840779635565E-2</c:v>
                </c:pt>
                <c:pt idx="18">
                  <c:v>3.2267450324371394E-2</c:v>
                </c:pt>
                <c:pt idx="19">
                  <c:v>2.9592552640373106E-2</c:v>
                </c:pt>
              </c:numCache>
            </c:numRef>
          </c:val>
          <c:smooth val="0"/>
        </c:ser>
        <c:ser>
          <c:idx val="4"/>
          <c:order val="1"/>
          <c:tx>
            <c:strRef>
              <c:f>'BED EVT as % Sales'!$A$6</c:f>
              <c:strCache>
                <c:ptCount val="1"/>
                <c:pt idx="0">
                  <c:v>PSD/S2 EVT Modeled Savings as % of Territory Sales</c:v>
                </c:pt>
              </c:strCache>
            </c:strRef>
          </c:tx>
          <c:marker>
            <c:symbol val="none"/>
          </c:marker>
          <c:cat>
            <c:numRef>
              <c:f>'BED EVT as % Sales'!$C$2:$U$2</c:f>
              <c:numCache>
                <c:formatCode>General</c:formatCode>
                <c:ptCount val="19"/>
                <c:pt idx="0">
                  <c:v>2015</c:v>
                </c:pt>
                <c:pt idx="1">
                  <c:v>2016</c:v>
                </c:pt>
                <c:pt idx="2">
                  <c:v>2017</c:v>
                </c:pt>
                <c:pt idx="3">
                  <c:v>2018</c:v>
                </c:pt>
                <c:pt idx="4">
                  <c:v>2019</c:v>
                </c:pt>
                <c:pt idx="5">
                  <c:v>2020</c:v>
                </c:pt>
                <c:pt idx="6">
                  <c:v>2021</c:v>
                </c:pt>
                <c:pt idx="7">
                  <c:v>2022</c:v>
                </c:pt>
                <c:pt idx="8">
                  <c:v>2023</c:v>
                </c:pt>
                <c:pt idx="9">
                  <c:v>2024</c:v>
                </c:pt>
                <c:pt idx="10">
                  <c:v>2025</c:v>
                </c:pt>
                <c:pt idx="11">
                  <c:v>2026</c:v>
                </c:pt>
                <c:pt idx="12">
                  <c:v>2027</c:v>
                </c:pt>
                <c:pt idx="13">
                  <c:v>2028</c:v>
                </c:pt>
                <c:pt idx="14">
                  <c:v>2029</c:v>
                </c:pt>
                <c:pt idx="15">
                  <c:v>2030</c:v>
                </c:pt>
                <c:pt idx="16">
                  <c:v>2031</c:v>
                </c:pt>
                <c:pt idx="17">
                  <c:v>2032</c:v>
                </c:pt>
                <c:pt idx="18">
                  <c:v>2033</c:v>
                </c:pt>
              </c:numCache>
            </c:numRef>
          </c:cat>
          <c:val>
            <c:numRef>
              <c:f>'BED EVT as % Sales'!$B$6:$U$6</c:f>
              <c:numCache>
                <c:formatCode>0.0%</c:formatCode>
                <c:ptCount val="20"/>
                <c:pt idx="1">
                  <c:v>2.1982019368575981E-2</c:v>
                </c:pt>
                <c:pt idx="2">
                  <c:v>2.2315730307901835E-2</c:v>
                </c:pt>
                <c:pt idx="3">
                  <c:v>2.2484173370083058E-2</c:v>
                </c:pt>
                <c:pt idx="4">
                  <c:v>2.1803375029861436E-2</c:v>
                </c:pt>
                <c:pt idx="5">
                  <c:v>2.2631768886013773E-2</c:v>
                </c:pt>
                <c:pt idx="6">
                  <c:v>2.0210866785220414E-2</c:v>
                </c:pt>
                <c:pt idx="7">
                  <c:v>1.8895004203835376E-2</c:v>
                </c:pt>
                <c:pt idx="8">
                  <c:v>1.8469506527588418E-2</c:v>
                </c:pt>
                <c:pt idx="9">
                  <c:v>1.8354563890521331E-2</c:v>
                </c:pt>
                <c:pt idx="10">
                  <c:v>1.8689383276843594E-2</c:v>
                </c:pt>
                <c:pt idx="11">
                  <c:v>1.8565945310055561E-2</c:v>
                </c:pt>
                <c:pt idx="12">
                  <c:v>1.8479534339474329E-2</c:v>
                </c:pt>
                <c:pt idx="13">
                  <c:v>1.8075284062436345E-2</c:v>
                </c:pt>
                <c:pt idx="14">
                  <c:v>1.7481297418939425E-2</c:v>
                </c:pt>
                <c:pt idx="15">
                  <c:v>1.7661231268755267E-2</c:v>
                </c:pt>
                <c:pt idx="16">
                  <c:v>1.7183918917264944E-2</c:v>
                </c:pt>
                <c:pt idx="17">
                  <c:v>1.6953015052504829E-2</c:v>
                </c:pt>
                <c:pt idx="18">
                  <c:v>1.6642978330116701E-2</c:v>
                </c:pt>
                <c:pt idx="19">
                  <c:v>1.6077727823580565E-2</c:v>
                </c:pt>
              </c:numCache>
            </c:numRef>
          </c:val>
          <c:smooth val="0"/>
        </c:ser>
        <c:dLbls>
          <c:showLegendKey val="0"/>
          <c:showVal val="0"/>
          <c:showCatName val="0"/>
          <c:showSerName val="0"/>
          <c:showPercent val="0"/>
          <c:showBubbleSize val="0"/>
        </c:dLbls>
        <c:marker val="1"/>
        <c:smooth val="0"/>
        <c:axId val="95492736"/>
        <c:axId val="94564736"/>
      </c:lineChart>
      <c:catAx>
        <c:axId val="95492736"/>
        <c:scaling>
          <c:orientation val="minMax"/>
        </c:scaling>
        <c:delete val="0"/>
        <c:axPos val="b"/>
        <c:numFmt formatCode="General" sourceLinked="1"/>
        <c:majorTickMark val="none"/>
        <c:minorTickMark val="none"/>
        <c:tickLblPos val="nextTo"/>
        <c:crossAx val="94564736"/>
        <c:crosses val="autoZero"/>
        <c:auto val="1"/>
        <c:lblAlgn val="ctr"/>
        <c:lblOffset val="100"/>
        <c:noMultiLvlLbl val="0"/>
      </c:catAx>
      <c:valAx>
        <c:axId val="94564736"/>
        <c:scaling>
          <c:orientation val="minMax"/>
          <c:min val="5.000000000000001E-3"/>
        </c:scaling>
        <c:delete val="0"/>
        <c:axPos val="l"/>
        <c:majorGridlines/>
        <c:title>
          <c:tx>
            <c:rich>
              <a:bodyPr/>
              <a:lstStyle/>
              <a:p>
                <a:pPr>
                  <a:defRPr/>
                </a:pPr>
                <a:r>
                  <a:rPr lang="en-US"/>
                  <a:t>Savings %</a:t>
                </a:r>
                <a:r>
                  <a:rPr lang="en-US" baseline="0"/>
                  <a:t> of Sales</a:t>
                </a:r>
                <a:endParaRPr lang="en-US"/>
              </a:p>
            </c:rich>
          </c:tx>
          <c:overlay val="0"/>
        </c:title>
        <c:numFmt formatCode="0.00%" sourceLinked="1"/>
        <c:majorTickMark val="none"/>
        <c:minorTickMark val="none"/>
        <c:tickLblPos val="nextTo"/>
        <c:crossAx val="95492736"/>
        <c:crosses val="autoZero"/>
        <c:crossBetween val="between"/>
      </c:valAx>
    </c:plotArea>
    <c:legend>
      <c:legendPos val="r"/>
      <c:overlay val="0"/>
    </c:legend>
    <c:plotVisOnly val="1"/>
    <c:dispBlanksAs val="gap"/>
    <c:showDLblsOverMax val="0"/>
  </c:chart>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en-US"/>
              <a:t>BED</a:t>
            </a:r>
          </a:p>
        </c:rich>
      </c:tx>
      <c:overlay val="0"/>
    </c:title>
    <c:autoTitleDeleted val="0"/>
    <c:plotArea>
      <c:layout/>
      <c:lineChart>
        <c:grouping val="standard"/>
        <c:varyColors val="0"/>
        <c:ser>
          <c:idx val="3"/>
          <c:order val="0"/>
          <c:tx>
            <c:strRef>
              <c:f>'BED EVT as % Sales'!$A$5</c:f>
              <c:strCache>
                <c:ptCount val="1"/>
                <c:pt idx="0">
                  <c:v>BED Max Achievable</c:v>
                </c:pt>
              </c:strCache>
            </c:strRef>
          </c:tx>
          <c:spPr>
            <a:ln>
              <a:prstDash val="sysDash"/>
            </a:ln>
          </c:spPr>
          <c:marker>
            <c:symbol val="none"/>
          </c:marker>
          <c:cat>
            <c:numRef>
              <c:f>'BED EVT as % Sales'!$C$2:$U$2</c:f>
              <c:numCache>
                <c:formatCode>General</c:formatCode>
                <c:ptCount val="19"/>
                <c:pt idx="0">
                  <c:v>2015</c:v>
                </c:pt>
                <c:pt idx="1">
                  <c:v>2016</c:v>
                </c:pt>
                <c:pt idx="2">
                  <c:v>2017</c:v>
                </c:pt>
                <c:pt idx="3">
                  <c:v>2018</c:v>
                </c:pt>
                <c:pt idx="4">
                  <c:v>2019</c:v>
                </c:pt>
                <c:pt idx="5">
                  <c:v>2020</c:v>
                </c:pt>
                <c:pt idx="6">
                  <c:v>2021</c:v>
                </c:pt>
                <c:pt idx="7">
                  <c:v>2022</c:v>
                </c:pt>
                <c:pt idx="8">
                  <c:v>2023</c:v>
                </c:pt>
                <c:pt idx="9">
                  <c:v>2024</c:v>
                </c:pt>
                <c:pt idx="10">
                  <c:v>2025</c:v>
                </c:pt>
                <c:pt idx="11">
                  <c:v>2026</c:v>
                </c:pt>
                <c:pt idx="12">
                  <c:v>2027</c:v>
                </c:pt>
                <c:pt idx="13">
                  <c:v>2028</c:v>
                </c:pt>
                <c:pt idx="14">
                  <c:v>2029</c:v>
                </c:pt>
                <c:pt idx="15">
                  <c:v>2030</c:v>
                </c:pt>
                <c:pt idx="16">
                  <c:v>2031</c:v>
                </c:pt>
                <c:pt idx="17">
                  <c:v>2032</c:v>
                </c:pt>
                <c:pt idx="18">
                  <c:v>2033</c:v>
                </c:pt>
              </c:numCache>
            </c:numRef>
          </c:cat>
          <c:val>
            <c:numRef>
              <c:f>'BED EVT as % Sales'!$B$5:$U$5</c:f>
              <c:numCache>
                <c:formatCode>0.00%</c:formatCode>
                <c:ptCount val="20"/>
                <c:pt idx="0">
                  <c:v>3.273107638658411E-2</c:v>
                </c:pt>
                <c:pt idx="1">
                  <c:v>3.4602917267040428E-2</c:v>
                </c:pt>
                <c:pt idx="2">
                  <c:v>3.6529504670614978E-2</c:v>
                </c:pt>
                <c:pt idx="3">
                  <c:v>3.5187020055724487E-2</c:v>
                </c:pt>
                <c:pt idx="4">
                  <c:v>3.3328564435602004E-2</c:v>
                </c:pt>
                <c:pt idx="5">
                  <c:v>3.1377598303260236E-2</c:v>
                </c:pt>
                <c:pt idx="6">
                  <c:v>2.9765569585114674E-2</c:v>
                </c:pt>
                <c:pt idx="7">
                  <c:v>2.614685215561605E-2</c:v>
                </c:pt>
                <c:pt idx="8">
                  <c:v>2.5760205843578941E-2</c:v>
                </c:pt>
                <c:pt idx="9">
                  <c:v>1.9703034300340875E-2</c:v>
                </c:pt>
                <c:pt idx="10">
                  <c:v>1.9545341537726215E-2</c:v>
                </c:pt>
                <c:pt idx="11">
                  <c:v>2.0563223181516935E-2</c:v>
                </c:pt>
                <c:pt idx="12">
                  <c:v>2.3273096917851458E-2</c:v>
                </c:pt>
                <c:pt idx="13">
                  <c:v>2.312715230923959E-2</c:v>
                </c:pt>
                <c:pt idx="14">
                  <c:v>2.6228482558507529E-2</c:v>
                </c:pt>
                <c:pt idx="15">
                  <c:v>3.5193679030433619E-2</c:v>
                </c:pt>
                <c:pt idx="16">
                  <c:v>3.5780684649191451E-2</c:v>
                </c:pt>
                <c:pt idx="17">
                  <c:v>3.4428382214429176E-2</c:v>
                </c:pt>
                <c:pt idx="18">
                  <c:v>3.2513206334652905E-2</c:v>
                </c:pt>
                <c:pt idx="19">
                  <c:v>2.880395798684075E-2</c:v>
                </c:pt>
              </c:numCache>
            </c:numRef>
          </c:val>
          <c:smooth val="0"/>
        </c:ser>
        <c:ser>
          <c:idx val="5"/>
          <c:order val="1"/>
          <c:tx>
            <c:strRef>
              <c:f>'BED EVT as % Sales'!$A$7</c:f>
              <c:strCache>
                <c:ptCount val="1"/>
                <c:pt idx="0">
                  <c:v>S2 BED Modeled Savings as % of Territory Sales</c:v>
                </c:pt>
              </c:strCache>
            </c:strRef>
          </c:tx>
          <c:marker>
            <c:symbol val="none"/>
          </c:marker>
          <c:cat>
            <c:numRef>
              <c:f>'BED EVT as % Sales'!$C$2:$U$2</c:f>
              <c:numCache>
                <c:formatCode>General</c:formatCode>
                <c:ptCount val="19"/>
                <c:pt idx="0">
                  <c:v>2015</c:v>
                </c:pt>
                <c:pt idx="1">
                  <c:v>2016</c:v>
                </c:pt>
                <c:pt idx="2">
                  <c:v>2017</c:v>
                </c:pt>
                <c:pt idx="3">
                  <c:v>2018</c:v>
                </c:pt>
                <c:pt idx="4">
                  <c:v>2019</c:v>
                </c:pt>
                <c:pt idx="5">
                  <c:v>2020</c:v>
                </c:pt>
                <c:pt idx="6">
                  <c:v>2021</c:v>
                </c:pt>
                <c:pt idx="7">
                  <c:v>2022</c:v>
                </c:pt>
                <c:pt idx="8">
                  <c:v>2023</c:v>
                </c:pt>
                <c:pt idx="9">
                  <c:v>2024</c:v>
                </c:pt>
                <c:pt idx="10">
                  <c:v>2025</c:v>
                </c:pt>
                <c:pt idx="11">
                  <c:v>2026</c:v>
                </c:pt>
                <c:pt idx="12">
                  <c:v>2027</c:v>
                </c:pt>
                <c:pt idx="13">
                  <c:v>2028</c:v>
                </c:pt>
                <c:pt idx="14">
                  <c:v>2029</c:v>
                </c:pt>
                <c:pt idx="15">
                  <c:v>2030</c:v>
                </c:pt>
                <c:pt idx="16">
                  <c:v>2031</c:v>
                </c:pt>
                <c:pt idx="17">
                  <c:v>2032</c:v>
                </c:pt>
                <c:pt idx="18">
                  <c:v>2033</c:v>
                </c:pt>
              </c:numCache>
            </c:numRef>
          </c:cat>
          <c:val>
            <c:numRef>
              <c:f>'BED EVT as % Sales'!$B$7:$U$7</c:f>
              <c:numCache>
                <c:formatCode>0.0%</c:formatCode>
                <c:ptCount val="20"/>
                <c:pt idx="1">
                  <c:v>2.1997507881547751E-2</c:v>
                </c:pt>
                <c:pt idx="2">
                  <c:v>2.2611766287877106E-2</c:v>
                </c:pt>
                <c:pt idx="3">
                  <c:v>2.3242942958051994E-2</c:v>
                </c:pt>
                <c:pt idx="4">
                  <c:v>2.256199302160946E-2</c:v>
                </c:pt>
                <c:pt idx="5">
                  <c:v>2.0259040861626641E-2</c:v>
                </c:pt>
                <c:pt idx="6">
                  <c:v>2.1737925216267804E-2</c:v>
                </c:pt>
                <c:pt idx="7">
                  <c:v>2.1280887759200819E-2</c:v>
                </c:pt>
                <c:pt idx="8">
                  <c:v>1.9131425627378858E-2</c:v>
                </c:pt>
                <c:pt idx="9">
                  <c:v>1.9939251678625196E-2</c:v>
                </c:pt>
                <c:pt idx="10">
                  <c:v>1.8536648882058457E-2</c:v>
                </c:pt>
                <c:pt idx="11">
                  <c:v>1.7624851237077091E-2</c:v>
                </c:pt>
                <c:pt idx="12">
                  <c:v>1.7458157801800333E-2</c:v>
                </c:pt>
                <c:pt idx="13">
                  <c:v>1.661523587246436E-2</c:v>
                </c:pt>
                <c:pt idx="14">
                  <c:v>1.7342450550612287E-2</c:v>
                </c:pt>
                <c:pt idx="15">
                  <c:v>1.7162556593231796E-2</c:v>
                </c:pt>
                <c:pt idx="16">
                  <c:v>1.5970028540292131E-2</c:v>
                </c:pt>
                <c:pt idx="17">
                  <c:v>1.5589242016998952E-2</c:v>
                </c:pt>
                <c:pt idx="18">
                  <c:v>1.5384495743754858E-2</c:v>
                </c:pt>
                <c:pt idx="19">
                  <c:v>1.4534851485026956E-2</c:v>
                </c:pt>
              </c:numCache>
            </c:numRef>
          </c:val>
          <c:smooth val="0"/>
        </c:ser>
        <c:dLbls>
          <c:showLegendKey val="0"/>
          <c:showVal val="0"/>
          <c:showCatName val="0"/>
          <c:showSerName val="0"/>
          <c:showPercent val="0"/>
          <c:showBubbleSize val="0"/>
        </c:dLbls>
        <c:marker val="1"/>
        <c:smooth val="0"/>
        <c:axId val="95520256"/>
        <c:axId val="95521792"/>
      </c:lineChart>
      <c:catAx>
        <c:axId val="95520256"/>
        <c:scaling>
          <c:orientation val="minMax"/>
        </c:scaling>
        <c:delete val="0"/>
        <c:axPos val="b"/>
        <c:numFmt formatCode="General" sourceLinked="1"/>
        <c:majorTickMark val="none"/>
        <c:minorTickMark val="none"/>
        <c:tickLblPos val="nextTo"/>
        <c:crossAx val="95521792"/>
        <c:crosses val="autoZero"/>
        <c:auto val="1"/>
        <c:lblAlgn val="ctr"/>
        <c:lblOffset val="100"/>
        <c:noMultiLvlLbl val="0"/>
      </c:catAx>
      <c:valAx>
        <c:axId val="95521792"/>
        <c:scaling>
          <c:orientation val="minMax"/>
          <c:min val="5.000000000000001E-3"/>
        </c:scaling>
        <c:delete val="0"/>
        <c:axPos val="l"/>
        <c:majorGridlines/>
        <c:title>
          <c:tx>
            <c:rich>
              <a:bodyPr/>
              <a:lstStyle/>
              <a:p>
                <a:pPr>
                  <a:defRPr/>
                </a:pPr>
                <a:r>
                  <a:rPr lang="en-US"/>
                  <a:t>Savings</a:t>
                </a:r>
                <a:r>
                  <a:rPr lang="en-US" baseline="0"/>
                  <a:t> as </a:t>
                </a:r>
                <a:r>
                  <a:rPr lang="en-US"/>
                  <a:t>%</a:t>
                </a:r>
                <a:r>
                  <a:rPr lang="en-US" baseline="0"/>
                  <a:t> of Sales</a:t>
                </a:r>
                <a:endParaRPr lang="en-US"/>
              </a:p>
            </c:rich>
          </c:tx>
          <c:overlay val="0"/>
        </c:title>
        <c:numFmt formatCode="0.00%" sourceLinked="1"/>
        <c:majorTickMark val="none"/>
        <c:minorTickMark val="none"/>
        <c:tickLblPos val="nextTo"/>
        <c:crossAx val="95520256"/>
        <c:crosses val="autoZero"/>
        <c:crossBetween val="between"/>
      </c:valAx>
    </c:plotArea>
    <c:legend>
      <c:legendPos val="r"/>
      <c:overlay val="0"/>
    </c:legend>
    <c:plotVisOnly val="1"/>
    <c:dispBlanksAs val="gap"/>
    <c:showDLblsOverMax val="0"/>
  </c:chart>
  <c:printSettings>
    <c:headerFooter/>
    <c:pageMargins b="0.75" l="0.7" r="0.7" t="0.75" header="0.3" footer="0.3"/>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en-US"/>
              <a:t>Cumulative EVT Savings as % of no-EE sales</a:t>
            </a:r>
          </a:p>
        </c:rich>
      </c:tx>
      <c:overlay val="0"/>
    </c:title>
    <c:autoTitleDeleted val="0"/>
    <c:plotArea>
      <c:layout/>
      <c:lineChart>
        <c:grouping val="standard"/>
        <c:varyColors val="0"/>
        <c:ser>
          <c:idx val="1"/>
          <c:order val="0"/>
          <c:tx>
            <c:strRef>
              <c:f>'BED EVT as % Sales'!$A$64</c:f>
              <c:strCache>
                <c:ptCount val="1"/>
                <c:pt idx="0">
                  <c:v>Equip-only Scenario 2 (approx)</c:v>
                </c:pt>
              </c:strCache>
            </c:strRef>
          </c:tx>
          <c:marker>
            <c:symbol val="none"/>
          </c:marker>
          <c:cat>
            <c:numRef>
              <c:f>'BED EVT as % Sales'!$C$26:$U$26</c:f>
              <c:numCache>
                <c:formatCode>General</c:formatCode>
                <c:ptCount val="19"/>
                <c:pt idx="0">
                  <c:v>2015</c:v>
                </c:pt>
                <c:pt idx="1">
                  <c:v>2016</c:v>
                </c:pt>
                <c:pt idx="2">
                  <c:v>2017</c:v>
                </c:pt>
                <c:pt idx="3">
                  <c:v>2018</c:v>
                </c:pt>
                <c:pt idx="4">
                  <c:v>2019</c:v>
                </c:pt>
                <c:pt idx="5">
                  <c:v>2020</c:v>
                </c:pt>
                <c:pt idx="6">
                  <c:v>2021</c:v>
                </c:pt>
                <c:pt idx="7">
                  <c:v>2022</c:v>
                </c:pt>
                <c:pt idx="8">
                  <c:v>2023</c:v>
                </c:pt>
                <c:pt idx="9">
                  <c:v>2024</c:v>
                </c:pt>
                <c:pt idx="10">
                  <c:v>2025</c:v>
                </c:pt>
                <c:pt idx="11">
                  <c:v>2026</c:v>
                </c:pt>
                <c:pt idx="12">
                  <c:v>2027</c:v>
                </c:pt>
                <c:pt idx="13">
                  <c:v>2028</c:v>
                </c:pt>
                <c:pt idx="14">
                  <c:v>2029</c:v>
                </c:pt>
                <c:pt idx="15">
                  <c:v>2030</c:v>
                </c:pt>
                <c:pt idx="16">
                  <c:v>2031</c:v>
                </c:pt>
                <c:pt idx="17">
                  <c:v>2032</c:v>
                </c:pt>
                <c:pt idx="18">
                  <c:v>2033</c:v>
                </c:pt>
              </c:numCache>
            </c:numRef>
          </c:cat>
          <c:val>
            <c:numRef>
              <c:f>'BED EVT as % Sales'!$C$64:$U$64</c:f>
              <c:numCache>
                <c:formatCode>0.0%</c:formatCode>
                <c:ptCount val="19"/>
                <c:pt idx="0">
                  <c:v>2.0892210004649789E-2</c:v>
                </c:pt>
                <c:pt idx="1">
                  <c:v>4.1027731113917616E-2</c:v>
                </c:pt>
                <c:pt idx="2">
                  <c:v>6.0724937612439786E-2</c:v>
                </c:pt>
                <c:pt idx="3">
                  <c:v>7.860257045683787E-2</c:v>
                </c:pt>
                <c:pt idx="4">
                  <c:v>9.5896877865958685E-2</c:v>
                </c:pt>
                <c:pt idx="5">
                  <c:v>0.10133259476799905</c:v>
                </c:pt>
                <c:pt idx="6">
                  <c:v>0.11396029600873336</c:v>
                </c:pt>
                <c:pt idx="7">
                  <c:v>0.12557691614444894</c:v>
                </c:pt>
                <c:pt idx="8">
                  <c:v>0.13868721865077246</c:v>
                </c:pt>
                <c:pt idx="9">
                  <c:v>0.14862391434266298</c:v>
                </c:pt>
                <c:pt idx="10">
                  <c:v>0.15669352836526537</c:v>
                </c:pt>
                <c:pt idx="11">
                  <c:v>0.16409965013462144</c:v>
                </c:pt>
                <c:pt idx="12">
                  <c:v>0.17092086455507791</c:v>
                </c:pt>
                <c:pt idx="13">
                  <c:v>0.1763318790209073</c:v>
                </c:pt>
                <c:pt idx="14">
                  <c:v>0.18094814644115248</c:v>
                </c:pt>
                <c:pt idx="15">
                  <c:v>0.17844605104791358</c:v>
                </c:pt>
                <c:pt idx="16">
                  <c:v>0.17826275090815746</c:v>
                </c:pt>
                <c:pt idx="17">
                  <c:v>0.17719838533323548</c:v>
                </c:pt>
                <c:pt idx="18">
                  <c:v>0.17572281647353419</c:v>
                </c:pt>
              </c:numCache>
            </c:numRef>
          </c:val>
          <c:smooth val="0"/>
        </c:ser>
        <c:ser>
          <c:idx val="2"/>
          <c:order val="1"/>
          <c:tx>
            <c:strRef>
              <c:f>'BED EVT as % Sales'!$A$65</c:f>
              <c:strCache>
                <c:ptCount val="1"/>
                <c:pt idx="0">
                  <c:v>Scenario 2 (VEIC model)</c:v>
                </c:pt>
              </c:strCache>
            </c:strRef>
          </c:tx>
          <c:marker>
            <c:symbol val="none"/>
          </c:marker>
          <c:cat>
            <c:numRef>
              <c:f>'BED EVT as % Sales'!$C$26:$U$26</c:f>
              <c:numCache>
                <c:formatCode>General</c:formatCode>
                <c:ptCount val="19"/>
                <c:pt idx="0">
                  <c:v>2015</c:v>
                </c:pt>
                <c:pt idx="1">
                  <c:v>2016</c:v>
                </c:pt>
                <c:pt idx="2">
                  <c:v>2017</c:v>
                </c:pt>
                <c:pt idx="3">
                  <c:v>2018</c:v>
                </c:pt>
                <c:pt idx="4">
                  <c:v>2019</c:v>
                </c:pt>
                <c:pt idx="5">
                  <c:v>2020</c:v>
                </c:pt>
                <c:pt idx="6">
                  <c:v>2021</c:v>
                </c:pt>
                <c:pt idx="7">
                  <c:v>2022</c:v>
                </c:pt>
                <c:pt idx="8">
                  <c:v>2023</c:v>
                </c:pt>
                <c:pt idx="9">
                  <c:v>2024</c:v>
                </c:pt>
                <c:pt idx="10">
                  <c:v>2025</c:v>
                </c:pt>
                <c:pt idx="11">
                  <c:v>2026</c:v>
                </c:pt>
                <c:pt idx="12">
                  <c:v>2027</c:v>
                </c:pt>
                <c:pt idx="13">
                  <c:v>2028</c:v>
                </c:pt>
                <c:pt idx="14">
                  <c:v>2029</c:v>
                </c:pt>
                <c:pt idx="15">
                  <c:v>2030</c:v>
                </c:pt>
                <c:pt idx="16">
                  <c:v>2031</c:v>
                </c:pt>
                <c:pt idx="17">
                  <c:v>2032</c:v>
                </c:pt>
                <c:pt idx="18">
                  <c:v>2033</c:v>
                </c:pt>
              </c:numCache>
            </c:numRef>
          </c:cat>
          <c:val>
            <c:numRef>
              <c:f>'BED EVT as % Sales'!$C$65:$U$65</c:f>
              <c:numCache>
                <c:formatCode>0.0%</c:formatCode>
                <c:ptCount val="19"/>
                <c:pt idx="0">
                  <c:v>2.2719796896924747E-2</c:v>
                </c:pt>
                <c:pt idx="1">
                  <c:v>4.2028035845464981E-2</c:v>
                </c:pt>
                <c:pt idx="2">
                  <c:v>6.058719074992417E-2</c:v>
                </c:pt>
                <c:pt idx="3">
                  <c:v>7.7003940214390915E-2</c:v>
                </c:pt>
                <c:pt idx="4">
                  <c:v>9.3170561561030846E-2</c:v>
                </c:pt>
                <c:pt idx="5">
                  <c:v>9.8241347442535445E-2</c:v>
                </c:pt>
                <c:pt idx="6">
                  <c:v>0.10989529998295533</c:v>
                </c:pt>
                <c:pt idx="7">
                  <c:v>0.12060065230807152</c:v>
                </c:pt>
                <c:pt idx="8">
                  <c:v>0.13272591602535203</c:v>
                </c:pt>
                <c:pt idx="9">
                  <c:v>0.14196848447610402</c:v>
                </c:pt>
                <c:pt idx="10">
                  <c:v>0.14922868943454581</c:v>
                </c:pt>
                <c:pt idx="11">
                  <c:v>0.15581593736915383</c:v>
                </c:pt>
                <c:pt idx="12">
                  <c:v>0.16177342563071595</c:v>
                </c:pt>
                <c:pt idx="13">
                  <c:v>0.16648647382850779</c:v>
                </c:pt>
                <c:pt idx="14">
                  <c:v>0.17074844010996343</c:v>
                </c:pt>
                <c:pt idx="15">
                  <c:v>0.16812518870992821</c:v>
                </c:pt>
                <c:pt idx="16">
                  <c:v>0.16772725330489208</c:v>
                </c:pt>
                <c:pt idx="17">
                  <c:v>0.16642881449727409</c:v>
                </c:pt>
                <c:pt idx="18">
                  <c:v>0.16475954578473423</c:v>
                </c:pt>
              </c:numCache>
            </c:numRef>
          </c:val>
          <c:smooth val="0"/>
        </c:ser>
        <c:dLbls>
          <c:showLegendKey val="0"/>
          <c:showVal val="0"/>
          <c:showCatName val="0"/>
          <c:showSerName val="0"/>
          <c:showPercent val="0"/>
          <c:showBubbleSize val="0"/>
        </c:dLbls>
        <c:marker val="1"/>
        <c:smooth val="0"/>
        <c:axId val="95553792"/>
        <c:axId val="95559680"/>
      </c:lineChart>
      <c:catAx>
        <c:axId val="95553792"/>
        <c:scaling>
          <c:orientation val="minMax"/>
        </c:scaling>
        <c:delete val="0"/>
        <c:axPos val="b"/>
        <c:numFmt formatCode="General" sourceLinked="1"/>
        <c:majorTickMark val="out"/>
        <c:minorTickMark val="none"/>
        <c:tickLblPos val="nextTo"/>
        <c:crossAx val="95559680"/>
        <c:crosses val="autoZero"/>
        <c:auto val="1"/>
        <c:lblAlgn val="ctr"/>
        <c:lblOffset val="100"/>
        <c:noMultiLvlLbl val="0"/>
      </c:catAx>
      <c:valAx>
        <c:axId val="95559680"/>
        <c:scaling>
          <c:orientation val="minMax"/>
        </c:scaling>
        <c:delete val="0"/>
        <c:axPos val="l"/>
        <c:majorGridlines/>
        <c:numFmt formatCode="0.0%" sourceLinked="0"/>
        <c:majorTickMark val="out"/>
        <c:minorTickMark val="none"/>
        <c:tickLblPos val="nextTo"/>
        <c:crossAx val="95553792"/>
        <c:crosses val="autoZero"/>
        <c:crossBetween val="between"/>
      </c:valAx>
    </c:plotArea>
    <c:legend>
      <c:legendPos val="r"/>
      <c:overlay val="0"/>
    </c:legend>
    <c:plotVisOnly val="1"/>
    <c:dispBlanksAs val="gap"/>
    <c:showDLblsOverMax val="0"/>
  </c:chart>
  <c:printSettings>
    <c:headerFooter/>
    <c:pageMargins b="0.75" l="0.7" r="0.7" t="0.75" header="0.3" footer="0.3"/>
    <c:pageSetup/>
  </c:printSettings>
</c:chartSpace>
</file>

<file path=xl/drawings/_rels/drawing1.xml.rels><?xml version="1.0" encoding="UTF-8" standalone="yes"?>
<Relationships xmlns="http://schemas.openxmlformats.org/package/2006/relationships"><Relationship Id="rId2" Type="http://schemas.openxmlformats.org/officeDocument/2006/relationships/chart" Target="../charts/chart2.xml"/><Relationship Id="rId1" Type="http://schemas.openxmlformats.org/officeDocument/2006/relationships/chart" Target="../charts/chart1.xml"/></Relationships>
</file>

<file path=xl/drawings/_rels/drawing2.xml.rels><?xml version="1.0" encoding="UTF-8" standalone="yes"?>
<Relationships xmlns="http://schemas.openxmlformats.org/package/2006/relationships"><Relationship Id="rId3" Type="http://schemas.openxmlformats.org/officeDocument/2006/relationships/chart" Target="../charts/chart5.xml"/><Relationship Id="rId2" Type="http://schemas.openxmlformats.org/officeDocument/2006/relationships/chart" Target="../charts/chart4.xml"/><Relationship Id="rId1" Type="http://schemas.openxmlformats.org/officeDocument/2006/relationships/chart" Target="../charts/chart3.xml"/></Relationships>
</file>

<file path=xl/drawings/drawing1.xml><?xml version="1.0" encoding="utf-8"?>
<xdr:wsDr xmlns:xdr="http://schemas.openxmlformats.org/drawingml/2006/spreadsheetDrawing" xmlns:a="http://schemas.openxmlformats.org/drawingml/2006/main">
  <xdr:twoCellAnchor>
    <xdr:from>
      <xdr:col>2</xdr:col>
      <xdr:colOff>62230</xdr:colOff>
      <xdr:row>28</xdr:row>
      <xdr:rowOff>41910</xdr:rowOff>
    </xdr:from>
    <xdr:to>
      <xdr:col>11</xdr:col>
      <xdr:colOff>603250</xdr:colOff>
      <xdr:row>45</xdr:row>
      <xdr:rowOff>68580</xdr:rowOff>
    </xdr:to>
    <xdr:graphicFrame macro="">
      <xdr:nvGraphicFramePr>
        <xdr:cNvPr id="2" name="Chart 1"/>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12</xdr:col>
      <xdr:colOff>173990</xdr:colOff>
      <xdr:row>28</xdr:row>
      <xdr:rowOff>63500</xdr:rowOff>
    </xdr:from>
    <xdr:to>
      <xdr:col>21</xdr:col>
      <xdr:colOff>596900</xdr:colOff>
      <xdr:row>45</xdr:row>
      <xdr:rowOff>76200</xdr:rowOff>
    </xdr:to>
    <xdr:graphicFrame macro="">
      <xdr:nvGraphicFramePr>
        <xdr:cNvPr id="3" name="Chart 2"/>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drawings/drawing2.xml><?xml version="1.0" encoding="utf-8"?>
<xdr:wsDr xmlns:xdr="http://schemas.openxmlformats.org/drawingml/2006/spreadsheetDrawing" xmlns:a="http://schemas.openxmlformats.org/drawingml/2006/main">
  <xdr:twoCellAnchor>
    <xdr:from>
      <xdr:col>6</xdr:col>
      <xdr:colOff>754380</xdr:colOff>
      <xdr:row>34</xdr:row>
      <xdr:rowOff>156210</xdr:rowOff>
    </xdr:from>
    <xdr:to>
      <xdr:col>16</xdr:col>
      <xdr:colOff>342900</xdr:colOff>
      <xdr:row>49</xdr:row>
      <xdr:rowOff>156210</xdr:rowOff>
    </xdr:to>
    <xdr:graphicFrame macro="">
      <xdr:nvGraphicFramePr>
        <xdr:cNvPr id="5" name="Chart 4"/>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152400</xdr:colOff>
      <xdr:row>34</xdr:row>
      <xdr:rowOff>64770</xdr:rowOff>
    </xdr:from>
    <xdr:to>
      <xdr:col>6</xdr:col>
      <xdr:colOff>297180</xdr:colOff>
      <xdr:row>49</xdr:row>
      <xdr:rowOff>64770</xdr:rowOff>
    </xdr:to>
    <xdr:graphicFrame macro="">
      <xdr:nvGraphicFramePr>
        <xdr:cNvPr id="6" name="Chart 5"/>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4</xdr:col>
      <xdr:colOff>104775</xdr:colOff>
      <xdr:row>67</xdr:row>
      <xdr:rowOff>71437</xdr:rowOff>
    </xdr:from>
    <xdr:to>
      <xdr:col>11</xdr:col>
      <xdr:colOff>438150</xdr:colOff>
      <xdr:row>86</xdr:row>
      <xdr:rowOff>180975</xdr:rowOff>
    </xdr:to>
    <xdr:graphicFrame macro="">
      <xdr:nvGraphicFramePr>
        <xdr:cNvPr id="2" name="Chart 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asa.hopkins\AppData\Local\Microsoft\Windows\Temporary%20Internet%20Files\Content.Outlook\93YK5FON\DPS%202015-2017%20Energy%20Efficiency%20Evaluation%20Budget.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PSD\PSD%20-%20Shared\Projects\EEU\DRP%20Proceeding%202015-2017\E%20DRP%20Recomendation\20140401%202015%20DRP%20TEPF%20BUDGET_V4%20(2).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C:\Users\ncurtis\AppData\Local\Microsoft\Windows\Temporary%20Internet%20Files\Content.Outlook\9G76CYPW\TEPF%20Revenue%20Analysis%201_10_2014.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C:\Users\brian.cotterill\AppData\Local\Microsoft\Windows\Temporary%20Internet%20Files\Content.Outlook\HIPGGIGW\20140402%20V8%20Comparison%20Incremental%20Savings%20Relative%20to%20Sales%20Forecast.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C:\PSD\PSD%20-%20Cases\EEU\EEU%202013\EEU%202013-01%20(Demand%20Resource%20Plan%20Proceeding)\Filings%20with%20the%20PSB\TEPF%20Revenue%20Analysis%201_10_2014.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verall Summary"/>
      <sheetName val="Staff Hours Summary"/>
      <sheetName val="SVFCM"/>
      <sheetName val="GT"/>
      <sheetName val="TAGTRM"/>
      <sheetName val="Mkt Characterizations"/>
      <sheetName val="Benchmarking"/>
      <sheetName val="NRA"/>
      <sheetName val="Admin Efficiency"/>
      <sheetName val="ESA CCP"/>
      <sheetName val="Regional"/>
      <sheetName val="Behavioral"/>
      <sheetName val="Plan&amp;Mgmt"/>
      <sheetName val="HPwES"/>
      <sheetName val="SMEEP"/>
      <sheetName val="RFP-Contract Process Assump"/>
      <sheetName val="Staff rate assump"/>
      <sheetName val="HPwEs (elec)"/>
      <sheetName val="OPA"/>
      <sheetName val="TEPF Potential"/>
    </sheetNames>
    <sheetDataSet>
      <sheetData sheetId="0" refreshError="1"/>
      <sheetData sheetId="1" refreshError="1"/>
      <sheetData sheetId="2">
        <row r="15">
          <cell r="F15">
            <v>632134.18999999994</v>
          </cell>
          <cell r="G15">
            <v>555384.1</v>
          </cell>
          <cell r="H15">
            <v>634757.80000000005</v>
          </cell>
        </row>
        <row r="36">
          <cell r="F36">
            <v>160113.34</v>
          </cell>
          <cell r="G36">
            <v>160977.4032</v>
          </cell>
          <cell r="H36">
            <v>168006.195064</v>
          </cell>
        </row>
      </sheetData>
      <sheetData sheetId="3">
        <row r="16">
          <cell r="F16">
            <v>0</v>
          </cell>
          <cell r="G16">
            <v>4831.5700000000006</v>
          </cell>
          <cell r="H16">
            <v>168191.96683600309</v>
          </cell>
        </row>
      </sheetData>
      <sheetData sheetId="4">
        <row r="16">
          <cell r="F16">
            <v>63930.065000000002</v>
          </cell>
          <cell r="G16">
            <v>65290.385000000002</v>
          </cell>
          <cell r="H16">
            <v>66700.299999999988</v>
          </cell>
        </row>
      </sheetData>
      <sheetData sheetId="5">
        <row r="19">
          <cell r="F19">
            <v>1177293.128</v>
          </cell>
          <cell r="G19">
            <v>0</v>
          </cell>
          <cell r="H19">
            <v>0</v>
          </cell>
        </row>
        <row r="20">
          <cell r="F20">
            <v>160539.97200000001</v>
          </cell>
          <cell r="G20">
            <v>0</v>
          </cell>
          <cell r="H20">
            <v>0</v>
          </cell>
        </row>
      </sheetData>
      <sheetData sheetId="6">
        <row r="16">
          <cell r="F16">
            <v>3831.2</v>
          </cell>
          <cell r="G16">
            <v>80690.149999999994</v>
          </cell>
          <cell r="H16">
            <v>4144</v>
          </cell>
        </row>
      </sheetData>
      <sheetData sheetId="7">
        <row r="19">
          <cell r="F19">
            <v>3371.4559999999997</v>
          </cell>
          <cell r="G19">
            <v>8766.56</v>
          </cell>
          <cell r="H19">
            <v>38868.368000000002</v>
          </cell>
        </row>
        <row r="20">
          <cell r="F20">
            <v>459.74399999999997</v>
          </cell>
          <cell r="G20">
            <v>1195.44</v>
          </cell>
          <cell r="H20">
            <v>5300.232</v>
          </cell>
        </row>
      </sheetData>
      <sheetData sheetId="8">
        <row r="16">
          <cell r="F16">
            <v>0</v>
          </cell>
          <cell r="G16">
            <v>139604.9908</v>
          </cell>
          <cell r="H16">
            <v>0</v>
          </cell>
        </row>
        <row r="17">
          <cell r="F17">
            <v>0</v>
          </cell>
          <cell r="G17">
            <v>19037.0442</v>
          </cell>
          <cell r="H17">
            <v>0</v>
          </cell>
        </row>
      </sheetData>
      <sheetData sheetId="9">
        <row r="24">
          <cell r="C24">
            <v>8141.3</v>
          </cell>
          <cell r="D24">
            <v>8467.7000000000007</v>
          </cell>
          <cell r="E24">
            <v>15022</v>
          </cell>
        </row>
      </sheetData>
      <sheetData sheetId="10">
        <row r="20">
          <cell r="F20">
            <v>19472.580000000002</v>
          </cell>
          <cell r="G20">
            <v>19883.2</v>
          </cell>
          <cell r="H20">
            <v>20302.727599999998</v>
          </cell>
        </row>
        <row r="21">
          <cell r="F21">
            <v>58417.740000000005</v>
          </cell>
          <cell r="G21">
            <v>59649.600000000006</v>
          </cell>
          <cell r="H21">
            <v>60908.182799999995</v>
          </cell>
        </row>
      </sheetData>
      <sheetData sheetId="11">
        <row r="18">
          <cell r="F18">
            <v>261900.66500000001</v>
          </cell>
          <cell r="G18">
            <v>259339.375</v>
          </cell>
          <cell r="H18">
            <v>262872.3</v>
          </cell>
        </row>
      </sheetData>
      <sheetData sheetId="12">
        <row r="14">
          <cell r="C14">
            <v>8950.6409999999996</v>
          </cell>
          <cell r="D14">
            <v>9309.4889999999996</v>
          </cell>
          <cell r="E14">
            <v>16135.7</v>
          </cell>
        </row>
        <row r="15">
          <cell r="C15">
            <v>1106.259</v>
          </cell>
          <cell r="D15">
            <v>1150.6110000000001</v>
          </cell>
          <cell r="E15">
            <v>1994.3</v>
          </cell>
        </row>
        <row r="37">
          <cell r="C37">
            <v>27189.5</v>
          </cell>
          <cell r="D37">
            <v>27189.5</v>
          </cell>
          <cell r="E37">
            <v>27189.5</v>
          </cell>
        </row>
        <row r="38">
          <cell r="C38">
            <v>3360.5</v>
          </cell>
          <cell r="D38">
            <v>3360.5</v>
          </cell>
          <cell r="E38">
            <v>3360.5</v>
          </cell>
        </row>
        <row r="62">
          <cell r="F62">
            <v>21256.047999999999</v>
          </cell>
          <cell r="G62">
            <v>16608.592000000001</v>
          </cell>
          <cell r="H62">
            <v>21737.759999999998</v>
          </cell>
        </row>
        <row r="63">
          <cell r="F63">
            <v>2898.5519999999997</v>
          </cell>
          <cell r="G63">
            <v>2264.808</v>
          </cell>
          <cell r="H63">
            <v>2964.24</v>
          </cell>
        </row>
        <row r="72">
          <cell r="D72">
            <v>528</v>
          </cell>
          <cell r="E72">
            <v>4928</v>
          </cell>
          <cell r="F72">
            <v>528</v>
          </cell>
        </row>
        <row r="73">
          <cell r="D73">
            <v>72</v>
          </cell>
          <cell r="E73">
            <v>672</v>
          </cell>
          <cell r="F73">
            <v>72</v>
          </cell>
        </row>
        <row r="98">
          <cell r="F98">
            <v>0</v>
          </cell>
          <cell r="G98">
            <v>13946.800000000001</v>
          </cell>
          <cell r="H98">
            <v>5801.5999999999995</v>
          </cell>
        </row>
      </sheetData>
      <sheetData sheetId="13">
        <row r="17">
          <cell r="G17">
            <v>0</v>
          </cell>
        </row>
        <row r="32">
          <cell r="D32">
            <v>69035.735480464617</v>
          </cell>
          <cell r="E32">
            <v>0</v>
          </cell>
          <cell r="F32">
            <v>0</v>
          </cell>
        </row>
      </sheetData>
      <sheetData sheetId="14" refreshError="1"/>
      <sheetData sheetId="15" refreshError="1"/>
      <sheetData sheetId="16" refreshError="1"/>
      <sheetData sheetId="17">
        <row r="15">
          <cell r="F15">
            <v>117615.69500000001</v>
          </cell>
          <cell r="G15">
            <v>0</v>
          </cell>
          <cell r="H15">
            <v>0</v>
          </cell>
        </row>
      </sheetData>
      <sheetData sheetId="18">
        <row r="20">
          <cell r="F20">
            <v>214036.75</v>
          </cell>
          <cell r="G20">
            <v>0</v>
          </cell>
          <cell r="H20">
            <v>0</v>
          </cell>
        </row>
      </sheetData>
      <sheetData sheetId="19">
        <row r="15">
          <cell r="F15">
            <v>0</v>
          </cell>
          <cell r="G15">
            <v>99010.654999999999</v>
          </cell>
          <cell r="H15">
            <v>0</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mary"/>
      <sheetName val="Residential"/>
      <sheetName val="Commercial"/>
      <sheetName val="Sheet1"/>
    </sheetNames>
    <sheetDataSet>
      <sheetData sheetId="0"/>
      <sheetData sheetId="1">
        <row r="13">
          <cell r="D13">
            <v>24972.176134260586</v>
          </cell>
          <cell r="E13">
            <v>28900.675808694432</v>
          </cell>
          <cell r="F13">
            <v>31794.339986133728</v>
          </cell>
          <cell r="G13">
            <v>33750.267688414817</v>
          </cell>
          <cell r="H13">
            <v>36726.840610846099</v>
          </cell>
          <cell r="I13">
            <v>38398.15594703277</v>
          </cell>
          <cell r="J13">
            <v>39555.149748628115</v>
          </cell>
          <cell r="K13">
            <v>41416.932262793685</v>
          </cell>
          <cell r="L13">
            <v>41462.007854870491</v>
          </cell>
          <cell r="M13">
            <v>44566.412611344414</v>
          </cell>
        </row>
        <row r="14">
          <cell r="D14">
            <v>0</v>
          </cell>
          <cell r="E14">
            <v>0</v>
          </cell>
          <cell r="F14">
            <v>0</v>
          </cell>
          <cell r="G14">
            <v>0</v>
          </cell>
          <cell r="H14">
            <v>0</v>
          </cell>
          <cell r="I14">
            <v>0</v>
          </cell>
          <cell r="J14">
            <v>0</v>
          </cell>
          <cell r="K14">
            <v>0</v>
          </cell>
          <cell r="L14">
            <v>0</v>
          </cell>
          <cell r="M14">
            <v>0</v>
          </cell>
        </row>
        <row r="18">
          <cell r="D18">
            <v>1333.8555327604226</v>
          </cell>
          <cell r="E18">
            <v>1485.9701607318245</v>
          </cell>
          <cell r="F18">
            <v>1589.2609949663035</v>
          </cell>
          <cell r="G18">
            <v>1713.7055378648931</v>
          </cell>
          <cell r="H18">
            <v>1862.3113509071436</v>
          </cell>
          <cell r="I18">
            <v>1944.35453015452</v>
          </cell>
          <cell r="J18">
            <v>2000.0962393221516</v>
          </cell>
          <cell r="K18">
            <v>2126.2898248848901</v>
          </cell>
          <cell r="L18">
            <v>2125.4051383967853</v>
          </cell>
          <cell r="M18">
            <v>2281.0331585193462</v>
          </cell>
        </row>
        <row r="19">
          <cell r="D19">
            <v>0</v>
          </cell>
          <cell r="E19">
            <v>0</v>
          </cell>
          <cell r="F19">
            <v>0</v>
          </cell>
          <cell r="G19">
            <v>0</v>
          </cell>
          <cell r="H19">
            <v>0</v>
          </cell>
          <cell r="I19">
            <v>0</v>
          </cell>
          <cell r="J19">
            <v>0</v>
          </cell>
          <cell r="K19">
            <v>0</v>
          </cell>
          <cell r="L19">
            <v>0</v>
          </cell>
          <cell r="M19">
            <v>0</v>
          </cell>
        </row>
      </sheetData>
      <sheetData sheetId="2">
        <row r="13">
          <cell r="D13">
            <v>31898.123513013314</v>
          </cell>
          <cell r="E13">
            <v>40380.961456800651</v>
          </cell>
          <cell r="F13">
            <v>41433.539894803413</v>
          </cell>
          <cell r="G13">
            <v>42305.492626552819</v>
          </cell>
          <cell r="H13">
            <v>44237.017134785259</v>
          </cell>
          <cell r="I13">
            <v>44550.592121495909</v>
          </cell>
          <cell r="J13">
            <v>44835.715948283752</v>
          </cell>
          <cell r="K13">
            <v>45899.161391248665</v>
          </cell>
          <cell r="L13">
            <v>45222.267072329429</v>
          </cell>
          <cell r="M13">
            <v>47891.725720340226</v>
          </cell>
        </row>
        <row r="14">
          <cell r="D14">
            <v>7038.0552219839119</v>
          </cell>
          <cell r="E14">
            <v>7704.7776972932652</v>
          </cell>
          <cell r="F14">
            <v>8231.4263130074614</v>
          </cell>
          <cell r="G14">
            <v>8716.8396636905018</v>
          </cell>
          <cell r="H14">
            <v>9462.4729771356542</v>
          </cell>
          <cell r="I14">
            <v>9868.5451966383607</v>
          </cell>
          <cell r="J14">
            <v>10140.273455809391</v>
          </cell>
          <cell r="K14">
            <v>10590.351013793941</v>
          </cell>
          <cell r="L14">
            <v>10574.265637198265</v>
          </cell>
          <cell r="M14">
            <v>11335.910985417859</v>
          </cell>
        </row>
        <row r="18">
          <cell r="D18">
            <v>613.35068668931035</v>
          </cell>
          <cell r="E18">
            <v>767.31250899074007</v>
          </cell>
          <cell r="F18">
            <v>841.59698829588842</v>
          </cell>
          <cell r="G18">
            <v>908.94509360165921</v>
          </cell>
          <cell r="H18">
            <v>1001.3509698622136</v>
          </cell>
          <cell r="I18">
            <v>1055.3716542030356</v>
          </cell>
          <cell r="J18">
            <v>1103.0569216644071</v>
          </cell>
          <cell r="K18">
            <v>1168.8812184974672</v>
          </cell>
          <cell r="L18">
            <v>1184.2604354991445</v>
          </cell>
          <cell r="M18">
            <v>1287.6394123129317</v>
          </cell>
        </row>
        <row r="19">
          <cell r="D19">
            <v>112.66317905972316</v>
          </cell>
          <cell r="E19">
            <v>123.3358821360349</v>
          </cell>
          <cell r="F19">
            <v>131.76632285045693</v>
          </cell>
          <cell r="G19">
            <v>139.53668121240341</v>
          </cell>
          <cell r="H19">
            <v>151.47256646138078</v>
          </cell>
          <cell r="I19">
            <v>157.972854642427</v>
          </cell>
          <cell r="J19">
            <v>162.32260305345793</v>
          </cell>
          <cell r="K19">
            <v>169.52731613209201</v>
          </cell>
          <cell r="L19">
            <v>169.26982601493847</v>
          </cell>
          <cell r="M19">
            <v>181.46202734612964</v>
          </cell>
        </row>
      </sheetData>
      <sheetData sheetId="3"/>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EU TEPF Budget Estimates"/>
      <sheetName val="Summary TEPF Revenue Est"/>
      <sheetName val="RGGI Disbursements"/>
      <sheetName val="RGGI rev Projection 2014 - 24"/>
      <sheetName val="Annual FCM Rev Estimate 2014-24"/>
      <sheetName val="Input Values"/>
      <sheetName val="CSO Layer Info"/>
    </sheetNames>
    <sheetDataSet>
      <sheetData sheetId="0" refreshError="1"/>
      <sheetData sheetId="1" refreshError="1">
        <row r="7">
          <cell r="G7">
            <v>4135711.44112885</v>
          </cell>
          <cell r="H7">
            <v>4273156.2492820006</v>
          </cell>
          <cell r="I7">
            <v>4534510.2643304002</v>
          </cell>
          <cell r="J7">
            <v>4724306.9882510817</v>
          </cell>
          <cell r="K7">
            <v>5225629.8648462845</v>
          </cell>
          <cell r="L7">
            <v>5260329.4493138688</v>
          </cell>
          <cell r="M7">
            <v>5137386.0639706766</v>
          </cell>
          <cell r="N7">
            <v>5636462.5717258751</v>
          </cell>
          <cell r="O7">
            <v>5779560.8328037923</v>
          </cell>
          <cell r="P7">
            <v>6713592.7741666352</v>
          </cell>
        </row>
        <row r="12">
          <cell r="G12">
            <v>2141332.6475744997</v>
          </cell>
          <cell r="H12">
            <v>2672984.8743626252</v>
          </cell>
          <cell r="I12">
            <v>2966499.9220952652</v>
          </cell>
          <cell r="J12">
            <v>3299634.0713159703</v>
          </cell>
          <cell r="K12">
            <v>3578335.3261838774</v>
          </cell>
          <cell r="L12">
            <v>3998778.0709392177</v>
          </cell>
          <cell r="M12">
            <v>4441031.2692729915</v>
          </cell>
          <cell r="N12">
            <v>4491362.8594057411</v>
          </cell>
          <cell r="O12">
            <v>4452279.919449959</v>
          </cell>
          <cell r="P12">
            <v>4435457.8584979651</v>
          </cell>
        </row>
        <row r="19">
          <cell r="G19">
            <v>107100</v>
          </cell>
          <cell r="H19">
            <v>109242</v>
          </cell>
          <cell r="I19">
            <v>111426.84</v>
          </cell>
          <cell r="J19">
            <v>113655.3768</v>
          </cell>
          <cell r="K19">
            <v>115928.48433599999</v>
          </cell>
          <cell r="L19">
            <v>118247.05402272</v>
          </cell>
          <cell r="M19">
            <v>120611.9951031744</v>
          </cell>
          <cell r="N19">
            <v>123024.23500523789</v>
          </cell>
          <cell r="O19">
            <v>125484.71970534265</v>
          </cell>
          <cell r="P19">
            <v>127994.41409944951</v>
          </cell>
        </row>
      </sheetData>
      <sheetData sheetId="2" refreshError="1"/>
      <sheetData sheetId="3" refreshError="1"/>
      <sheetData sheetId="4" refreshError="1"/>
      <sheetData sheetId="5" refreshError="1"/>
      <sheetData sheetId="6"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011 Study"/>
      <sheetName val="2013 Updated Study"/>
      <sheetName val="2013 Savings as % of Sales"/>
    </sheetNames>
    <sheetDataSet>
      <sheetData sheetId="0" refreshError="1"/>
      <sheetData sheetId="1" refreshError="1">
        <row r="4">
          <cell r="B4">
            <v>162633.91542332774</v>
          </cell>
          <cell r="C4">
            <v>171873.73884165558</v>
          </cell>
          <cell r="D4">
            <v>176495.73051267542</v>
          </cell>
          <cell r="E4">
            <v>167858.36593019427</v>
          </cell>
          <cell r="F4">
            <v>159254.60296384146</v>
          </cell>
          <cell r="G4">
            <v>151696.92161983246</v>
          </cell>
          <cell r="H4">
            <v>145509.43112005625</v>
          </cell>
          <cell r="I4">
            <v>128192.82508049859</v>
          </cell>
          <cell r="J4">
            <v>125469.64933297022</v>
          </cell>
          <cell r="K4">
            <v>104082.52820255134</v>
          </cell>
          <cell r="L4">
            <v>103802.14345467184</v>
          </cell>
          <cell r="M4">
            <v>106371.88591471706</v>
          </cell>
          <cell r="N4">
            <v>115422.47450773633</v>
          </cell>
          <cell r="O4">
            <v>114681.23122134781</v>
          </cell>
          <cell r="P4">
            <v>127324.46302681825</v>
          </cell>
          <cell r="Q4">
            <v>159234.1614771962</v>
          </cell>
          <cell r="R4">
            <v>161981.9947541361</v>
          </cell>
          <cell r="S4">
            <v>157454.19289404299</v>
          </cell>
          <cell r="T4">
            <v>151909.33704998851</v>
          </cell>
          <cell r="U4">
            <v>139879.52639678781</v>
          </cell>
        </row>
        <row r="20">
          <cell r="B20">
            <v>151312.29236774781</v>
          </cell>
          <cell r="C20">
            <v>160160.97478414339</v>
          </cell>
          <cell r="D20">
            <v>164451.9225428435</v>
          </cell>
          <cell r="E20">
            <v>156560.94097503234</v>
          </cell>
          <cell r="F20">
            <v>148672.242287662</v>
          </cell>
          <cell r="G20">
            <v>141745.05772379693</v>
          </cell>
          <cell r="H20">
            <v>136130.49356595427</v>
          </cell>
          <cell r="I20">
            <v>119843.41245597368</v>
          </cell>
          <cell r="J20">
            <v>117340.83485881807</v>
          </cell>
          <cell r="K20">
            <v>97901.587693052803</v>
          </cell>
          <cell r="L20">
            <v>97609.014148890215</v>
          </cell>
          <cell r="M20">
            <v>99857.327075079374</v>
          </cell>
          <cell r="N20">
            <v>108033.81793366378</v>
          </cell>
          <cell r="O20">
            <v>107329.69910394509</v>
          </cell>
          <cell r="P20">
            <v>118947.74888821435</v>
          </cell>
          <cell r="Q20">
            <v>147997.97178844741</v>
          </cell>
          <cell r="R20">
            <v>150509.04152376472</v>
          </cell>
          <cell r="S20">
            <v>146361.0223829099</v>
          </cell>
          <cell r="T20">
            <v>141336.48288717624</v>
          </cell>
          <cell r="U20">
            <v>130425.37047871927</v>
          </cell>
        </row>
        <row r="33">
          <cell r="B33">
            <v>11321.623055579943</v>
          </cell>
          <cell r="C33">
            <v>11712.764057512173</v>
          </cell>
          <cell r="D33">
            <v>12043.807969831953</v>
          </cell>
          <cell r="E33">
            <v>11297.424955161912</v>
          </cell>
          <cell r="F33">
            <v>10582.360676179487</v>
          </cell>
          <cell r="G33">
            <v>9951.8638960355456</v>
          </cell>
          <cell r="H33">
            <v>9378.9375541020072</v>
          </cell>
          <cell r="I33">
            <v>8349.4126245249154</v>
          </cell>
          <cell r="J33">
            <v>8128.8144741521555</v>
          </cell>
          <cell r="K33">
            <v>6180.9405094985377</v>
          </cell>
          <cell r="L33">
            <v>6193.1293057816183</v>
          </cell>
          <cell r="M33">
            <v>6514.558839637697</v>
          </cell>
          <cell r="N33">
            <v>7388.6565740725509</v>
          </cell>
          <cell r="O33">
            <v>7351.5321174027131</v>
          </cell>
          <cell r="P33">
            <v>8376.714138603902</v>
          </cell>
          <cell r="Q33">
            <v>11236.189688748811</v>
          </cell>
          <cell r="R33">
            <v>11472.953230371386</v>
          </cell>
          <cell r="S33">
            <v>11093.170511133112</v>
          </cell>
          <cell r="T33">
            <v>10572.854162812244</v>
          </cell>
          <cell r="U33">
            <v>9454.1559180685545</v>
          </cell>
        </row>
      </sheetData>
      <sheetData sheetId="2" refreshError="1">
        <row r="2">
          <cell r="C2">
            <v>2015</v>
          </cell>
          <cell r="D2">
            <v>2016</v>
          </cell>
          <cell r="E2">
            <v>2017</v>
          </cell>
          <cell r="F2">
            <v>2018</v>
          </cell>
          <cell r="G2">
            <v>2019</v>
          </cell>
          <cell r="H2">
            <v>2020</v>
          </cell>
          <cell r="I2">
            <v>2021</v>
          </cell>
          <cell r="J2">
            <v>2022</v>
          </cell>
          <cell r="K2">
            <v>2023</v>
          </cell>
          <cell r="L2">
            <v>2024</v>
          </cell>
          <cell r="M2">
            <v>2025</v>
          </cell>
          <cell r="N2">
            <v>2026</v>
          </cell>
          <cell r="O2">
            <v>2027</v>
          </cell>
          <cell r="P2">
            <v>2028</v>
          </cell>
          <cell r="Q2">
            <v>2029</v>
          </cell>
          <cell r="R2">
            <v>2030</v>
          </cell>
          <cell r="S2">
            <v>2031</v>
          </cell>
          <cell r="T2">
            <v>2032</v>
          </cell>
          <cell r="U2">
            <v>2033</v>
          </cell>
        </row>
        <row r="3">
          <cell r="A3" t="str">
            <v>Statewide Total</v>
          </cell>
          <cell r="C3">
            <v>3.626180850741488E-2</v>
          </cell>
          <cell r="D3">
            <v>3.7830138313715046E-2</v>
          </cell>
          <cell r="E3">
            <v>3.6612216278650175E-2</v>
          </cell>
          <cell r="F3">
            <v>3.5104867526051096E-2</v>
          </cell>
          <cell r="G3">
            <v>3.3768044190585281E-2</v>
          </cell>
          <cell r="H3">
            <v>3.3522512030882141E-2</v>
          </cell>
          <cell r="I3">
            <v>2.9017264034013977E-2</v>
          </cell>
          <cell r="J3">
            <v>2.8559088554613015E-2</v>
          </cell>
          <cell r="K3">
            <v>2.4166418820721566E-2</v>
          </cell>
          <cell r="L3">
            <v>2.3837287862424283E-2</v>
          </cell>
          <cell r="M3">
            <v>2.4191329687826762E-2</v>
          </cell>
          <cell r="N3">
            <v>2.5961446357059235E-2</v>
          </cell>
          <cell r="O3">
            <v>2.5509387186371208E-2</v>
          </cell>
          <cell r="P3">
            <v>2.800674388404098E-2</v>
          </cell>
          <cell r="Q3">
            <v>3.4984077587175415E-2</v>
          </cell>
          <cell r="R3">
            <v>3.4940390320989743E-2</v>
          </cell>
          <cell r="S3">
            <v>3.3749225472566716E-2</v>
          </cell>
          <cell r="T3">
            <v>3.2284434532577934E-2</v>
          </cell>
          <cell r="U3">
            <v>2.9537895134378479E-2</v>
          </cell>
        </row>
        <row r="4">
          <cell r="A4" t="str">
            <v>EVT</v>
          </cell>
          <cell r="C4">
            <v>3.6389388522432863E-2</v>
          </cell>
          <cell r="D4">
            <v>3.7929040963953289E-2</v>
          </cell>
          <cell r="E4">
            <v>3.6719537453506076E-2</v>
          </cell>
          <cell r="F4">
            <v>3.5238548976399484E-2</v>
          </cell>
          <cell r="G4">
            <v>3.3949633724534911E-2</v>
          </cell>
          <cell r="H4">
            <v>3.3816580362701826E-2</v>
          </cell>
          <cell r="I4">
            <v>2.924090812142768E-2</v>
          </cell>
          <cell r="J4">
            <v>2.877567884627031E-2</v>
          </cell>
          <cell r="K4">
            <v>2.4517061220309229E-2</v>
          </cell>
          <cell r="L4">
            <v>2.4174095139666996E-2</v>
          </cell>
          <cell r="M4">
            <v>2.4473026277404442E-2</v>
          </cell>
          <cell r="N4">
            <v>2.6168179836002347E-2</v>
          </cell>
          <cell r="O4">
            <v>2.5690644426690477E-2</v>
          </cell>
          <cell r="P4">
            <v>2.8141107309753798E-2</v>
          </cell>
          <cell r="Q4">
            <v>3.4968266308275056E-2</v>
          </cell>
          <cell r="R4">
            <v>3.4877952691942229E-2</v>
          </cell>
          <cell r="S4">
            <v>3.3698840779635565E-2</v>
          </cell>
          <cell r="T4">
            <v>3.2267450324371394E-2</v>
          </cell>
          <cell r="U4">
            <v>2.9592552640373106E-2</v>
          </cell>
        </row>
        <row r="5">
          <cell r="A5" t="str">
            <v>BED</v>
          </cell>
          <cell r="C5">
            <v>3.4602917267040428E-2</v>
          </cell>
          <cell r="D5">
            <v>3.6529504670614978E-2</v>
          </cell>
          <cell r="E5">
            <v>3.5187020055724487E-2</v>
          </cell>
          <cell r="F5">
            <v>3.3328564435602004E-2</v>
          </cell>
          <cell r="G5">
            <v>3.1377598303260236E-2</v>
          </cell>
          <cell r="H5">
            <v>2.9765569585114674E-2</v>
          </cell>
          <cell r="I5">
            <v>2.614685215561605E-2</v>
          </cell>
          <cell r="J5">
            <v>2.5760205843578941E-2</v>
          </cell>
          <cell r="K5">
            <v>1.9703034300340875E-2</v>
          </cell>
          <cell r="L5">
            <v>1.9545341537726215E-2</v>
          </cell>
          <cell r="M5">
            <v>2.0563223181516935E-2</v>
          </cell>
          <cell r="N5">
            <v>2.3273096917851458E-2</v>
          </cell>
          <cell r="O5">
            <v>2.312715230923959E-2</v>
          </cell>
          <cell r="P5">
            <v>2.6228482558507529E-2</v>
          </cell>
          <cell r="Q5">
            <v>3.5193679030433619E-2</v>
          </cell>
          <cell r="R5">
            <v>3.5780684649191451E-2</v>
          </cell>
          <cell r="S5">
            <v>3.4428382214429176E-2</v>
          </cell>
          <cell r="T5">
            <v>3.2513206334652905E-2</v>
          </cell>
          <cell r="U5">
            <v>2.880395798684075E-2</v>
          </cell>
        </row>
        <row r="18">
          <cell r="B18">
            <v>5000487.0117270034</v>
          </cell>
          <cell r="C18">
            <v>5081576.8059160989</v>
          </cell>
          <cell r="D18">
            <v>5187635.003592357</v>
          </cell>
          <cell r="E18">
            <v>5271789.508203472</v>
          </cell>
          <cell r="F18">
            <v>5360585.9118454196</v>
          </cell>
          <cell r="G18">
            <v>5439897.3155827392</v>
          </cell>
          <cell r="H18">
            <v>5400807.9797639977</v>
          </cell>
          <cell r="I18">
            <v>5499235.9733325373</v>
          </cell>
          <cell r="J18">
            <v>5554538.048132549</v>
          </cell>
          <cell r="K18">
            <v>5521073.0232105609</v>
          </cell>
          <cell r="L18">
            <v>5599444.0091124028</v>
          </cell>
          <cell r="M18">
            <v>5671937.2571757175</v>
          </cell>
          <cell r="N18">
            <v>5748015.1798180817</v>
          </cell>
          <cell r="O18">
            <v>5824120.7108208099</v>
          </cell>
          <cell r="P18">
            <v>5900003.3656084985</v>
          </cell>
          <cell r="Q18">
            <v>5927812.0215243697</v>
          </cell>
          <cell r="R18">
            <v>6032589.0281015048</v>
          </cell>
          <cell r="S18">
            <v>6081685.6273299828</v>
          </cell>
          <cell r="T18">
            <v>6138552.4439200331</v>
          </cell>
          <cell r="U18">
            <v>6185595.2855612319</v>
          </cell>
        </row>
        <row r="24">
          <cell r="B24">
            <v>2014</v>
          </cell>
          <cell r="C24">
            <v>2015</v>
          </cell>
          <cell r="D24">
            <v>2016</v>
          </cell>
          <cell r="E24">
            <v>2017</v>
          </cell>
          <cell r="F24">
            <v>2018</v>
          </cell>
          <cell r="G24">
            <v>2019</v>
          </cell>
          <cell r="H24">
            <v>2020</v>
          </cell>
          <cell r="I24">
            <v>2021</v>
          </cell>
          <cell r="J24">
            <v>2022</v>
          </cell>
          <cell r="K24">
            <v>2023</v>
          </cell>
          <cell r="L24">
            <v>2024</v>
          </cell>
          <cell r="M24">
            <v>2025</v>
          </cell>
          <cell r="N24">
            <v>2026</v>
          </cell>
          <cell r="O24">
            <v>2027</v>
          </cell>
          <cell r="P24">
            <v>2028</v>
          </cell>
          <cell r="Q24">
            <v>2029</v>
          </cell>
          <cell r="R24">
            <v>2030</v>
          </cell>
          <cell r="S24">
            <v>2031</v>
          </cell>
          <cell r="T24">
            <v>2032</v>
          </cell>
          <cell r="U24">
            <v>2033</v>
          </cell>
        </row>
        <row r="25">
          <cell r="B25">
            <v>4834310.6226909123</v>
          </cell>
          <cell r="C25">
            <v>4739800.5206086319</v>
          </cell>
          <cell r="D25">
            <v>4665479.3870708151</v>
          </cell>
          <cell r="E25">
            <v>4584763.8573051412</v>
          </cell>
          <cell r="F25">
            <v>4536539.0667165928</v>
          </cell>
          <cell r="G25">
            <v>4492321.8165571578</v>
          </cell>
          <cell r="H25">
            <v>4340648.1884772759</v>
          </cell>
          <cell r="I25">
            <v>4417812.2696278747</v>
          </cell>
          <cell r="J25">
            <v>4393335.2107171398</v>
          </cell>
          <cell r="K25">
            <v>4306907.4062932935</v>
          </cell>
          <cell r="L25">
            <v>4354612.1544431029</v>
          </cell>
          <cell r="M25">
            <v>4397107.8600216052</v>
          </cell>
          <cell r="N25">
            <v>4445918.4946893975</v>
          </cell>
          <cell r="O25">
            <v>4495648.2248471286</v>
          </cell>
          <cell r="P25">
            <v>4546207.2832883392</v>
          </cell>
          <cell r="Q25">
            <v>4551618.1205694797</v>
          </cell>
          <cell r="R25">
            <v>4635952.6400833782</v>
          </cell>
          <cell r="S25">
            <v>4665416.4855436664</v>
          </cell>
          <cell r="T25">
            <v>4705342.9694330916</v>
          </cell>
          <cell r="U25">
            <v>4735595.6055915859</v>
          </cell>
        </row>
        <row r="26">
          <cell r="B26">
            <v>4488412.3417464932</v>
          </cell>
          <cell r="C26">
            <v>4401309.8677217234</v>
          </cell>
          <cell r="D26">
            <v>4335778.5581537392</v>
          </cell>
          <cell r="E26">
            <v>4263695.8914111676</v>
          </cell>
          <cell r="F26">
            <v>4219022.8203560002</v>
          </cell>
          <cell r="G26">
            <v>4175157.2012206959</v>
          </cell>
          <cell r="H26">
            <v>4025554.686661934</v>
          </cell>
          <cell r="I26">
            <v>4098484.6283947201</v>
          </cell>
          <cell r="J26">
            <v>4077778.1641814131</v>
          </cell>
          <cell r="K26">
            <v>3993202.399476571</v>
          </cell>
          <cell r="L26">
            <v>4037752.5439917995</v>
          </cell>
          <cell r="M26">
            <v>4080301.5509069292</v>
          </cell>
          <cell r="N26">
            <v>4128442.200058186</v>
          </cell>
          <cell r="O26">
            <v>4177773.7187642641</v>
          </cell>
          <cell r="P26">
            <v>4226832.5684180409</v>
          </cell>
          <cell r="Q26">
            <v>4232350.8544495516</v>
          </cell>
          <cell r="R26">
            <v>4315306.0861435384</v>
          </cell>
          <cell r="S26">
            <v>4343206.4426191431</v>
          </cell>
          <cell r="T26">
            <v>4380156.5189185627</v>
          </cell>
          <cell r="U26">
            <v>4407371.4107643422</v>
          </cell>
        </row>
        <row r="27">
          <cell r="B27">
            <v>345898.28094442002</v>
          </cell>
          <cell r="C27">
            <v>338490.65288690786</v>
          </cell>
          <cell r="D27">
            <v>329700.82891707588</v>
          </cell>
          <cell r="E27">
            <v>321067.96589397354</v>
          </cell>
          <cell r="F27">
            <v>317516.24636059249</v>
          </cell>
          <cell r="G27">
            <v>317164.61533646169</v>
          </cell>
          <cell r="H27">
            <v>315093.50181534159</v>
          </cell>
          <cell r="I27">
            <v>319327.64123315533</v>
          </cell>
          <cell r="J27">
            <v>315557.04653572734</v>
          </cell>
          <cell r="K27">
            <v>313705.00681672181</v>
          </cell>
          <cell r="L27">
            <v>316859.61045130395</v>
          </cell>
          <cell r="M27">
            <v>316806.30911467463</v>
          </cell>
          <cell r="N27">
            <v>317476.29463121155</v>
          </cell>
          <cell r="O27">
            <v>317874.50608286448</v>
          </cell>
          <cell r="P27">
            <v>319374.71487029706</v>
          </cell>
          <cell r="Q27">
            <v>319267.26611992886</v>
          </cell>
          <cell r="R27">
            <v>320646.55393984041</v>
          </cell>
          <cell r="S27">
            <v>322210.04292452306</v>
          </cell>
          <cell r="T27">
            <v>325186.45051452797</v>
          </cell>
          <cell r="U27">
            <v>328224.19482724351</v>
          </cell>
        </row>
      </sheetData>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EU TEPF Budget Estimates"/>
      <sheetName val="Summary TEPF Revenue Est"/>
      <sheetName val="RGGI Disbursements"/>
      <sheetName val="RGGI rev Projection 2014 - 24"/>
      <sheetName val="Annual FCM Rev Estimate 2014-24"/>
      <sheetName val="Input Values"/>
      <sheetName val="CSO Layer Info"/>
    </sheetNames>
    <sheetDataSet>
      <sheetData sheetId="0"/>
      <sheetData sheetId="1">
        <row r="16">
          <cell r="G16">
            <v>6277044.0887033492</v>
          </cell>
          <cell r="H16">
            <v>6946141.1236446258</v>
          </cell>
          <cell r="I16">
            <v>7501010.1864256654</v>
          </cell>
          <cell r="J16">
            <v>8023941.0595670519</v>
          </cell>
          <cell r="K16">
            <v>8803965.1910301615</v>
          </cell>
          <cell r="L16">
            <v>9259107.5202530865</v>
          </cell>
          <cell r="M16">
            <v>9578417.3332436681</v>
          </cell>
          <cell r="N16">
            <v>10127825.431131616</v>
          </cell>
          <cell r="O16">
            <v>10231840.752253752</v>
          </cell>
          <cell r="P16">
            <v>11149050.6326646</v>
          </cell>
        </row>
      </sheetData>
      <sheetData sheetId="2"/>
      <sheetData sheetId="3"/>
      <sheetData sheetId="4"/>
      <sheetData sheetId="5"/>
      <sheetData sheetId="6"/>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C0C0C0"/>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10.xml.rels><?xml version="1.0" encoding="UTF-8" standalone="yes"?>
<Relationships xmlns="http://schemas.openxmlformats.org/package/2006/relationships"><Relationship Id="rId2" Type="http://schemas.openxmlformats.org/officeDocument/2006/relationships/comments" Target="../comments2.xml"/><Relationship Id="rId1" Type="http://schemas.openxmlformats.org/officeDocument/2006/relationships/vmlDrawing" Target="../drawings/vmlDrawing2.vml"/></Relationships>
</file>

<file path=xl/worksheets/_rels/sheet11.xml.rels><?xml version="1.0" encoding="UTF-8" standalone="yes"?>
<Relationships xmlns="http://schemas.openxmlformats.org/package/2006/relationships"><Relationship Id="rId2" Type="http://schemas.openxmlformats.org/officeDocument/2006/relationships/comments" Target="../comments3.xml"/><Relationship Id="rId1" Type="http://schemas.openxmlformats.org/officeDocument/2006/relationships/vmlDrawing" Target="../drawings/vmlDrawing3.vml"/></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15.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_rels/sheet16.xml.rels><?xml version="1.0" encoding="UTF-8" standalone="yes"?>
<Relationships xmlns="http://schemas.openxmlformats.org/package/2006/relationships"><Relationship Id="rId2" Type="http://schemas.openxmlformats.org/officeDocument/2006/relationships/comments" Target="../comments5.xml"/><Relationship Id="rId1" Type="http://schemas.openxmlformats.org/officeDocument/2006/relationships/vmlDrawing" Target="../drawings/vmlDrawing5.vml"/></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20.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7.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36.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38.xml.rels><?xml version="1.0" encoding="UTF-8" standalone="yes"?>
<Relationships xmlns="http://schemas.openxmlformats.org/package/2006/relationships"><Relationship Id="rId3" Type="http://schemas.openxmlformats.org/officeDocument/2006/relationships/comments" Target="../comments6.xml"/><Relationship Id="rId2" Type="http://schemas.openxmlformats.org/officeDocument/2006/relationships/vmlDrawing" Target="../drawings/vmlDrawing6.vml"/><Relationship Id="rId1" Type="http://schemas.openxmlformats.org/officeDocument/2006/relationships/printerSettings" Target="../printerSettings/printerSettings2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57"/>
  <sheetViews>
    <sheetView showGridLines="0" tabSelected="1" zoomScaleNormal="100" workbookViewId="0">
      <selection activeCell="B4" sqref="B4"/>
    </sheetView>
  </sheetViews>
  <sheetFormatPr defaultRowHeight="15"/>
  <cols>
    <col min="1" max="1" width="5.28515625" customWidth="1"/>
    <col min="2" max="2" width="31.7109375" customWidth="1"/>
    <col min="3" max="3" width="13.140625" bestFit="1" customWidth="1"/>
    <col min="4" max="5" width="12" bestFit="1" customWidth="1"/>
    <col min="6" max="6" width="13.85546875" style="73" customWidth="1"/>
    <col min="7" max="7" width="11.5703125" customWidth="1"/>
    <col min="8" max="8" width="11.28515625" customWidth="1"/>
    <col min="9" max="9" width="11.42578125" bestFit="1" customWidth="1"/>
    <col min="10" max="23" width="12.85546875" customWidth="1"/>
    <col min="24" max="24" width="14.5703125" customWidth="1"/>
    <col min="27" max="27" width="17.42578125" customWidth="1"/>
    <col min="258" max="258" width="33.28515625" customWidth="1"/>
    <col min="262" max="262" width="11.140625" customWidth="1"/>
    <col min="514" max="514" width="33.28515625" customWidth="1"/>
    <col min="518" max="518" width="11.140625" customWidth="1"/>
    <col min="770" max="770" width="33.28515625" customWidth="1"/>
    <col min="774" max="774" width="11.140625" customWidth="1"/>
    <col min="1026" max="1026" width="33.28515625" customWidth="1"/>
    <col min="1030" max="1030" width="11.140625" customWidth="1"/>
    <col min="1282" max="1282" width="33.28515625" customWidth="1"/>
    <col min="1286" max="1286" width="11.140625" customWidth="1"/>
    <col min="1538" max="1538" width="33.28515625" customWidth="1"/>
    <col min="1542" max="1542" width="11.140625" customWidth="1"/>
    <col min="1794" max="1794" width="33.28515625" customWidth="1"/>
    <col min="1798" max="1798" width="11.140625" customWidth="1"/>
    <col min="2050" max="2050" width="33.28515625" customWidth="1"/>
    <col min="2054" max="2054" width="11.140625" customWidth="1"/>
    <col min="2306" max="2306" width="33.28515625" customWidth="1"/>
    <col min="2310" max="2310" width="11.140625" customWidth="1"/>
    <col min="2562" max="2562" width="33.28515625" customWidth="1"/>
    <col min="2566" max="2566" width="11.140625" customWidth="1"/>
    <col min="2818" max="2818" width="33.28515625" customWidth="1"/>
    <col min="2822" max="2822" width="11.140625" customWidth="1"/>
    <col min="3074" max="3074" width="33.28515625" customWidth="1"/>
    <col min="3078" max="3078" width="11.140625" customWidth="1"/>
    <col min="3330" max="3330" width="33.28515625" customWidth="1"/>
    <col min="3334" max="3334" width="11.140625" customWidth="1"/>
    <col min="3586" max="3586" width="33.28515625" customWidth="1"/>
    <col min="3590" max="3590" width="11.140625" customWidth="1"/>
    <col min="3842" max="3842" width="33.28515625" customWidth="1"/>
    <col min="3846" max="3846" width="11.140625" customWidth="1"/>
    <col min="4098" max="4098" width="33.28515625" customWidth="1"/>
    <col min="4102" max="4102" width="11.140625" customWidth="1"/>
    <col min="4354" max="4354" width="33.28515625" customWidth="1"/>
    <col min="4358" max="4358" width="11.140625" customWidth="1"/>
    <col min="4610" max="4610" width="33.28515625" customWidth="1"/>
    <col min="4614" max="4614" width="11.140625" customWidth="1"/>
    <col min="4866" max="4866" width="33.28515625" customWidth="1"/>
    <col min="4870" max="4870" width="11.140625" customWidth="1"/>
    <col min="5122" max="5122" width="33.28515625" customWidth="1"/>
    <col min="5126" max="5126" width="11.140625" customWidth="1"/>
    <col min="5378" max="5378" width="33.28515625" customWidth="1"/>
    <col min="5382" max="5382" width="11.140625" customWidth="1"/>
    <col min="5634" max="5634" width="33.28515625" customWidth="1"/>
    <col min="5638" max="5638" width="11.140625" customWidth="1"/>
    <col min="5890" max="5890" width="33.28515625" customWidth="1"/>
    <col min="5894" max="5894" width="11.140625" customWidth="1"/>
    <col min="6146" max="6146" width="33.28515625" customWidth="1"/>
    <col min="6150" max="6150" width="11.140625" customWidth="1"/>
    <col min="6402" max="6402" width="33.28515625" customWidth="1"/>
    <col min="6406" max="6406" width="11.140625" customWidth="1"/>
    <col min="6658" max="6658" width="33.28515625" customWidth="1"/>
    <col min="6662" max="6662" width="11.140625" customWidth="1"/>
    <col min="6914" max="6914" width="33.28515625" customWidth="1"/>
    <col min="6918" max="6918" width="11.140625" customWidth="1"/>
    <col min="7170" max="7170" width="33.28515625" customWidth="1"/>
    <col min="7174" max="7174" width="11.140625" customWidth="1"/>
    <col min="7426" max="7426" width="33.28515625" customWidth="1"/>
    <col min="7430" max="7430" width="11.140625" customWidth="1"/>
    <col min="7682" max="7682" width="33.28515625" customWidth="1"/>
    <col min="7686" max="7686" width="11.140625" customWidth="1"/>
    <col min="7938" max="7938" width="33.28515625" customWidth="1"/>
    <col min="7942" max="7942" width="11.140625" customWidth="1"/>
    <col min="8194" max="8194" width="33.28515625" customWidth="1"/>
    <col min="8198" max="8198" width="11.140625" customWidth="1"/>
    <col min="8450" max="8450" width="33.28515625" customWidth="1"/>
    <col min="8454" max="8454" width="11.140625" customWidth="1"/>
    <col min="8706" max="8706" width="33.28515625" customWidth="1"/>
    <col min="8710" max="8710" width="11.140625" customWidth="1"/>
    <col min="8962" max="8962" width="33.28515625" customWidth="1"/>
    <col min="8966" max="8966" width="11.140625" customWidth="1"/>
    <col min="9218" max="9218" width="33.28515625" customWidth="1"/>
    <col min="9222" max="9222" width="11.140625" customWidth="1"/>
    <col min="9474" max="9474" width="33.28515625" customWidth="1"/>
    <col min="9478" max="9478" width="11.140625" customWidth="1"/>
    <col min="9730" max="9730" width="33.28515625" customWidth="1"/>
    <col min="9734" max="9734" width="11.140625" customWidth="1"/>
    <col min="9986" max="9986" width="33.28515625" customWidth="1"/>
    <col min="9990" max="9990" width="11.140625" customWidth="1"/>
    <col min="10242" max="10242" width="33.28515625" customWidth="1"/>
    <col min="10246" max="10246" width="11.140625" customWidth="1"/>
    <col min="10498" max="10498" width="33.28515625" customWidth="1"/>
    <col min="10502" max="10502" width="11.140625" customWidth="1"/>
    <col min="10754" max="10754" width="33.28515625" customWidth="1"/>
    <col min="10758" max="10758" width="11.140625" customWidth="1"/>
    <col min="11010" max="11010" width="33.28515625" customWidth="1"/>
    <col min="11014" max="11014" width="11.140625" customWidth="1"/>
    <col min="11266" max="11266" width="33.28515625" customWidth="1"/>
    <col min="11270" max="11270" width="11.140625" customWidth="1"/>
    <col min="11522" max="11522" width="33.28515625" customWidth="1"/>
    <col min="11526" max="11526" width="11.140625" customWidth="1"/>
    <col min="11778" max="11778" width="33.28515625" customWidth="1"/>
    <col min="11782" max="11782" width="11.140625" customWidth="1"/>
    <col min="12034" max="12034" width="33.28515625" customWidth="1"/>
    <col min="12038" max="12038" width="11.140625" customWidth="1"/>
    <col min="12290" max="12290" width="33.28515625" customWidth="1"/>
    <col min="12294" max="12294" width="11.140625" customWidth="1"/>
    <col min="12546" max="12546" width="33.28515625" customWidth="1"/>
    <col min="12550" max="12550" width="11.140625" customWidth="1"/>
    <col min="12802" max="12802" width="33.28515625" customWidth="1"/>
    <col min="12806" max="12806" width="11.140625" customWidth="1"/>
    <col min="13058" max="13058" width="33.28515625" customWidth="1"/>
    <col min="13062" max="13062" width="11.140625" customWidth="1"/>
    <col min="13314" max="13314" width="33.28515625" customWidth="1"/>
    <col min="13318" max="13318" width="11.140625" customWidth="1"/>
    <col min="13570" max="13570" width="33.28515625" customWidth="1"/>
    <col min="13574" max="13574" width="11.140625" customWidth="1"/>
    <col min="13826" max="13826" width="33.28515625" customWidth="1"/>
    <col min="13830" max="13830" width="11.140625" customWidth="1"/>
    <col min="14082" max="14082" width="33.28515625" customWidth="1"/>
    <col min="14086" max="14086" width="11.140625" customWidth="1"/>
    <col min="14338" max="14338" width="33.28515625" customWidth="1"/>
    <col min="14342" max="14342" width="11.140625" customWidth="1"/>
    <col min="14594" max="14594" width="33.28515625" customWidth="1"/>
    <col min="14598" max="14598" width="11.140625" customWidth="1"/>
    <col min="14850" max="14850" width="33.28515625" customWidth="1"/>
    <col min="14854" max="14854" width="11.140625" customWidth="1"/>
    <col min="15106" max="15106" width="33.28515625" customWidth="1"/>
    <col min="15110" max="15110" width="11.140625" customWidth="1"/>
    <col min="15362" max="15362" width="33.28515625" customWidth="1"/>
    <col min="15366" max="15366" width="11.140625" customWidth="1"/>
    <col min="15618" max="15618" width="33.28515625" customWidth="1"/>
    <col min="15622" max="15622" width="11.140625" customWidth="1"/>
    <col min="15874" max="15874" width="33.28515625" customWidth="1"/>
    <col min="15878" max="15878" width="11.140625" customWidth="1"/>
    <col min="16130" max="16130" width="33.28515625" customWidth="1"/>
    <col min="16134" max="16134" width="11.140625" customWidth="1"/>
  </cols>
  <sheetData>
    <row r="1" spans="1:27" ht="15.75">
      <c r="A1" s="658" t="s">
        <v>459</v>
      </c>
      <c r="J1" s="658" t="s">
        <v>459</v>
      </c>
      <c r="S1" s="658" t="s">
        <v>459</v>
      </c>
    </row>
    <row r="2" spans="1:27" ht="18.75">
      <c r="A2" s="72" t="s">
        <v>457</v>
      </c>
      <c r="G2" s="73"/>
      <c r="H2" s="311"/>
      <c r="I2" s="311" t="s">
        <v>454</v>
      </c>
      <c r="J2" s="658"/>
      <c r="R2" s="311" t="s">
        <v>455</v>
      </c>
      <c r="S2" s="658"/>
      <c r="AA2" s="311" t="s">
        <v>456</v>
      </c>
    </row>
    <row r="3" spans="1:27" ht="15.75">
      <c r="A3" s="332"/>
    </row>
    <row r="4" spans="1:27" s="4" customFormat="1">
      <c r="A4" s="645"/>
      <c r="B4" s="651"/>
      <c r="C4" s="652">
        <v>2015</v>
      </c>
      <c r="D4" s="652">
        <v>2016</v>
      </c>
      <c r="E4" s="652">
        <v>2017</v>
      </c>
      <c r="F4" s="650" t="s">
        <v>45</v>
      </c>
      <c r="G4" s="786">
        <v>2018</v>
      </c>
      <c r="H4" s="652">
        <v>2019</v>
      </c>
      <c r="I4" s="652">
        <v>2020</v>
      </c>
      <c r="J4" s="652">
        <v>2021</v>
      </c>
      <c r="K4" s="652">
        <v>2022</v>
      </c>
      <c r="L4" s="652">
        <v>2023</v>
      </c>
      <c r="M4" s="652">
        <v>2024</v>
      </c>
      <c r="N4" s="652">
        <v>2025</v>
      </c>
      <c r="O4" s="652">
        <v>2026</v>
      </c>
      <c r="P4" s="652">
        <v>2027</v>
      </c>
      <c r="Q4" s="652">
        <v>2028</v>
      </c>
      <c r="R4" s="652">
        <v>2029</v>
      </c>
      <c r="S4" s="652">
        <v>2030</v>
      </c>
      <c r="T4" s="652">
        <v>2031</v>
      </c>
      <c r="U4" s="652">
        <v>2032</v>
      </c>
      <c r="V4" s="652">
        <v>2033</v>
      </c>
      <c r="W4" s="652">
        <v>2034</v>
      </c>
      <c r="X4" s="380" t="s">
        <v>4</v>
      </c>
    </row>
    <row r="5" spans="1:27">
      <c r="A5" s="646" t="s">
        <v>46</v>
      </c>
      <c r="B5" s="73"/>
      <c r="C5" s="494"/>
      <c r="D5" s="494"/>
      <c r="E5" s="494"/>
      <c r="F5" s="641"/>
      <c r="X5" s="787"/>
    </row>
    <row r="6" spans="1:27">
      <c r="A6" s="647" t="s">
        <v>47</v>
      </c>
      <c r="B6" s="73"/>
      <c r="C6" s="762"/>
      <c r="D6" s="762"/>
      <c r="E6" s="762"/>
      <c r="F6" s="334"/>
      <c r="G6" s="749"/>
      <c r="X6" s="787"/>
    </row>
    <row r="7" spans="1:27">
      <c r="A7" s="76"/>
      <c r="B7" s="73" t="s">
        <v>48</v>
      </c>
      <c r="C7" s="653">
        <f>'VEIC RA Supplemental'!B4-'DPS Recommendation'!C11</f>
        <v>39351358.812160082</v>
      </c>
      <c r="D7" s="653">
        <f>'VEIC RA Supplemental'!C4-'DPS Recommendation'!D11</f>
        <v>42460068.079039998</v>
      </c>
      <c r="E7" s="653">
        <f>'VEIC RA Supplemental'!D4-'DPS Recommendation'!E11</f>
        <v>45555422.961468764</v>
      </c>
      <c r="F7" s="350">
        <f>SUM(C7:E7)</f>
        <v>127366849.85266885</v>
      </c>
      <c r="G7" s="349">
        <f>'VEIC RA Supplemental'!E4</f>
        <v>48034050.810150273</v>
      </c>
      <c r="H7" s="349">
        <f>'VEIC RA Supplemental'!F4</f>
        <v>49645840.111498863</v>
      </c>
      <c r="I7" s="349">
        <f>'VEIC RA Supplemental'!G4</f>
        <v>51279153.886690289</v>
      </c>
      <c r="J7" s="349">
        <f>'VEIC RA Supplemental'!H4</f>
        <v>52828643.207072772</v>
      </c>
      <c r="K7" s="349">
        <f>'VEIC RA Supplemental'!I4</f>
        <v>54549928.366914928</v>
      </c>
      <c r="L7" s="349">
        <f>'VEIC RA Supplemental'!J4</f>
        <v>56254913.396072045</v>
      </c>
      <c r="M7" s="349">
        <f>'VEIC RA Supplemental'!K4</f>
        <v>58069804.950568497</v>
      </c>
      <c r="N7" s="349">
        <f>'VEIC RA Supplemental'!L4</f>
        <v>59920918.995821059</v>
      </c>
      <c r="O7" s="349">
        <f>'VEIC RA Supplemental'!M4</f>
        <v>61707336.648420602</v>
      </c>
      <c r="P7" s="349">
        <f>'VEIC RA Supplemental'!N4</f>
        <v>63157477.378788918</v>
      </c>
      <c r="Q7" s="349">
        <f>'VEIC RA Supplemental'!O4</f>
        <v>65086641.093205884</v>
      </c>
      <c r="R7" s="349">
        <f>'VEIC RA Supplemental'!P4</f>
        <v>66982240.301630571</v>
      </c>
      <c r="S7" s="349">
        <f>'VEIC RA Supplemental'!Q4</f>
        <v>69058751.100950077</v>
      </c>
      <c r="T7" s="349">
        <f>'VEIC RA Supplemental'!R4</f>
        <v>71418978.595257461</v>
      </c>
      <c r="U7" s="349">
        <f>'VEIC RA Supplemental'!S4</f>
        <v>72426971.135317594</v>
      </c>
      <c r="V7" s="349">
        <f>'VEIC RA Supplemental'!T4</f>
        <v>74198237.011997595</v>
      </c>
      <c r="W7" s="349">
        <f>'VEIC RA Supplemental'!U4</f>
        <v>75969502.888677701</v>
      </c>
      <c r="X7" s="788">
        <f>SUM(F7:W7)</f>
        <v>1177956239.731704</v>
      </c>
    </row>
    <row r="8" spans="1:27">
      <c r="A8" s="76"/>
      <c r="B8" s="763" t="s">
        <v>405</v>
      </c>
      <c r="C8" s="653">
        <f>C7*0.035</f>
        <v>1377297.558425603</v>
      </c>
      <c r="D8" s="653">
        <f>D7*0.0425</f>
        <v>1804552.8933592001</v>
      </c>
      <c r="E8" s="653">
        <f>E7*0.04</f>
        <v>1822216.9184587505</v>
      </c>
      <c r="F8" s="350">
        <f>SUM(C8:E8)</f>
        <v>5004067.3702435531</v>
      </c>
      <c r="G8" s="349"/>
      <c r="H8" s="349"/>
      <c r="I8" s="349"/>
      <c r="J8" s="349"/>
      <c r="K8" s="349"/>
      <c r="L8" s="349"/>
      <c r="M8" s="349"/>
      <c r="N8" s="349"/>
      <c r="O8" s="349"/>
      <c r="P8" s="349"/>
      <c r="Q8" s="349"/>
      <c r="R8" s="349"/>
      <c r="S8" s="349"/>
      <c r="T8" s="349"/>
      <c r="U8" s="349"/>
      <c r="V8" s="349"/>
      <c r="W8" s="349"/>
      <c r="X8" s="788"/>
    </row>
    <row r="9" spans="1:27">
      <c r="A9" s="76"/>
      <c r="B9" s="73" t="s">
        <v>49</v>
      </c>
      <c r="C9" s="653">
        <f>'BED Scen 2'!C7</f>
        <v>2337666</v>
      </c>
      <c r="D9" s="653">
        <f>'BED Scen 2'!D7</f>
        <v>2513980</v>
      </c>
      <c r="E9" s="653">
        <f>'BED Scen 2'!E7</f>
        <v>2696148</v>
      </c>
      <c r="F9" s="350">
        <f>SUM(C9:E9)</f>
        <v>7547794</v>
      </c>
      <c r="G9" s="349">
        <f>'BED Scen 2'!G7</f>
        <v>2780381.5097812987</v>
      </c>
      <c r="H9" s="349">
        <f>'BED Scen 2'!H7</f>
        <v>2868773.1428995794</v>
      </c>
      <c r="I9" s="349">
        <f>'BED Scen 2'!I7</f>
        <v>2966063.1054125009</v>
      </c>
      <c r="J9" s="349">
        <f>'BED Scen 2'!J7</f>
        <v>3056968.2854802925</v>
      </c>
      <c r="K9" s="349">
        <f>'BED Scen 2'!K7</f>
        <v>3149248.6323778974</v>
      </c>
      <c r="L9" s="349">
        <f>'BED Scen 2'!L7</f>
        <v>3243315.0628957413</v>
      </c>
      <c r="M9" s="349">
        <f>'BED Scen 2'!M7</f>
        <v>3349072.2405931489</v>
      </c>
      <c r="N9" s="349">
        <f>'BED Scen 2'!N7</f>
        <v>3453508.289087642</v>
      </c>
      <c r="O9" s="349">
        <f>'BED Scen 2'!O7</f>
        <v>3568529.6637599426</v>
      </c>
      <c r="P9" s="349">
        <f>'BED Scen 2'!P7</f>
        <v>3648110.5881362669</v>
      </c>
      <c r="Q9" s="349">
        <f>'BED Scen 2'!Q7</f>
        <v>3764670.9128333558</v>
      </c>
      <c r="R9" s="349">
        <f>'BED Scen 2'!R7</f>
        <v>3881651.4397072596</v>
      </c>
      <c r="S9" s="349">
        <f>'BED Scen 2'!S7</f>
        <v>4004169.2074811971</v>
      </c>
      <c r="T9" s="349">
        <f>'BED Scen 2'!T7</f>
        <v>4149095.186335424</v>
      </c>
      <c r="U9" s="349">
        <f>'BED Scen 2'!U7</f>
        <v>4273568.0419254871</v>
      </c>
      <c r="V9" s="349">
        <f>'BED Scen 2'!V7</f>
        <v>4401775.0831832513</v>
      </c>
      <c r="W9" s="349">
        <f>'BED Scen 2'!W7</f>
        <v>4533828.3356787488</v>
      </c>
      <c r="X9" s="788">
        <f t="shared" ref="X9:X20" si="0">SUM(F9:W9)</f>
        <v>68640522.727569029</v>
      </c>
    </row>
    <row r="10" spans="1:27">
      <c r="A10" s="76"/>
      <c r="B10" s="763" t="s">
        <v>405</v>
      </c>
      <c r="C10" s="653">
        <f>C9*0.035</f>
        <v>81818.310000000012</v>
      </c>
      <c r="D10" s="653">
        <f>D9*0.0425</f>
        <v>106844.15000000001</v>
      </c>
      <c r="E10" s="653">
        <f>E9*0.04</f>
        <v>107845.92</v>
      </c>
      <c r="F10" s="350">
        <f>SUM(C10:E10)</f>
        <v>296508.38</v>
      </c>
      <c r="G10" s="349"/>
      <c r="H10" s="349"/>
      <c r="I10" s="349"/>
      <c r="J10" s="349"/>
      <c r="K10" s="349"/>
      <c r="L10" s="349"/>
      <c r="M10" s="349"/>
      <c r="N10" s="349"/>
      <c r="O10" s="349"/>
      <c r="P10" s="349"/>
      <c r="Q10" s="349"/>
      <c r="R10" s="349"/>
      <c r="S10" s="349"/>
      <c r="T10" s="349"/>
      <c r="U10" s="349"/>
      <c r="V10" s="349"/>
      <c r="W10" s="349"/>
      <c r="X10" s="788"/>
    </row>
    <row r="11" spans="1:27">
      <c r="A11" s="76"/>
      <c r="B11" s="73" t="s">
        <v>203</v>
      </c>
      <c r="C11" s="653">
        <f>970000*1.02</f>
        <v>989400</v>
      </c>
      <c r="D11" s="653">
        <f>C11*1.02</f>
        <v>1009188</v>
      </c>
      <c r="E11" s="653">
        <f>D11*1.02</f>
        <v>1029371.76</v>
      </c>
      <c r="F11" s="350">
        <f>SUM(C11:E11)</f>
        <v>3027959.76</v>
      </c>
      <c r="G11" s="349">
        <f>E11*1.02</f>
        <v>1049959.1952</v>
      </c>
      <c r="H11" s="349">
        <f>G11*1.02</f>
        <v>1070958.3791040001</v>
      </c>
      <c r="I11" s="349">
        <f t="shared" ref="I11:W11" si="1">H11*1.02</f>
        <v>1092377.5466860801</v>
      </c>
      <c r="J11" s="349">
        <f t="shared" si="1"/>
        <v>1114225.0976198018</v>
      </c>
      <c r="K11" s="349">
        <f t="shared" si="1"/>
        <v>1136509.5995721978</v>
      </c>
      <c r="L11" s="349">
        <f t="shared" si="1"/>
        <v>1159239.7915636417</v>
      </c>
      <c r="M11" s="349">
        <f t="shared" si="1"/>
        <v>1182424.5873949146</v>
      </c>
      <c r="N11" s="349">
        <f t="shared" si="1"/>
        <v>1206073.0791428129</v>
      </c>
      <c r="O11" s="349">
        <f t="shared" si="1"/>
        <v>1230194.5407256691</v>
      </c>
      <c r="P11" s="349">
        <f t="shared" si="1"/>
        <v>1254798.4315401826</v>
      </c>
      <c r="Q11" s="349">
        <f t="shared" si="1"/>
        <v>1279894.4001709863</v>
      </c>
      <c r="R11" s="349">
        <f t="shared" si="1"/>
        <v>1305492.2881744062</v>
      </c>
      <c r="S11" s="349">
        <f t="shared" si="1"/>
        <v>1331602.1339378944</v>
      </c>
      <c r="T11" s="349">
        <f t="shared" si="1"/>
        <v>1358234.1766166522</v>
      </c>
      <c r="U11" s="349">
        <f t="shared" si="1"/>
        <v>1385398.8601489852</v>
      </c>
      <c r="V11" s="349">
        <f t="shared" si="1"/>
        <v>1413106.8373519648</v>
      </c>
      <c r="W11" s="349">
        <f t="shared" si="1"/>
        <v>1441368.9740990042</v>
      </c>
      <c r="X11" s="788">
        <f t="shared" si="0"/>
        <v>24039817.679049194</v>
      </c>
    </row>
    <row r="12" spans="1:27">
      <c r="A12" s="647" t="s">
        <v>50</v>
      </c>
      <c r="B12" s="73"/>
      <c r="C12" s="653"/>
      <c r="D12" s="653"/>
      <c r="E12" s="653"/>
      <c r="F12" s="350"/>
      <c r="G12" s="349"/>
      <c r="H12" s="349"/>
      <c r="I12" s="349"/>
      <c r="J12" s="349"/>
      <c r="K12" s="349"/>
      <c r="L12" s="349"/>
      <c r="M12" s="349"/>
      <c r="N12" s="349"/>
      <c r="O12" s="349"/>
      <c r="P12" s="349"/>
      <c r="Q12" s="349"/>
      <c r="R12" s="349"/>
      <c r="S12" s="349"/>
      <c r="T12" s="349"/>
      <c r="U12" s="349"/>
      <c r="V12" s="349"/>
      <c r="W12" s="349"/>
      <c r="X12" s="788"/>
    </row>
    <row r="13" spans="1:27">
      <c r="A13" s="76"/>
      <c r="B13" s="73" t="s">
        <v>48</v>
      </c>
      <c r="C13" s="653">
        <f>'Draft VEIC NRA'!C54</f>
        <v>4217048</v>
      </c>
      <c r="D13" s="653">
        <f>'Draft VEIC NRA'!D54</f>
        <v>4177272</v>
      </c>
      <c r="E13" s="653">
        <f>'Draft VEIC NRA'!E54</f>
        <v>4260432</v>
      </c>
      <c r="F13" s="350">
        <f t="shared" ref="F13:F18" si="2">SUM(C13:E13)</f>
        <v>12654752</v>
      </c>
      <c r="G13" s="349">
        <f>'Draft VEIC NRA'!G54</f>
        <v>4154568</v>
      </c>
      <c r="H13" s="349">
        <f>'Draft VEIC NRA'!H54</f>
        <v>4408888</v>
      </c>
      <c r="I13" s="349">
        <f>'Draft VEIC NRA'!I54</f>
        <v>4496888</v>
      </c>
      <c r="J13" s="349">
        <f>'Draft VEIC NRA'!J54</f>
        <v>4405720</v>
      </c>
      <c r="K13" s="349">
        <f>'Draft VEIC NRA'!K54</f>
        <v>4668488</v>
      </c>
      <c r="L13" s="349">
        <f>'Draft VEIC NRA'!L54</f>
        <v>4761680</v>
      </c>
      <c r="M13" s="349">
        <f>'Draft VEIC NRA'!M54</f>
        <v>4672184</v>
      </c>
      <c r="N13" s="349">
        <f>'Draft VEIC NRA'!N54</f>
        <v>4943840</v>
      </c>
      <c r="O13" s="349">
        <f>'Draft VEIC NRA'!O54</f>
        <v>5042576</v>
      </c>
      <c r="P13" s="349">
        <f>'Draft VEIC NRA'!P54</f>
        <v>4955016</v>
      </c>
      <c r="Q13" s="349">
        <f>'Draft VEIC NRA'!Q54</f>
        <v>5235824</v>
      </c>
      <c r="R13" s="349">
        <f>'Draft VEIC NRA'!R54</f>
        <v>5340368</v>
      </c>
      <c r="S13" s="349">
        <f>'Draft VEIC NRA'!S54</f>
        <v>5255008</v>
      </c>
      <c r="T13" s="349">
        <f>'Draft VEIC NRA'!T54</f>
        <v>5545408</v>
      </c>
      <c r="U13" s="349">
        <f>'Draft VEIC NRA'!U54</f>
        <v>5656200</v>
      </c>
      <c r="V13" s="349">
        <f>'Draft VEIC NRA'!V54</f>
        <v>5573304</v>
      </c>
      <c r="W13" s="349">
        <f>'Draft VEIC NRA'!W54</f>
        <v>5873824</v>
      </c>
      <c r="X13" s="788">
        <f t="shared" si="0"/>
        <v>97644536</v>
      </c>
    </row>
    <row r="14" spans="1:27">
      <c r="A14" s="76"/>
      <c r="B14" s="73" t="s">
        <v>49</v>
      </c>
      <c r="C14" s="653">
        <f>'BED EEC NRA'!C48</f>
        <v>230076</v>
      </c>
      <c r="D14" s="653">
        <f>'BED EEC NRA'!D48</f>
        <v>234700</v>
      </c>
      <c r="E14" s="653">
        <f>'BED EEC NRA'!E48</f>
        <v>239300</v>
      </c>
      <c r="F14" s="350">
        <f t="shared" si="2"/>
        <v>704076</v>
      </c>
      <c r="G14" s="349">
        <f>'BED EEC NRA'!G48</f>
        <v>227500</v>
      </c>
      <c r="H14" s="349">
        <f>'BED EEC NRA'!H48</f>
        <v>231800</v>
      </c>
      <c r="I14" s="349">
        <f>'BED EEC NRA'!I48</f>
        <v>236200</v>
      </c>
      <c r="J14" s="349">
        <f>'BED EEC NRA'!J48</f>
        <v>240800</v>
      </c>
      <c r="K14" s="349">
        <f>'BED EEC NRA'!K48</f>
        <v>245600</v>
      </c>
      <c r="L14" s="349">
        <f>'BED EEC NRA'!L48</f>
        <v>250400</v>
      </c>
      <c r="M14" s="349">
        <f>'BED EEC NRA'!M48</f>
        <v>255300</v>
      </c>
      <c r="N14" s="349">
        <f>'BED EEC NRA'!N48</f>
        <v>260300</v>
      </c>
      <c r="O14" s="349">
        <f>'BED EEC NRA'!O48</f>
        <v>265500</v>
      </c>
      <c r="P14" s="349">
        <f>'BED EEC NRA'!P48</f>
        <v>270700</v>
      </c>
      <c r="Q14" s="349">
        <f>'BED EEC NRA'!Q48</f>
        <v>275900</v>
      </c>
      <c r="R14" s="349">
        <f>'BED EEC NRA'!R48</f>
        <v>281200</v>
      </c>
      <c r="S14" s="349">
        <f>'BED EEC NRA'!S48</f>
        <v>286500</v>
      </c>
      <c r="T14" s="349">
        <f>'BED EEC NRA'!T48</f>
        <v>292000</v>
      </c>
      <c r="U14" s="349">
        <f>'BED EEC NRA'!U48</f>
        <v>297600</v>
      </c>
      <c r="V14" s="349">
        <f>'BED EEC NRA'!V48</f>
        <v>303300</v>
      </c>
      <c r="W14" s="349">
        <f>'BED EEC NRA'!W48</f>
        <v>309100</v>
      </c>
      <c r="X14" s="788">
        <f t="shared" si="0"/>
        <v>5233776</v>
      </c>
    </row>
    <row r="15" spans="1:27">
      <c r="A15" s="647" t="s">
        <v>403</v>
      </c>
      <c r="B15" s="73"/>
      <c r="C15" s="653">
        <f>(C7+C8+C13)*0.041</f>
        <v>1842773.8791940133</v>
      </c>
      <c r="D15" s="653">
        <f t="shared" ref="D15:E15" si="3">(D7+D8+D13)*0.041</f>
        <v>1986117.6118683673</v>
      </c>
      <c r="E15" s="653">
        <f t="shared" si="3"/>
        <v>2117160.9470770285</v>
      </c>
      <c r="F15" s="350">
        <f t="shared" si="2"/>
        <v>5946052.4381394088</v>
      </c>
      <c r="G15" s="349"/>
      <c r="H15" s="349"/>
      <c r="I15" s="349"/>
      <c r="J15" s="349"/>
      <c r="K15" s="349"/>
      <c r="L15" s="349"/>
      <c r="M15" s="349"/>
      <c r="N15" s="349"/>
      <c r="O15" s="349"/>
      <c r="P15" s="349"/>
      <c r="Q15" s="349"/>
      <c r="R15" s="349"/>
      <c r="S15" s="349"/>
      <c r="T15" s="349"/>
      <c r="U15" s="349"/>
      <c r="V15" s="349"/>
      <c r="W15" s="349"/>
      <c r="X15" s="788">
        <f t="shared" si="0"/>
        <v>5946052.4381394088</v>
      </c>
    </row>
    <row r="16" spans="1:27">
      <c r="A16" s="647" t="s">
        <v>52</v>
      </c>
      <c r="B16" s="73"/>
      <c r="C16" s="653">
        <f>'DPS Evaluation'!C98</f>
        <v>1319400</v>
      </c>
      <c r="D16" s="653">
        <f>'DPS Evaluation'!D98</f>
        <v>1319400</v>
      </c>
      <c r="E16" s="653">
        <f>'DPS Evaluation'!E98</f>
        <v>1319400</v>
      </c>
      <c r="F16" s="350">
        <f t="shared" si="2"/>
        <v>3958200</v>
      </c>
      <c r="G16" s="349">
        <f>'DPS Evaluation'!I32</f>
        <v>2023777.2558180811</v>
      </c>
      <c r="H16" s="349">
        <f>'DPS Evaluation'!J32</f>
        <v>1105809.5087001577</v>
      </c>
      <c r="I16" s="349">
        <f>'DPS Evaluation'!K32</f>
        <v>884928.07410089846</v>
      </c>
      <c r="J16" s="349">
        <f>'DPS Evaluation'!L32</f>
        <v>2283765.7311377707</v>
      </c>
      <c r="K16" s="349">
        <f>'DPS Evaluation'!M32</f>
        <v>1145669.718556962</v>
      </c>
      <c r="L16" s="349">
        <f>'DPS Evaluation'!N32</f>
        <v>941427.87315318582</v>
      </c>
      <c r="M16" s="349">
        <f>'DPS Evaluation'!O32</f>
        <v>2387539.8602275662</v>
      </c>
      <c r="N16" s="349">
        <f>'DPS Evaluation'!P32</f>
        <v>1222156.0608519847</v>
      </c>
      <c r="O16" s="349">
        <f>'DPS Evaluation'!Q32</f>
        <v>970278.92648345139</v>
      </c>
      <c r="P16" s="349">
        <f>'DPS Evaluation'!R32</f>
        <v>2536421.2644472183</v>
      </c>
      <c r="Q16" s="349">
        <f>'DPS Evaluation'!S32</f>
        <v>1259831.9473242098</v>
      </c>
      <c r="R16" s="349">
        <f>'DPS Evaluation'!T32</f>
        <v>1036527.4943233859</v>
      </c>
      <c r="S16" s="349">
        <f>'DPS Evaluation'!U32</f>
        <v>2661916.2296332694</v>
      </c>
      <c r="T16" s="349">
        <f>'DPS Evaluation'!V32</f>
        <v>1340121.2102697452</v>
      </c>
      <c r="U16" s="349">
        <f>'DPS Evaluation'!W32</f>
        <v>1061683.6841743751</v>
      </c>
      <c r="V16" s="349">
        <f>'DPS Evaluation'!X32</f>
        <v>2832228.9897477212</v>
      </c>
      <c r="W16" s="349">
        <f>'DPS Evaluation'!Y32</f>
        <v>1391374.5061714477</v>
      </c>
      <c r="X16" s="788">
        <f t="shared" si="0"/>
        <v>31043658.33512143</v>
      </c>
    </row>
    <row r="17" spans="1:24">
      <c r="A17" s="647" t="s">
        <v>53</v>
      </c>
      <c r="B17" s="73"/>
      <c r="C17" s="764">
        <f>27703.1690244*1.2</f>
        <v>33243.802829279994</v>
      </c>
      <c r="D17" s="764">
        <f t="shared" ref="D17:E17" si="4">27703.1690244*1.2</f>
        <v>33243.802829279994</v>
      </c>
      <c r="E17" s="764">
        <f t="shared" si="4"/>
        <v>33243.802829279994</v>
      </c>
      <c r="F17" s="350">
        <f t="shared" si="2"/>
        <v>99731.408487839974</v>
      </c>
      <c r="G17" s="349">
        <f>29920.6851459835*1.2</f>
        <v>35904.822175180198</v>
      </c>
      <c r="H17" s="349">
        <f t="shared" ref="H17:W17" si="5">29920.6851459835*1.2</f>
        <v>35904.822175180198</v>
      </c>
      <c r="I17" s="349">
        <f t="shared" si="5"/>
        <v>35904.822175180198</v>
      </c>
      <c r="J17" s="349">
        <f t="shared" si="5"/>
        <v>35904.822175180198</v>
      </c>
      <c r="K17" s="349">
        <f t="shared" si="5"/>
        <v>35904.822175180198</v>
      </c>
      <c r="L17" s="349">
        <f t="shared" si="5"/>
        <v>35904.822175180198</v>
      </c>
      <c r="M17" s="349">
        <f t="shared" si="5"/>
        <v>35904.822175180198</v>
      </c>
      <c r="N17" s="349">
        <f t="shared" si="5"/>
        <v>35904.822175180198</v>
      </c>
      <c r="O17" s="349">
        <f t="shared" si="5"/>
        <v>35904.822175180198</v>
      </c>
      <c r="P17" s="349">
        <f t="shared" si="5"/>
        <v>35904.822175180198</v>
      </c>
      <c r="Q17" s="349">
        <f t="shared" si="5"/>
        <v>35904.822175180198</v>
      </c>
      <c r="R17" s="349">
        <f t="shared" si="5"/>
        <v>35904.822175180198</v>
      </c>
      <c r="S17" s="349">
        <f t="shared" si="5"/>
        <v>35904.822175180198</v>
      </c>
      <c r="T17" s="349">
        <f t="shared" si="5"/>
        <v>35904.822175180198</v>
      </c>
      <c r="U17" s="349">
        <f t="shared" si="5"/>
        <v>35904.822175180198</v>
      </c>
      <c r="V17" s="349">
        <f t="shared" si="5"/>
        <v>35904.822175180198</v>
      </c>
      <c r="W17" s="349">
        <f t="shared" si="5"/>
        <v>35904.822175180198</v>
      </c>
      <c r="X17" s="788">
        <f t="shared" si="0"/>
        <v>710113.38546590321</v>
      </c>
    </row>
    <row r="18" spans="1:24">
      <c r="A18" s="647" t="s">
        <v>54</v>
      </c>
      <c r="B18" s="73"/>
      <c r="C18" s="376">
        <f>16621.90141464*1.2</f>
        <v>19946.281697568</v>
      </c>
      <c r="D18" s="376">
        <f t="shared" ref="D18:E18" si="6">16621.90141464*1.2</f>
        <v>19946.281697568</v>
      </c>
      <c r="E18" s="376">
        <f t="shared" si="6"/>
        <v>19946.281697568</v>
      </c>
      <c r="F18" s="350">
        <f t="shared" si="2"/>
        <v>59838.845092703996</v>
      </c>
      <c r="G18" s="351">
        <f>17952.4110875901*1.2</f>
        <v>21542.893305108119</v>
      </c>
      <c r="H18" s="351">
        <f t="shared" ref="H18:W18" si="7">17952.4110875901*1.2</f>
        <v>21542.893305108119</v>
      </c>
      <c r="I18" s="351">
        <f t="shared" si="7"/>
        <v>21542.893305108119</v>
      </c>
      <c r="J18" s="351">
        <f t="shared" si="7"/>
        <v>21542.893305108119</v>
      </c>
      <c r="K18" s="351">
        <f t="shared" si="7"/>
        <v>21542.893305108119</v>
      </c>
      <c r="L18" s="351">
        <f t="shared" si="7"/>
        <v>21542.893305108119</v>
      </c>
      <c r="M18" s="351">
        <f t="shared" si="7"/>
        <v>21542.893305108119</v>
      </c>
      <c r="N18" s="351">
        <f t="shared" si="7"/>
        <v>21542.893305108119</v>
      </c>
      <c r="O18" s="351">
        <f t="shared" si="7"/>
        <v>21542.893305108119</v>
      </c>
      <c r="P18" s="351">
        <f t="shared" si="7"/>
        <v>21542.893305108119</v>
      </c>
      <c r="Q18" s="351">
        <f t="shared" si="7"/>
        <v>21542.893305108119</v>
      </c>
      <c r="R18" s="351">
        <f t="shared" si="7"/>
        <v>21542.893305108119</v>
      </c>
      <c r="S18" s="351">
        <f t="shared" si="7"/>
        <v>21542.893305108119</v>
      </c>
      <c r="T18" s="351">
        <f t="shared" si="7"/>
        <v>21542.893305108119</v>
      </c>
      <c r="U18" s="351">
        <f t="shared" si="7"/>
        <v>21542.893305108119</v>
      </c>
      <c r="V18" s="351">
        <f t="shared" si="7"/>
        <v>21542.893305108119</v>
      </c>
      <c r="W18" s="351">
        <f t="shared" si="7"/>
        <v>21542.893305108119</v>
      </c>
      <c r="X18" s="789">
        <f t="shared" si="0"/>
        <v>426068.03127954213</v>
      </c>
    </row>
    <row r="19" spans="1:24">
      <c r="A19" s="647"/>
      <c r="B19" s="73"/>
      <c r="C19" s="653"/>
      <c r="D19" s="653"/>
      <c r="E19" s="653"/>
      <c r="F19" s="765"/>
      <c r="G19" s="349"/>
      <c r="H19" s="349"/>
      <c r="I19" s="349"/>
      <c r="J19" s="349"/>
      <c r="K19" s="349"/>
      <c r="L19" s="349"/>
      <c r="M19" s="349"/>
      <c r="N19" s="349"/>
      <c r="O19" s="349"/>
      <c r="P19" s="349"/>
      <c r="Q19" s="349"/>
      <c r="R19" s="349"/>
      <c r="S19" s="349"/>
      <c r="T19" s="349"/>
      <c r="U19" s="349"/>
      <c r="V19" s="349"/>
      <c r="W19" s="349"/>
      <c r="X19" s="788"/>
    </row>
    <row r="20" spans="1:24">
      <c r="A20" s="647"/>
      <c r="B20" s="648" t="s">
        <v>55</v>
      </c>
      <c r="C20" s="653">
        <f t="shared" ref="C20:W20" si="8">SUM(C7:C19)</f>
        <v>51800028.644306555</v>
      </c>
      <c r="D20" s="653">
        <f t="shared" si="8"/>
        <v>55665312.818794414</v>
      </c>
      <c r="E20" s="653">
        <f t="shared" si="8"/>
        <v>59200488.591531396</v>
      </c>
      <c r="F20" s="766">
        <f t="shared" si="8"/>
        <v>166665830.05463234</v>
      </c>
      <c r="G20" s="349">
        <f t="shared" si="8"/>
        <v>58327684.486429952</v>
      </c>
      <c r="H20" s="349">
        <f t="shared" si="8"/>
        <v>59389516.857682891</v>
      </c>
      <c r="I20" s="349">
        <f t="shared" si="8"/>
        <v>61013058.328370057</v>
      </c>
      <c r="J20" s="349">
        <f t="shared" si="8"/>
        <v>63987570.036790922</v>
      </c>
      <c r="K20" s="349">
        <f t="shared" si="8"/>
        <v>64952892.032902278</v>
      </c>
      <c r="L20" s="349">
        <f t="shared" si="8"/>
        <v>66668423.839164913</v>
      </c>
      <c r="M20" s="349">
        <f t="shared" si="8"/>
        <v>69973773.354264408</v>
      </c>
      <c r="N20" s="349">
        <f t="shared" si="8"/>
        <v>71064244.140383795</v>
      </c>
      <c r="O20" s="349">
        <f t="shared" si="8"/>
        <v>72841863.494869947</v>
      </c>
      <c r="P20" s="349">
        <f t="shared" si="8"/>
        <v>75879971.37839286</v>
      </c>
      <c r="Q20" s="349">
        <f t="shared" si="8"/>
        <v>76960210.069014728</v>
      </c>
      <c r="R20" s="349">
        <f t="shared" si="8"/>
        <v>78884927.239315912</v>
      </c>
      <c r="S20" s="349">
        <f t="shared" si="8"/>
        <v>82655394.387482718</v>
      </c>
      <c r="T20" s="349">
        <f t="shared" si="8"/>
        <v>84161284.883959576</v>
      </c>
      <c r="U20" s="349">
        <f t="shared" si="8"/>
        <v>85158869.437046722</v>
      </c>
      <c r="V20" s="349">
        <f t="shared" si="8"/>
        <v>88779399.637760803</v>
      </c>
      <c r="W20" s="349">
        <f t="shared" si="8"/>
        <v>89576446.420107186</v>
      </c>
      <c r="X20" s="794">
        <f t="shared" si="0"/>
        <v>1416941360.078572</v>
      </c>
    </row>
    <row r="21" spans="1:24">
      <c r="A21" s="76"/>
      <c r="B21" s="73"/>
      <c r="C21" s="762"/>
      <c r="D21" s="762"/>
      <c r="E21" s="762"/>
      <c r="F21" s="767"/>
      <c r="G21" s="54"/>
      <c r="H21" s="54"/>
      <c r="I21" s="54"/>
      <c r="J21" s="54"/>
      <c r="K21" s="54"/>
      <c r="L21" s="54"/>
      <c r="M21" s="54"/>
      <c r="N21" s="54"/>
      <c r="O21" s="54"/>
      <c r="P21" s="54"/>
      <c r="Q21" s="54"/>
      <c r="R21" s="54"/>
      <c r="S21" s="54"/>
      <c r="T21" s="54"/>
      <c r="U21" s="54"/>
      <c r="V21" s="54"/>
      <c r="W21" s="54"/>
      <c r="X21" s="790"/>
    </row>
    <row r="22" spans="1:24">
      <c r="A22" s="649" t="s">
        <v>56</v>
      </c>
      <c r="B22" s="73"/>
      <c r="C22" s="353"/>
      <c r="D22" s="353"/>
      <c r="E22" s="353"/>
      <c r="F22" s="767"/>
      <c r="G22" s="54"/>
      <c r="H22" s="54"/>
      <c r="I22" s="54"/>
      <c r="J22" s="54"/>
      <c r="K22" s="54"/>
      <c r="L22" s="54"/>
      <c r="M22" s="54"/>
      <c r="N22" s="54"/>
      <c r="O22" s="54"/>
      <c r="P22" s="54"/>
      <c r="Q22" s="54"/>
      <c r="R22" s="54"/>
      <c r="S22" s="54"/>
      <c r="T22" s="54"/>
      <c r="U22" s="54"/>
      <c r="V22" s="54"/>
      <c r="W22" s="54"/>
      <c r="X22" s="790"/>
    </row>
    <row r="23" spans="1:24">
      <c r="A23" s="647" t="s">
        <v>57</v>
      </c>
      <c r="B23" s="73"/>
      <c r="C23" s="353"/>
      <c r="D23" s="353"/>
      <c r="E23" s="353"/>
      <c r="F23" s="768"/>
      <c r="G23" s="54"/>
      <c r="H23" s="54"/>
      <c r="I23" s="54"/>
      <c r="J23" s="54"/>
      <c r="K23" s="54"/>
      <c r="L23" s="54"/>
      <c r="M23" s="54"/>
      <c r="N23" s="54"/>
      <c r="O23" s="54"/>
      <c r="P23" s="54"/>
      <c r="Q23" s="54"/>
      <c r="R23" s="54"/>
      <c r="S23" s="54"/>
      <c r="T23" s="54"/>
      <c r="U23" s="54"/>
      <c r="V23" s="54"/>
      <c r="W23" s="54"/>
      <c r="X23" s="790"/>
    </row>
    <row r="24" spans="1:24">
      <c r="A24" s="76"/>
      <c r="B24" s="73" t="s">
        <v>48</v>
      </c>
      <c r="C24" s="653">
        <f>'VEIC TEPF'!C19</f>
        <v>5349341.5249058036</v>
      </c>
      <c r="D24" s="653">
        <f>'VEIC TEPF'!D19</f>
        <v>5856090.3511468926</v>
      </c>
      <c r="E24" s="653">
        <f>'VEIC TEPF'!E19</f>
        <v>6256374.6939400965</v>
      </c>
      <c r="F24" s="352">
        <f>SUM(C24:E24)</f>
        <v>17461806.569992792</v>
      </c>
      <c r="G24" s="54">
        <f>'VEIC TEPF'!F19</f>
        <v>6625317.7771716183</v>
      </c>
      <c r="H24" s="54">
        <f>'VEIC TEPF'!G19</f>
        <v>7192043.5444697235</v>
      </c>
      <c r="I24" s="54">
        <f>'VEIC TEPF'!H19</f>
        <v>7500682.6382795293</v>
      </c>
      <c r="J24" s="54">
        <f>'VEIC TEPF'!I19</f>
        <v>7707212.3136554239</v>
      </c>
      <c r="K24" s="54">
        <f>'VEIC TEPF'!J19</f>
        <v>8049298.0879804911</v>
      </c>
      <c r="L24" s="54">
        <f>'VEIC TEPF'!K19</f>
        <v>8037072.2428779677</v>
      </c>
      <c r="M24" s="54">
        <f>'VEIC TEPF'!L19</f>
        <v>8615968.111122366</v>
      </c>
      <c r="N24" s="54"/>
      <c r="O24" s="54"/>
      <c r="P24" s="54"/>
      <c r="Q24" s="54"/>
      <c r="R24" s="54"/>
      <c r="S24" s="54"/>
      <c r="T24" s="54"/>
      <c r="U24" s="54"/>
      <c r="V24" s="54"/>
      <c r="W24" s="54"/>
      <c r="X24" s="790">
        <f>SUM(F24:W24)</f>
        <v>71189401.285549909</v>
      </c>
    </row>
    <row r="25" spans="1:24">
      <c r="A25" s="76"/>
      <c r="B25" s="73" t="s">
        <v>49</v>
      </c>
      <c r="C25" s="769">
        <f>'BED TEPF RA'!B8</f>
        <v>96390</v>
      </c>
      <c r="D25" s="769">
        <f>'BED TEPF RA'!C8</f>
        <v>98317.8</v>
      </c>
      <c r="E25" s="769">
        <f>'BED TEPF RA'!D8</f>
        <v>100284.15599999999</v>
      </c>
      <c r="F25" s="359">
        <f>SUM(C25:E25)</f>
        <v>294991.95600000001</v>
      </c>
      <c r="G25" s="358">
        <f>'BED TEPF RA'!F8</f>
        <v>102289.83911999999</v>
      </c>
      <c r="H25" s="358">
        <f>'BED TEPF RA'!G8</f>
        <v>104335.6359024</v>
      </c>
      <c r="I25" s="358">
        <f>'BED TEPF RA'!H8</f>
        <v>106422.348620448</v>
      </c>
      <c r="J25" s="358">
        <f>'BED TEPF RA'!I8</f>
        <v>108550.79559285696</v>
      </c>
      <c r="K25" s="358">
        <f>'BED TEPF RA'!J8</f>
        <v>110721.8115047141</v>
      </c>
      <c r="L25" s="358">
        <f>'BED TEPF RA'!K8</f>
        <v>112936.24773480839</v>
      </c>
      <c r="M25" s="358">
        <f>'BED TEPF RA'!L8</f>
        <v>115194.97268950456</v>
      </c>
      <c r="N25" s="54"/>
      <c r="O25" s="54"/>
      <c r="P25" s="54"/>
      <c r="Q25" s="54"/>
      <c r="R25" s="54"/>
      <c r="S25" s="54"/>
      <c r="T25" s="54"/>
      <c r="U25" s="54"/>
      <c r="V25" s="54"/>
      <c r="W25" s="54"/>
      <c r="X25" s="790">
        <f t="shared" ref="X25:X32" si="9">SUM(F25:W25)</f>
        <v>1055443.6071647319</v>
      </c>
    </row>
    <row r="26" spans="1:24">
      <c r="A26" s="647" t="s">
        <v>50</v>
      </c>
      <c r="B26" s="73"/>
      <c r="C26" s="353"/>
      <c r="D26" s="353"/>
      <c r="E26" s="353"/>
      <c r="F26" s="352"/>
      <c r="G26" s="54"/>
      <c r="H26" s="54"/>
      <c r="I26" s="54"/>
      <c r="J26" s="54"/>
      <c r="K26" s="54"/>
      <c r="L26" s="54"/>
      <c r="M26" s="54"/>
      <c r="N26" s="54"/>
      <c r="O26" s="54"/>
      <c r="P26" s="54"/>
      <c r="Q26" s="54"/>
      <c r="R26" s="54"/>
      <c r="S26" s="54"/>
      <c r="T26" s="54"/>
      <c r="U26" s="54"/>
      <c r="V26" s="54"/>
      <c r="W26" s="54"/>
      <c r="X26" s="790"/>
    </row>
    <row r="27" spans="1:24">
      <c r="A27" s="647"/>
      <c r="B27" s="73" t="s">
        <v>48</v>
      </c>
      <c r="C27" s="353">
        <f>'Draft VEIC NRA'!C55</f>
        <v>575052</v>
      </c>
      <c r="D27" s="353">
        <f>'Draft VEIC NRA'!D55</f>
        <v>569628</v>
      </c>
      <c r="E27" s="353">
        <f>'Draft VEIC NRA'!E55</f>
        <v>580968</v>
      </c>
      <c r="F27" s="352">
        <f>SUM(C27:E27)</f>
        <v>1725648</v>
      </c>
      <c r="G27" s="54">
        <f>'Draft VEIC NRA'!G55</f>
        <v>566532</v>
      </c>
      <c r="H27" s="54">
        <f>'Draft VEIC NRA'!H55</f>
        <v>601212</v>
      </c>
      <c r="I27" s="54">
        <f>'Draft VEIC NRA'!I55</f>
        <v>613212</v>
      </c>
      <c r="J27" s="54">
        <f>'Draft VEIC NRA'!J55</f>
        <v>600780</v>
      </c>
      <c r="K27" s="54">
        <f>'Draft VEIC NRA'!K55</f>
        <v>636612</v>
      </c>
      <c r="L27" s="54">
        <f>'Draft VEIC NRA'!L55</f>
        <v>649320</v>
      </c>
      <c r="M27" s="54">
        <f>'Draft VEIC NRA'!M55</f>
        <v>637116</v>
      </c>
      <c r="N27" s="54"/>
      <c r="O27" s="54"/>
      <c r="P27" s="54"/>
      <c r="Q27" s="54"/>
      <c r="R27" s="54"/>
      <c r="S27" s="54"/>
      <c r="T27" s="54"/>
      <c r="U27" s="54"/>
      <c r="V27" s="54"/>
      <c r="W27" s="54"/>
      <c r="X27" s="790">
        <f t="shared" si="9"/>
        <v>6030432</v>
      </c>
    </row>
    <row r="28" spans="1:24">
      <c r="A28" s="647"/>
      <c r="B28" s="73" t="s">
        <v>49</v>
      </c>
      <c r="C28" s="353">
        <f>'BED TEPF NRA'!B12</f>
        <v>10700</v>
      </c>
      <c r="D28" s="353">
        <f>'BED TEPF NRA'!C12</f>
        <v>11000</v>
      </c>
      <c r="E28" s="353">
        <f>'BED TEPF NRA'!D12</f>
        <v>11200</v>
      </c>
      <c r="F28" s="352">
        <f>SUM(C28:E28)</f>
        <v>32900</v>
      </c>
      <c r="G28" s="54">
        <f>'BED TEPF NRA'!F12</f>
        <v>11400</v>
      </c>
      <c r="H28" s="54">
        <f>'BED TEPF NRA'!G12</f>
        <v>11600</v>
      </c>
      <c r="I28" s="54">
        <f>'BED TEPF NRA'!H12</f>
        <v>11800</v>
      </c>
      <c r="J28" s="54">
        <f>'BED TEPF NRA'!I12</f>
        <v>12000</v>
      </c>
      <c r="K28" s="54">
        <f>'BED TEPF NRA'!J12</f>
        <v>12200</v>
      </c>
      <c r="L28" s="54">
        <f>'BED TEPF NRA'!K12</f>
        <v>12400</v>
      </c>
      <c r="M28" s="54">
        <f>'BED TEPF NRA'!L12</f>
        <v>12600</v>
      </c>
      <c r="N28" s="54"/>
      <c r="O28" s="54"/>
      <c r="P28" s="54"/>
      <c r="Q28" s="54"/>
      <c r="R28" s="54"/>
      <c r="S28" s="54"/>
      <c r="T28" s="54"/>
      <c r="U28" s="54"/>
      <c r="V28" s="54"/>
      <c r="W28" s="54"/>
      <c r="X28" s="790">
        <f t="shared" si="9"/>
        <v>116900</v>
      </c>
    </row>
    <row r="29" spans="1:24">
      <c r="A29" s="647" t="s">
        <v>403</v>
      </c>
      <c r="B29" s="73"/>
      <c r="C29" s="353">
        <f>(C24+C27)*0.041</f>
        <v>242900.13452113795</v>
      </c>
      <c r="D29" s="353">
        <f t="shared" ref="D29:E29" si="10">(D24+D27)*0.041</f>
        <v>263454.45239702263</v>
      </c>
      <c r="E29" s="353">
        <f t="shared" si="10"/>
        <v>280331.050451544</v>
      </c>
      <c r="F29" s="352">
        <f>SUM(C29:E29)</f>
        <v>786685.63736970455</v>
      </c>
      <c r="G29" s="54"/>
      <c r="H29" s="54"/>
      <c r="I29" s="54"/>
      <c r="J29" s="54"/>
      <c r="K29" s="54"/>
      <c r="L29" s="54"/>
      <c r="M29" s="54"/>
      <c r="N29" s="54"/>
      <c r="O29" s="54"/>
      <c r="P29" s="54"/>
      <c r="Q29" s="54"/>
      <c r="R29" s="54"/>
      <c r="S29" s="54"/>
      <c r="T29" s="54"/>
      <c r="U29" s="54"/>
      <c r="V29" s="54"/>
      <c r="W29" s="54"/>
      <c r="X29" s="790"/>
    </row>
    <row r="30" spans="1:24">
      <c r="A30" s="647" t="s">
        <v>52</v>
      </c>
      <c r="B30" s="73"/>
      <c r="C30" s="643">
        <f>'DPS Evaluation'!C99</f>
        <v>773600</v>
      </c>
      <c r="D30" s="643">
        <f>'DPS Evaluation'!D99</f>
        <v>773600</v>
      </c>
      <c r="E30" s="643">
        <f>'DPS Evaluation'!E99</f>
        <v>773600</v>
      </c>
      <c r="F30" s="642">
        <f>SUM(C30:E30)</f>
        <v>2320800</v>
      </c>
      <c r="G30" s="643">
        <f>'DPS Evaluation'!I53+'DPS Evaluation'!I60</f>
        <v>875250.36800568411</v>
      </c>
      <c r="H30" s="643">
        <f>'DPS Evaluation'!J53+'DPS Evaluation'!J60</f>
        <v>828553.65408943302</v>
      </c>
      <c r="I30" s="643">
        <f>'DPS Evaluation'!K53+'DPS Evaluation'!K60</f>
        <v>714336.37444743258</v>
      </c>
      <c r="J30" s="643">
        <f>'DPS Evaluation'!L53+'DPS Evaluation'!L60</f>
        <v>856355.75188990775</v>
      </c>
      <c r="K30" s="643">
        <f>'DPS Evaluation'!M53+'DPS Evaluation'!M60</f>
        <v>788816.7154783383</v>
      </c>
      <c r="L30" s="643">
        <f>'DPS Evaluation'!N53+'DPS Evaluation'!N60</f>
        <v>657671.12837266224</v>
      </c>
      <c r="M30" s="643">
        <f>'DPS Evaluation'!O53+'DPS Evaluation'!O60</f>
        <v>870904.81855094526</v>
      </c>
      <c r="N30" s="643"/>
      <c r="O30" s="643"/>
      <c r="P30" s="643"/>
      <c r="Q30" s="643"/>
      <c r="R30" s="643"/>
      <c r="S30" s="643"/>
      <c r="T30" s="643"/>
      <c r="U30" s="643"/>
      <c r="V30" s="643"/>
      <c r="W30" s="760"/>
      <c r="X30" s="791">
        <f>SUM(F30:W30)</f>
        <v>7912688.8108344031</v>
      </c>
    </row>
    <row r="31" spans="1:24">
      <c r="A31" s="647"/>
      <c r="B31" s="73"/>
      <c r="C31" s="353"/>
      <c r="D31" s="353"/>
      <c r="E31" s="353"/>
      <c r="F31" s="792"/>
      <c r="G31" s="353"/>
      <c r="H31" s="353"/>
      <c r="I31" s="353"/>
      <c r="J31" s="353"/>
      <c r="K31" s="353"/>
      <c r="L31" s="353"/>
      <c r="M31" s="353"/>
      <c r="N31" s="353"/>
      <c r="O31" s="353"/>
      <c r="P31" s="353"/>
      <c r="Q31" s="353"/>
      <c r="R31" s="353"/>
      <c r="S31" s="353"/>
      <c r="T31" s="353"/>
      <c r="U31" s="353"/>
      <c r="V31" s="353"/>
      <c r="W31" s="353"/>
      <c r="X31" s="793"/>
    </row>
    <row r="32" spans="1:24">
      <c r="A32" s="654"/>
      <c r="B32" s="655" t="s">
        <v>58</v>
      </c>
      <c r="C32" s="643">
        <f t="shared" ref="C32:M32" si="11">SUM(C24:C30)</f>
        <v>7047983.6594269415</v>
      </c>
      <c r="D32" s="643">
        <f t="shared" si="11"/>
        <v>7572090.6035439149</v>
      </c>
      <c r="E32" s="643">
        <f t="shared" si="11"/>
        <v>8002757.9003916411</v>
      </c>
      <c r="F32" s="768">
        <f t="shared" si="11"/>
        <v>22622832.163362496</v>
      </c>
      <c r="G32" s="761">
        <f t="shared" si="11"/>
        <v>8180789.9842973016</v>
      </c>
      <c r="H32" s="643">
        <f t="shared" si="11"/>
        <v>8737744.8344615567</v>
      </c>
      <c r="I32" s="643">
        <f t="shared" si="11"/>
        <v>8946453.3613474108</v>
      </c>
      <c r="J32" s="643">
        <f t="shared" si="11"/>
        <v>9284898.8611381873</v>
      </c>
      <c r="K32" s="643">
        <f t="shared" si="11"/>
        <v>9597648.6149635427</v>
      </c>
      <c r="L32" s="643">
        <f t="shared" si="11"/>
        <v>9469399.6189854369</v>
      </c>
      <c r="M32" s="643">
        <f t="shared" si="11"/>
        <v>10251783.902362816</v>
      </c>
      <c r="N32" s="643"/>
      <c r="O32" s="643"/>
      <c r="P32" s="643"/>
      <c r="Q32" s="643"/>
      <c r="R32" s="643"/>
      <c r="S32" s="643"/>
      <c r="T32" s="643"/>
      <c r="U32" s="643"/>
      <c r="V32" s="643"/>
      <c r="W32" s="643"/>
      <c r="X32" s="795">
        <f t="shared" si="9"/>
        <v>87091551.34091875</v>
      </c>
    </row>
    <row r="33" spans="1:24">
      <c r="C33" s="644"/>
      <c r="D33" s="644"/>
      <c r="E33" s="644"/>
      <c r="F33" s="644"/>
      <c r="G33" s="353"/>
      <c r="H33" s="353"/>
      <c r="I33" s="353"/>
      <c r="J33" s="353"/>
      <c r="K33" s="353"/>
      <c r="L33" s="353"/>
      <c r="M33" s="353"/>
      <c r="N33" s="353"/>
      <c r="O33" s="353"/>
      <c r="P33" s="353"/>
      <c r="Q33" s="353"/>
      <c r="R33" s="353"/>
      <c r="S33" s="353"/>
      <c r="T33" s="353"/>
      <c r="U33" s="353"/>
      <c r="V33" s="353"/>
      <c r="W33" s="353"/>
      <c r="X33" s="353"/>
    </row>
    <row r="34" spans="1:24" ht="15.75">
      <c r="A34" s="4"/>
      <c r="C34" s="770" t="s">
        <v>453</v>
      </c>
      <c r="D34" s="333"/>
      <c r="E34" s="771"/>
      <c r="F34" s="772">
        <f t="shared" ref="F34:X34" si="12">F32+F20</f>
        <v>189288662.21799484</v>
      </c>
      <c r="G34" s="54">
        <f t="shared" si="12"/>
        <v>66508474.47072725</v>
      </c>
      <c r="H34" s="54">
        <f t="shared" si="12"/>
        <v>68127261.692144454</v>
      </c>
      <c r="I34" s="54">
        <f t="shared" si="12"/>
        <v>69959511.689717472</v>
      </c>
      <c r="J34" s="54">
        <f t="shared" si="12"/>
        <v>73272468.897929102</v>
      </c>
      <c r="K34" s="54">
        <f t="shared" si="12"/>
        <v>74550540.647865817</v>
      </c>
      <c r="L34" s="54">
        <f t="shared" si="12"/>
        <v>76137823.458150357</v>
      </c>
      <c r="M34" s="54">
        <f t="shared" si="12"/>
        <v>80225557.256627232</v>
      </c>
      <c r="N34" s="54">
        <f t="shared" si="12"/>
        <v>71064244.140383795</v>
      </c>
      <c r="O34" s="54">
        <f t="shared" si="12"/>
        <v>72841863.494869947</v>
      </c>
      <c r="P34" s="54">
        <f t="shared" si="12"/>
        <v>75879971.37839286</v>
      </c>
      <c r="Q34" s="54">
        <f t="shared" si="12"/>
        <v>76960210.069014728</v>
      </c>
      <c r="R34" s="54">
        <f t="shared" si="12"/>
        <v>78884927.239315912</v>
      </c>
      <c r="S34" s="54">
        <f t="shared" si="12"/>
        <v>82655394.387482718</v>
      </c>
      <c r="T34" s="54">
        <f t="shared" si="12"/>
        <v>84161284.883959576</v>
      </c>
      <c r="U34" s="54">
        <f t="shared" si="12"/>
        <v>85158869.437046722</v>
      </c>
      <c r="V34" s="54">
        <f t="shared" si="12"/>
        <v>88779399.637760803</v>
      </c>
      <c r="W34" s="54">
        <f t="shared" si="12"/>
        <v>89576446.420107186</v>
      </c>
      <c r="X34" s="56">
        <f t="shared" si="12"/>
        <v>1504032911.4194908</v>
      </c>
    </row>
    <row r="44" spans="1:24" ht="15.75" thickBot="1">
      <c r="B44" t="s">
        <v>208</v>
      </c>
    </row>
    <row r="45" spans="1:24">
      <c r="B45" s="342" t="s">
        <v>204</v>
      </c>
      <c r="C45" s="343">
        <f>F7</f>
        <v>127366849.85266885</v>
      </c>
      <c r="D45" t="s">
        <v>206</v>
      </c>
      <c r="E45" s="348">
        <f>C45/C47</f>
        <v>0.94405504262204154</v>
      </c>
    </row>
    <row r="46" spans="1:24">
      <c r="B46" s="344" t="s">
        <v>205</v>
      </c>
      <c r="C46" s="345">
        <f>F9</f>
        <v>7547794</v>
      </c>
      <c r="D46" t="s">
        <v>207</v>
      </c>
      <c r="E46" s="348">
        <f>C46/C47</f>
        <v>5.5944957377958425E-2</v>
      </c>
    </row>
    <row r="47" spans="1:24" ht="15.75" thickBot="1">
      <c r="B47" s="346" t="s">
        <v>4</v>
      </c>
      <c r="C47" s="347">
        <f>SUM(C45:C46)</f>
        <v>134914643.85266885</v>
      </c>
    </row>
    <row r="49" spans="2:9" ht="15.75" thickBot="1">
      <c r="B49" t="s">
        <v>213</v>
      </c>
    </row>
    <row r="50" spans="2:9">
      <c r="B50" s="342" t="s">
        <v>209</v>
      </c>
      <c r="C50" s="354">
        <f>F7</f>
        <v>127366849.85266885</v>
      </c>
      <c r="D50" t="s">
        <v>212</v>
      </c>
      <c r="E50" s="360">
        <f>C50/C52</f>
        <v>0.87943127416004607</v>
      </c>
    </row>
    <row r="51" spans="2:9">
      <c r="B51" s="344" t="s">
        <v>210</v>
      </c>
      <c r="C51" s="355">
        <f>F24</f>
        <v>17461806.569992792</v>
      </c>
      <c r="D51" t="s">
        <v>211</v>
      </c>
      <c r="E51" s="360">
        <f>C51/C52</f>
        <v>0.12056872583995405</v>
      </c>
    </row>
    <row r="52" spans="2:9" ht="15.75" thickBot="1">
      <c r="B52" s="356" t="s">
        <v>4</v>
      </c>
      <c r="C52" s="357">
        <f>SUM(C50:C51)</f>
        <v>144828656.42266163</v>
      </c>
    </row>
    <row r="53" spans="2:9" ht="15.75" thickBot="1">
      <c r="F53" s="361" t="s">
        <v>219</v>
      </c>
    </row>
    <row r="54" spans="2:9" ht="15.75" thickBot="1">
      <c r="B54" t="s">
        <v>214</v>
      </c>
      <c r="F54" s="342" t="s">
        <v>160</v>
      </c>
      <c r="G54" s="354">
        <f>C50+C55</f>
        <v>134914643.85266885</v>
      </c>
      <c r="H54" t="s">
        <v>217</v>
      </c>
      <c r="I54" s="348">
        <f>G54/G56</f>
        <v>0.8835030525293246</v>
      </c>
    </row>
    <row r="55" spans="2:9">
      <c r="B55" s="342" t="s">
        <v>215</v>
      </c>
      <c r="C55" s="354">
        <f>F9</f>
        <v>7547794</v>
      </c>
      <c r="D55" t="s">
        <v>212</v>
      </c>
      <c r="E55" s="348">
        <f>C55/C57</f>
        <v>0.95838153454439334</v>
      </c>
      <c r="F55" s="344" t="s">
        <v>161</v>
      </c>
      <c r="G55" s="355">
        <f>C51+C56</f>
        <v>17789575.409992792</v>
      </c>
      <c r="H55" t="s">
        <v>218</v>
      </c>
      <c r="I55" s="348">
        <f>G55/G56</f>
        <v>0.1164969474706754</v>
      </c>
    </row>
    <row r="56" spans="2:9" ht="15.75" thickBot="1">
      <c r="B56" s="344" t="s">
        <v>216</v>
      </c>
      <c r="C56" s="375">
        <f>'DPS TEPF Forecast'!G10+'DPS TEPF Forecast'!H10+'DPS TEPF Forecast'!I10</f>
        <v>327768.83999999997</v>
      </c>
      <c r="D56" t="s">
        <v>211</v>
      </c>
      <c r="E56" s="348">
        <f>C56/C57</f>
        <v>4.1618465455606719E-2</v>
      </c>
      <c r="F56" s="346" t="s">
        <v>4</v>
      </c>
      <c r="G56" s="357">
        <f>SUM(G54:G55)</f>
        <v>152704219.26266164</v>
      </c>
    </row>
    <row r="57" spans="2:9" ht="15.75" thickBot="1">
      <c r="B57" s="356" t="s">
        <v>4</v>
      </c>
      <c r="C57" s="357">
        <f>SUM(C55:C56)</f>
        <v>7875562.8399999999</v>
      </c>
    </row>
  </sheetData>
  <pageMargins left="0.7" right="0.7" top="0.75" bottom="0.75" header="0.3" footer="0.3"/>
  <pageSetup orientation="landscape" r:id="rId1"/>
  <ignoredErrors>
    <ignoredError sqref="C9:E9" formula="1"/>
  </ignoredError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3:F34"/>
  <sheetViews>
    <sheetView showGridLines="0" topLeftCell="A17" zoomScale="90" zoomScaleNormal="90" workbookViewId="0">
      <selection activeCell="A21" sqref="A21:F34"/>
    </sheetView>
  </sheetViews>
  <sheetFormatPr defaultRowHeight="15"/>
  <cols>
    <col min="2" max="2" width="35.5703125" customWidth="1"/>
    <col min="3" max="3" width="14.7109375" customWidth="1"/>
    <col min="4" max="4" width="12.7109375" bestFit="1" customWidth="1"/>
    <col min="5" max="5" width="12.7109375" customWidth="1"/>
    <col min="6" max="6" width="14.42578125" customWidth="1"/>
  </cols>
  <sheetData>
    <row r="3" spans="1:6" ht="16.899999999999999" customHeight="1">
      <c r="A3" s="332" t="s">
        <v>322</v>
      </c>
      <c r="B3" s="658"/>
    </row>
    <row r="4" spans="1:6">
      <c r="A4" s="645"/>
      <c r="B4" s="651"/>
      <c r="C4" s="652">
        <v>2015</v>
      </c>
      <c r="D4" s="652">
        <v>2016</v>
      </c>
      <c r="E4" s="652">
        <v>2017</v>
      </c>
      <c r="F4" s="650" t="s">
        <v>45</v>
      </c>
    </row>
    <row r="5" spans="1:6">
      <c r="A5" s="646" t="s">
        <v>46</v>
      </c>
      <c r="B5" s="73"/>
      <c r="C5" s="73"/>
      <c r="D5" s="73"/>
      <c r="E5" s="73"/>
      <c r="F5" s="641"/>
    </row>
    <row r="6" spans="1:6">
      <c r="A6" s="647" t="s">
        <v>47</v>
      </c>
      <c r="B6" s="73"/>
      <c r="C6" s="353">
        <f>'DPS Recommendation'!C7</f>
        <v>39351358.812160082</v>
      </c>
      <c r="D6" s="353">
        <f>'DPS Recommendation'!D7</f>
        <v>42460068.079039998</v>
      </c>
      <c r="E6" s="353">
        <f>'DPS Recommendation'!E7</f>
        <v>45555422.961468764</v>
      </c>
      <c r="F6" s="352">
        <f>SUM(C6:E6)</f>
        <v>127366849.85266885</v>
      </c>
    </row>
    <row r="7" spans="1:6">
      <c r="A7" s="759" t="s">
        <v>405</v>
      </c>
      <c r="B7" s="73"/>
      <c r="C7" s="353">
        <f>'DPS Recommendation'!C8</f>
        <v>1377297.558425603</v>
      </c>
      <c r="D7" s="353">
        <f>'DPS Recommendation'!D8</f>
        <v>1804552.8933592001</v>
      </c>
      <c r="E7" s="353">
        <f>'DPS Recommendation'!E8</f>
        <v>1822216.9184587505</v>
      </c>
      <c r="F7" s="352">
        <f>SUM(C7:E7)</f>
        <v>5004067.3702435531</v>
      </c>
    </row>
    <row r="8" spans="1:6">
      <c r="A8" s="647" t="s">
        <v>50</v>
      </c>
      <c r="B8" s="73"/>
      <c r="C8" s="653">
        <f>'DPS Recommendation'!C13</f>
        <v>4217048</v>
      </c>
      <c r="D8" s="653">
        <f>'DPS Recommendation'!D13</f>
        <v>4177272</v>
      </c>
      <c r="E8" s="653">
        <f>'DPS Recommendation'!E13</f>
        <v>4260432</v>
      </c>
      <c r="F8" s="352">
        <f t="shared" ref="F8" si="0">SUM(C8:E8)</f>
        <v>12654752</v>
      </c>
    </row>
    <row r="9" spans="1:6">
      <c r="A9" s="647" t="s">
        <v>404</v>
      </c>
      <c r="B9" s="73"/>
      <c r="C9" s="351">
        <f>'DPS Recommendation'!C15</f>
        <v>1842773.8791940133</v>
      </c>
      <c r="D9" s="351">
        <f>'DPS Recommendation'!D15</f>
        <v>1986117.6118683673</v>
      </c>
      <c r="E9" s="351">
        <f>'DPS Recommendation'!E15</f>
        <v>2117160.9470770285</v>
      </c>
      <c r="F9" s="642">
        <f>SUM(C9:E9)</f>
        <v>5946052.4381394088</v>
      </c>
    </row>
    <row r="10" spans="1:6">
      <c r="A10" s="76"/>
      <c r="B10" s="648" t="s">
        <v>55</v>
      </c>
      <c r="C10" s="353">
        <f>SUM(C6:C9)</f>
        <v>46788478.249779701</v>
      </c>
      <c r="D10" s="353">
        <f>SUM(D6:D9)</f>
        <v>50428010.584267564</v>
      </c>
      <c r="E10" s="353">
        <f>SUM(E6:E9)</f>
        <v>53755232.827004544</v>
      </c>
      <c r="F10" s="352">
        <f>SUM(C10:E10)</f>
        <v>150971721.66105181</v>
      </c>
    </row>
    <row r="11" spans="1:6">
      <c r="A11" s="76"/>
      <c r="B11" s="73"/>
      <c r="C11" s="73"/>
      <c r="D11" s="73"/>
      <c r="E11" s="73"/>
      <c r="F11" s="334"/>
    </row>
    <row r="12" spans="1:6">
      <c r="A12" s="649" t="s">
        <v>56</v>
      </c>
      <c r="B12" s="73"/>
      <c r="C12" s="73"/>
      <c r="D12" s="73"/>
      <c r="E12" s="73"/>
      <c r="F12" s="334"/>
    </row>
    <row r="13" spans="1:6">
      <c r="A13" s="647" t="s">
        <v>57</v>
      </c>
      <c r="B13" s="73"/>
      <c r="C13" s="353">
        <f>'DPS Recommendation'!C24</f>
        <v>5349341.5249058036</v>
      </c>
      <c r="D13" s="353">
        <f>'DPS Recommendation'!D24</f>
        <v>5856090.3511468926</v>
      </c>
      <c r="E13" s="353">
        <f>'DPS Recommendation'!E24</f>
        <v>6256374.6939400965</v>
      </c>
      <c r="F13" s="352">
        <f>SUM(C13:E13)</f>
        <v>17461806.569992792</v>
      </c>
    </row>
    <row r="14" spans="1:6">
      <c r="A14" s="647" t="s">
        <v>50</v>
      </c>
      <c r="B14" s="73"/>
      <c r="C14" s="353">
        <f>'DPS Recommendation'!C27</f>
        <v>575052</v>
      </c>
      <c r="D14" s="353">
        <f>'DPS Recommendation'!D27</f>
        <v>569628</v>
      </c>
      <c r="E14" s="353">
        <f>'DPS Recommendation'!E27</f>
        <v>580968</v>
      </c>
      <c r="F14" s="352">
        <f t="shared" ref="F14" si="1">SUM(C14:E14)</f>
        <v>1725648</v>
      </c>
    </row>
    <row r="15" spans="1:6">
      <c r="A15" s="647" t="s">
        <v>401</v>
      </c>
      <c r="B15" s="73"/>
      <c r="C15" s="643">
        <f>'DPS Recommendation'!C29</f>
        <v>242900.13452113795</v>
      </c>
      <c r="D15" s="643">
        <f>'DPS Recommendation'!D29</f>
        <v>263454.45239702263</v>
      </c>
      <c r="E15" s="643">
        <f>'DPS Recommendation'!E29</f>
        <v>280331.050451544</v>
      </c>
      <c r="F15" s="642">
        <f>SUM(C15:E15)</f>
        <v>786685.63736970455</v>
      </c>
    </row>
    <row r="16" spans="1:6">
      <c r="A16" s="654"/>
      <c r="B16" s="655" t="s">
        <v>58</v>
      </c>
      <c r="C16" s="643">
        <f>SUM(C13:C15)</f>
        <v>6167293.6594269415</v>
      </c>
      <c r="D16" s="643">
        <f>SUM(D13:D15)</f>
        <v>6689172.803543915</v>
      </c>
      <c r="E16" s="643">
        <f>SUM(E13:E15)</f>
        <v>7117673.7443916406</v>
      </c>
      <c r="F16" s="642">
        <f>SUM(C16:E16)</f>
        <v>19974140.207362495</v>
      </c>
    </row>
    <row r="17" spans="1:6">
      <c r="A17" s="8"/>
      <c r="B17" s="77"/>
      <c r="C17" s="54"/>
      <c r="D17" s="54"/>
      <c r="E17" s="54"/>
      <c r="F17" s="644"/>
    </row>
    <row r="18" spans="1:6" ht="18.600000000000001" customHeight="1">
      <c r="A18" s="8"/>
      <c r="C18" s="333"/>
      <c r="D18" s="643"/>
      <c r="E18" s="659" t="s">
        <v>325</v>
      </c>
      <c r="F18" s="660">
        <f>F10+F16</f>
        <v>170945861.86841431</v>
      </c>
    </row>
    <row r="21" spans="1:6" ht="16.899999999999999" customHeight="1">
      <c r="A21" s="656" t="s">
        <v>323</v>
      </c>
      <c r="B21" s="657"/>
      <c r="C21" s="73"/>
      <c r="D21" s="73"/>
      <c r="E21" s="73"/>
      <c r="F21" s="73"/>
    </row>
    <row r="22" spans="1:6">
      <c r="A22" s="645"/>
      <c r="B22" s="651"/>
      <c r="C22" s="652">
        <v>2015</v>
      </c>
      <c r="D22" s="652">
        <v>2016</v>
      </c>
      <c r="E22" s="652">
        <v>2017</v>
      </c>
      <c r="F22" s="755" t="s">
        <v>45</v>
      </c>
    </row>
    <row r="23" spans="1:6">
      <c r="A23" s="646" t="s">
        <v>46</v>
      </c>
      <c r="B23" s="73"/>
      <c r="C23" s="73"/>
      <c r="D23" s="73"/>
      <c r="E23" s="73"/>
      <c r="F23" s="756"/>
    </row>
    <row r="24" spans="1:6">
      <c r="A24" s="647" t="s">
        <v>47</v>
      </c>
      <c r="B24" s="73"/>
      <c r="C24" s="353">
        <f>'DPS Recommendation'!C9</f>
        <v>2337666</v>
      </c>
      <c r="D24" s="353">
        <f>'DPS Recommendation'!D9</f>
        <v>2513980</v>
      </c>
      <c r="E24" s="353">
        <f>'DPS Recommendation'!E9</f>
        <v>2696148</v>
      </c>
      <c r="F24" s="757">
        <f>SUM(C24:E24)</f>
        <v>7547794</v>
      </c>
    </row>
    <row r="25" spans="1:6">
      <c r="A25" s="759" t="s">
        <v>405</v>
      </c>
      <c r="B25" s="73"/>
      <c r="C25" s="353">
        <f>'DPS Recommendation'!C10</f>
        <v>81818.310000000012</v>
      </c>
      <c r="D25" s="353">
        <f>'DPS Recommendation'!D10</f>
        <v>106844.15000000001</v>
      </c>
      <c r="E25" s="353">
        <f>'DPS Recommendation'!E10</f>
        <v>107845.92</v>
      </c>
      <c r="F25" s="757">
        <f>SUM(C25:E25)</f>
        <v>296508.38</v>
      </c>
    </row>
    <row r="26" spans="1:6">
      <c r="A26" s="647" t="s">
        <v>50</v>
      </c>
      <c r="B26" s="73"/>
      <c r="C26" s="351">
        <f>'DPS Recommendation'!C14</f>
        <v>230076</v>
      </c>
      <c r="D26" s="351">
        <f>'DPS Recommendation'!D14</f>
        <v>234700</v>
      </c>
      <c r="E26" s="351">
        <f>'DPS Recommendation'!E14</f>
        <v>239300</v>
      </c>
      <c r="F26" s="758">
        <f t="shared" ref="F26" si="2">SUM(C26:E26)</f>
        <v>704076</v>
      </c>
    </row>
    <row r="27" spans="1:6">
      <c r="A27" s="76"/>
      <c r="B27" s="648" t="s">
        <v>55</v>
      </c>
      <c r="C27" s="353">
        <f>SUM(C24:C26)</f>
        <v>2649560.31</v>
      </c>
      <c r="D27" s="353">
        <f>SUM(D24:D26)</f>
        <v>2855524.15</v>
      </c>
      <c r="E27" s="353">
        <f>SUM(E24:E26)</f>
        <v>3043293.92</v>
      </c>
      <c r="F27" s="757">
        <f>SUM(C27:E27)</f>
        <v>8548378.379999999</v>
      </c>
    </row>
    <row r="28" spans="1:6">
      <c r="A28" s="76"/>
      <c r="B28" s="73"/>
      <c r="C28" s="73"/>
      <c r="D28" s="73"/>
      <c r="E28" s="73"/>
      <c r="F28" s="756"/>
    </row>
    <row r="29" spans="1:6">
      <c r="A29" s="649" t="s">
        <v>56</v>
      </c>
      <c r="B29" s="73"/>
      <c r="C29" s="73"/>
      <c r="D29" s="73"/>
      <c r="E29" s="73"/>
      <c r="F29" s="756"/>
    </row>
    <row r="30" spans="1:6">
      <c r="A30" s="647" t="s">
        <v>57</v>
      </c>
      <c r="B30" s="73"/>
      <c r="C30" s="353">
        <f>'DPS Recommendation'!C25</f>
        <v>96390</v>
      </c>
      <c r="D30" s="353">
        <f>'DPS Recommendation'!D25</f>
        <v>98317.8</v>
      </c>
      <c r="E30" s="353">
        <f>'DPS Recommendation'!E25</f>
        <v>100284.15599999999</v>
      </c>
      <c r="F30" s="757">
        <f>SUM(C30:E30)</f>
        <v>294991.95600000001</v>
      </c>
    </row>
    <row r="31" spans="1:6">
      <c r="A31" s="647" t="s">
        <v>50</v>
      </c>
      <c r="B31" s="73"/>
      <c r="C31" s="643">
        <f>'DPS Recommendation'!C28</f>
        <v>10700</v>
      </c>
      <c r="D31" s="643">
        <f>'DPS Recommendation'!D28</f>
        <v>11000</v>
      </c>
      <c r="E31" s="643">
        <f>'DPS Recommendation'!E28</f>
        <v>11200</v>
      </c>
      <c r="F31" s="758">
        <f t="shared" ref="F31:F32" si="3">SUM(C31:E31)</f>
        <v>32900</v>
      </c>
    </row>
    <row r="32" spans="1:6">
      <c r="A32" s="654"/>
      <c r="B32" s="655" t="s">
        <v>58</v>
      </c>
      <c r="C32" s="643">
        <f>SUM(C30:C31)</f>
        <v>107090</v>
      </c>
      <c r="D32" s="643">
        <f>SUM(D30:D31)</f>
        <v>109317.8</v>
      </c>
      <c r="E32" s="643">
        <f>SUM(E30:E31)</f>
        <v>111484.15599999999</v>
      </c>
      <c r="F32" s="758">
        <f t="shared" si="3"/>
        <v>327891.95600000001</v>
      </c>
    </row>
    <row r="33" spans="1:6">
      <c r="A33" s="73"/>
      <c r="B33" s="73"/>
      <c r="C33" s="73"/>
      <c r="D33" s="73"/>
      <c r="E33" s="73"/>
      <c r="F33" s="73"/>
    </row>
    <row r="34" spans="1:6" ht="18.600000000000001" customHeight="1">
      <c r="A34" s="73"/>
      <c r="C34" s="333"/>
      <c r="D34" s="333"/>
      <c r="E34" s="659" t="s">
        <v>324</v>
      </c>
      <c r="F34" s="660">
        <f>F27+F32</f>
        <v>8876270.3359999992</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2:Z142"/>
  <sheetViews>
    <sheetView workbookViewId="0">
      <selection activeCell="B37" sqref="B37"/>
    </sheetView>
  </sheetViews>
  <sheetFormatPr defaultColWidth="9.140625" defaultRowHeight="15"/>
  <cols>
    <col min="1" max="1" width="2.85546875" style="250" customWidth="1"/>
    <col min="2" max="2" width="52.28515625" style="250" customWidth="1"/>
    <col min="3" max="3" width="12.7109375" style="250" bestFit="1" customWidth="1"/>
    <col min="4" max="5" width="11.7109375" style="250" bestFit="1" customWidth="1"/>
    <col min="6" max="6" width="12.7109375" style="250" customWidth="1"/>
    <col min="7" max="8" width="12.7109375" style="250" hidden="1" customWidth="1"/>
    <col min="9" max="17" width="10.28515625" style="250" bestFit="1" customWidth="1"/>
    <col min="18" max="18" width="8.7109375" style="250" customWidth="1"/>
    <col min="19" max="22" width="10.28515625" style="250" bestFit="1" customWidth="1"/>
    <col min="23" max="23" width="9" style="250" bestFit="1" customWidth="1"/>
    <col min="24" max="25" width="8.5703125" style="250" bestFit="1" customWidth="1"/>
    <col min="26" max="16384" width="9.140625" style="250"/>
  </cols>
  <sheetData>
    <row r="2" spans="1:25">
      <c r="A2" s="662"/>
      <c r="B2" s="663" t="s">
        <v>327</v>
      </c>
    </row>
    <row r="3" spans="1:25">
      <c r="B3" s="664">
        <v>41739</v>
      </c>
    </row>
    <row r="4" spans="1:25" ht="75">
      <c r="B4" s="665" t="s">
        <v>328</v>
      </c>
      <c r="C4" s="666">
        <v>2015</v>
      </c>
      <c r="D4" s="666">
        <v>2016</v>
      </c>
      <c r="E4" s="666">
        <v>2017</v>
      </c>
      <c r="F4" s="667" t="s">
        <v>329</v>
      </c>
      <c r="G4" s="668" t="s">
        <v>330</v>
      </c>
      <c r="H4" s="668" t="s">
        <v>331</v>
      </c>
      <c r="I4" s="669">
        <v>2018</v>
      </c>
      <c r="J4" s="669">
        <v>2019</v>
      </c>
      <c r="K4" s="669">
        <v>2020</v>
      </c>
      <c r="L4" s="669">
        <v>2021</v>
      </c>
      <c r="M4" s="669">
        <v>2022</v>
      </c>
      <c r="N4" s="669">
        <v>2023</v>
      </c>
      <c r="O4" s="669">
        <v>2024</v>
      </c>
      <c r="P4" s="669">
        <v>2025</v>
      </c>
      <c r="Q4" s="669">
        <v>2026</v>
      </c>
      <c r="R4" s="669">
        <v>2027</v>
      </c>
      <c r="S4" s="669">
        <v>2028</v>
      </c>
      <c r="T4" s="669">
        <v>2029</v>
      </c>
      <c r="U4" s="669">
        <v>2030</v>
      </c>
      <c r="V4" s="669">
        <v>2031</v>
      </c>
      <c r="W4" s="669">
        <v>2032</v>
      </c>
      <c r="X4" s="669">
        <v>2033</v>
      </c>
      <c r="Y4" s="669">
        <v>2034</v>
      </c>
    </row>
    <row r="5" spans="1:25">
      <c r="B5" s="670"/>
      <c r="C5" s="671"/>
      <c r="D5" s="671"/>
      <c r="E5" s="671"/>
      <c r="F5" s="672" t="s">
        <v>332</v>
      </c>
      <c r="G5" s="673" t="s">
        <v>333</v>
      </c>
      <c r="H5" s="673" t="s">
        <v>334</v>
      </c>
      <c r="I5" s="674"/>
      <c r="J5" s="674"/>
      <c r="K5" s="675"/>
      <c r="L5" s="674"/>
      <c r="M5" s="674"/>
      <c r="N5" s="675"/>
      <c r="O5" s="674"/>
      <c r="P5" s="674"/>
      <c r="Q5" s="674"/>
      <c r="R5" s="674"/>
      <c r="S5" s="674"/>
      <c r="T5" s="674"/>
      <c r="U5" s="674"/>
      <c r="V5" s="674"/>
      <c r="W5" s="674"/>
      <c r="X5" s="674"/>
      <c r="Y5" s="674"/>
    </row>
    <row r="6" spans="1:25">
      <c r="B6" s="670" t="s">
        <v>335</v>
      </c>
      <c r="C6" s="671"/>
      <c r="D6" s="671"/>
      <c r="E6" s="671"/>
      <c r="F6" s="676">
        <f>SUM(F7:F11)</f>
        <v>2124000</v>
      </c>
      <c r="G6" s="677"/>
      <c r="H6" s="677">
        <f>SUM(H7:H11)</f>
        <v>892700</v>
      </c>
      <c r="I6" s="674"/>
      <c r="J6" s="674"/>
      <c r="K6" s="675"/>
      <c r="L6" s="674"/>
      <c r="M6" s="674"/>
      <c r="N6" s="675"/>
      <c r="O6" s="674"/>
      <c r="P6" s="674"/>
      <c r="Q6" s="674"/>
      <c r="R6" s="674"/>
      <c r="S6" s="674"/>
      <c r="T6" s="674"/>
      <c r="U6" s="674"/>
      <c r="V6" s="674"/>
      <c r="W6" s="674"/>
      <c r="X6" s="674"/>
      <c r="Y6" s="674"/>
    </row>
    <row r="7" spans="1:25">
      <c r="B7" s="678" t="s">
        <v>105</v>
      </c>
      <c r="C7" s="679">
        <f>[1]SVFCM!F36</f>
        <v>160113.34</v>
      </c>
      <c r="D7" s="679">
        <f>[1]SVFCM!G36</f>
        <v>160977.4032</v>
      </c>
      <c r="E7" s="679">
        <f>[1]SVFCM!H36</f>
        <v>168006.195064</v>
      </c>
      <c r="F7" s="680">
        <f t="shared" ref="F7:F11" si="0">ROUND(SUM(C7:E7),-2)</f>
        <v>489100</v>
      </c>
      <c r="G7" s="681"/>
      <c r="H7" s="681">
        <f t="shared" ref="H7:H29" si="1">F7</f>
        <v>489100</v>
      </c>
      <c r="I7" s="682">
        <f>E7*1.02</f>
        <v>171366.31896527999</v>
      </c>
      <c r="J7" s="682">
        <f t="shared" ref="J7:Y9" si="2">I7*$C$68</f>
        <v>174793.64534458559</v>
      </c>
      <c r="K7" s="683">
        <f t="shared" si="2"/>
        <v>178289.5182514773</v>
      </c>
      <c r="L7" s="682">
        <f t="shared" si="2"/>
        <v>181855.30861650687</v>
      </c>
      <c r="M7" s="682">
        <f t="shared" si="2"/>
        <v>185492.41478883702</v>
      </c>
      <c r="N7" s="683">
        <f t="shared" si="2"/>
        <v>189202.26308461378</v>
      </c>
      <c r="O7" s="682">
        <f t="shared" si="2"/>
        <v>192986.30834630606</v>
      </c>
      <c r="P7" s="682">
        <f t="shared" si="2"/>
        <v>196846.03451323218</v>
      </c>
      <c r="Q7" s="682">
        <f t="shared" si="2"/>
        <v>200782.95520349682</v>
      </c>
      <c r="R7" s="682">
        <f t="shared" si="2"/>
        <v>204798.61430756675</v>
      </c>
      <c r="S7" s="682">
        <f t="shared" si="2"/>
        <v>208894.58659371809</v>
      </c>
      <c r="T7" s="682">
        <f t="shared" si="2"/>
        <v>213072.47832559247</v>
      </c>
      <c r="U7" s="682">
        <f t="shared" si="2"/>
        <v>217333.92789210432</v>
      </c>
      <c r="V7" s="682">
        <f t="shared" si="2"/>
        <v>221680.60644994641</v>
      </c>
      <c r="W7" s="682">
        <f t="shared" si="2"/>
        <v>226114.21857894535</v>
      </c>
      <c r="X7" s="682">
        <f t="shared" si="2"/>
        <v>230636.50295052427</v>
      </c>
      <c r="Y7" s="682">
        <f t="shared" si="2"/>
        <v>235249.23300953477</v>
      </c>
    </row>
    <row r="8" spans="1:25">
      <c r="B8" s="678" t="s">
        <v>336</v>
      </c>
      <c r="C8" s="679">
        <f>[1]GT!F16</f>
        <v>0</v>
      </c>
      <c r="D8" s="679">
        <f>[1]GT!G16</f>
        <v>4831.5700000000006</v>
      </c>
      <c r="E8" s="679">
        <f>[1]GT!H16</f>
        <v>168191.96683600309</v>
      </c>
      <c r="F8" s="680">
        <f t="shared" si="0"/>
        <v>173000</v>
      </c>
      <c r="G8" s="681">
        <v>142078</v>
      </c>
      <c r="H8" s="681">
        <f>ROUND(SUM(F8-G8),-2)</f>
        <v>30900</v>
      </c>
      <c r="I8" s="682">
        <v>0</v>
      </c>
      <c r="J8" s="682">
        <f t="shared" si="2"/>
        <v>0</v>
      </c>
      <c r="K8" s="683">
        <f t="shared" si="2"/>
        <v>0</v>
      </c>
      <c r="L8" s="682">
        <f t="shared" si="2"/>
        <v>0</v>
      </c>
      <c r="M8" s="682">
        <f t="shared" si="2"/>
        <v>0</v>
      </c>
      <c r="N8" s="683">
        <f t="shared" si="2"/>
        <v>0</v>
      </c>
      <c r="O8" s="682">
        <f t="shared" si="2"/>
        <v>0</v>
      </c>
      <c r="P8" s="682">
        <f t="shared" si="2"/>
        <v>0</v>
      </c>
      <c r="Q8" s="682">
        <f t="shared" si="2"/>
        <v>0</v>
      </c>
      <c r="R8" s="682">
        <f t="shared" si="2"/>
        <v>0</v>
      </c>
      <c r="S8" s="682">
        <f t="shared" si="2"/>
        <v>0</v>
      </c>
      <c r="T8" s="682">
        <f t="shared" si="2"/>
        <v>0</v>
      </c>
      <c r="U8" s="682">
        <f t="shared" si="2"/>
        <v>0</v>
      </c>
      <c r="V8" s="682">
        <f t="shared" si="2"/>
        <v>0</v>
      </c>
      <c r="W8" s="682">
        <f t="shared" si="2"/>
        <v>0</v>
      </c>
      <c r="X8" s="682">
        <f t="shared" si="2"/>
        <v>0</v>
      </c>
      <c r="Y8" s="682">
        <f t="shared" si="2"/>
        <v>0</v>
      </c>
    </row>
    <row r="9" spans="1:25">
      <c r="B9" s="678" t="s">
        <v>337</v>
      </c>
      <c r="C9" s="679">
        <f>[1]TAGTRM!F16</f>
        <v>63930.065000000002</v>
      </c>
      <c r="D9" s="679">
        <f>[1]TAGTRM!G16</f>
        <v>65290.385000000002</v>
      </c>
      <c r="E9" s="679">
        <f>[1]TAGTRM!H16</f>
        <v>66700.299999999988</v>
      </c>
      <c r="F9" s="680">
        <f t="shared" si="0"/>
        <v>195900</v>
      </c>
      <c r="G9" s="681"/>
      <c r="H9" s="681">
        <f t="shared" si="1"/>
        <v>195900</v>
      </c>
      <c r="I9" s="682">
        <f>E9*1.026</f>
        <v>68434.507799999992</v>
      </c>
      <c r="J9" s="682">
        <f t="shared" si="2"/>
        <v>69803.197955999989</v>
      </c>
      <c r="K9" s="683">
        <f t="shared" si="2"/>
        <v>71199.261915119991</v>
      </c>
      <c r="L9" s="682">
        <f t="shared" si="2"/>
        <v>72623.247153422388</v>
      </c>
      <c r="M9" s="682">
        <f t="shared" si="2"/>
        <v>74075.712096490839</v>
      </c>
      <c r="N9" s="683">
        <f t="shared" si="2"/>
        <v>75557.22633842066</v>
      </c>
      <c r="O9" s="682">
        <f t="shared" si="2"/>
        <v>77068.370865189077</v>
      </c>
      <c r="P9" s="682">
        <f t="shared" si="2"/>
        <v>78609.738282492865</v>
      </c>
      <c r="Q9" s="682">
        <f t="shared" si="2"/>
        <v>80181.933048142717</v>
      </c>
      <c r="R9" s="682">
        <f t="shared" si="2"/>
        <v>81785.57170910557</v>
      </c>
      <c r="S9" s="682">
        <f t="shared" si="2"/>
        <v>83421.283143287685</v>
      </c>
      <c r="T9" s="682">
        <f t="shared" si="2"/>
        <v>85089.708806153445</v>
      </c>
      <c r="U9" s="682">
        <f t="shared" si="2"/>
        <v>86791.502982276521</v>
      </c>
      <c r="V9" s="682">
        <f t="shared" si="2"/>
        <v>88527.333041922058</v>
      </c>
      <c r="W9" s="682">
        <f t="shared" si="2"/>
        <v>90297.879702760503</v>
      </c>
      <c r="X9" s="682">
        <f t="shared" si="2"/>
        <v>92103.83729681572</v>
      </c>
      <c r="Y9" s="682">
        <f t="shared" si="2"/>
        <v>93945.914042752032</v>
      </c>
    </row>
    <row r="10" spans="1:25">
      <c r="A10" s="684"/>
      <c r="B10" s="678" t="s">
        <v>338</v>
      </c>
      <c r="C10" s="679">
        <f>'[1]Mkt Characterizations'!F19</f>
        <v>1177293.128</v>
      </c>
      <c r="D10" s="679">
        <f>'[1]Mkt Characterizations'!G19</f>
        <v>0</v>
      </c>
      <c r="E10" s="679">
        <f>'[1]Mkt Characterizations'!H19</f>
        <v>0</v>
      </c>
      <c r="F10" s="680">
        <f t="shared" si="0"/>
        <v>1177300</v>
      </c>
      <c r="G10" s="681">
        <v>1089248</v>
      </c>
      <c r="H10" s="681">
        <f>ROUND(SUM(F10-G10),-2)</f>
        <v>88100</v>
      </c>
      <c r="I10" s="682">
        <f t="shared" ref="I10:K11" si="3">C10*$C$68^3</f>
        <v>1249352.8857786239</v>
      </c>
      <c r="J10" s="682">
        <f t="shared" si="3"/>
        <v>0</v>
      </c>
      <c r="K10" s="683">
        <f t="shared" si="3"/>
        <v>0</v>
      </c>
      <c r="L10" s="682">
        <f t="shared" ref="L10:Y11" si="4">I10*$C$68^3</f>
        <v>1325823.2772113618</v>
      </c>
      <c r="M10" s="682">
        <f t="shared" si="4"/>
        <v>0</v>
      </c>
      <c r="N10" s="683">
        <f t="shared" si="4"/>
        <v>0</v>
      </c>
      <c r="O10" s="682">
        <f t="shared" si="4"/>
        <v>1406974.2683629147</v>
      </c>
      <c r="P10" s="682">
        <f t="shared" si="4"/>
        <v>0</v>
      </c>
      <c r="Q10" s="682">
        <f t="shared" si="4"/>
        <v>0</v>
      </c>
      <c r="R10" s="682">
        <f t="shared" si="4"/>
        <v>1493092.3493808717</v>
      </c>
      <c r="S10" s="682">
        <f t="shared" si="4"/>
        <v>0</v>
      </c>
      <c r="T10" s="682">
        <f t="shared" si="4"/>
        <v>0</v>
      </c>
      <c r="U10" s="682">
        <f t="shared" si="4"/>
        <v>1584481.5459017761</v>
      </c>
      <c r="V10" s="682">
        <f t="shared" si="4"/>
        <v>0</v>
      </c>
      <c r="W10" s="682">
        <f t="shared" si="4"/>
        <v>0</v>
      </c>
      <c r="X10" s="682">
        <f t="shared" si="4"/>
        <v>1681464.4923633318</v>
      </c>
      <c r="Y10" s="682">
        <f t="shared" si="4"/>
        <v>0</v>
      </c>
    </row>
    <row r="11" spans="1:25">
      <c r="A11" s="684"/>
      <c r="B11" s="678" t="s">
        <v>339</v>
      </c>
      <c r="C11" s="679">
        <f>[1]Benchmarking!F16</f>
        <v>3831.2</v>
      </c>
      <c r="D11" s="679">
        <f>[1]Benchmarking!G16</f>
        <v>80690.149999999994</v>
      </c>
      <c r="E11" s="679">
        <f>[1]Benchmarking!H16</f>
        <v>4144</v>
      </c>
      <c r="F11" s="680">
        <f t="shared" si="0"/>
        <v>88700</v>
      </c>
      <c r="G11" s="681"/>
      <c r="H11" s="681">
        <f t="shared" si="1"/>
        <v>88700</v>
      </c>
      <c r="I11" s="682">
        <f t="shared" si="3"/>
        <v>4065.7000895999995</v>
      </c>
      <c r="J11" s="682">
        <f t="shared" si="3"/>
        <v>85629.032701199991</v>
      </c>
      <c r="K11" s="683">
        <f t="shared" si="3"/>
        <v>4397.6459519999999</v>
      </c>
      <c r="L11" s="682">
        <f t="shared" si="4"/>
        <v>4314.5534606842357</v>
      </c>
      <c r="M11" s="682">
        <f t="shared" si="4"/>
        <v>90870.214534775034</v>
      </c>
      <c r="N11" s="683">
        <f t="shared" si="4"/>
        <v>4666.8170654300156</v>
      </c>
      <c r="O11" s="682">
        <f t="shared" si="4"/>
        <v>4578.6386489057959</v>
      </c>
      <c r="P11" s="682">
        <f t="shared" si="4"/>
        <v>96432.198626019541</v>
      </c>
      <c r="Q11" s="682">
        <f t="shared" si="4"/>
        <v>4952.463604370856</v>
      </c>
      <c r="R11" s="682">
        <f t="shared" si="4"/>
        <v>4858.8879633280212</v>
      </c>
      <c r="S11" s="682">
        <f t="shared" si="4"/>
        <v>102334.62063952094</v>
      </c>
      <c r="T11" s="682">
        <f t="shared" si="4"/>
        <v>5255.5939966671867</v>
      </c>
      <c r="U11" s="682">
        <f t="shared" si="4"/>
        <v>5156.2907777874025</v>
      </c>
      <c r="V11" s="682">
        <f t="shared" si="4"/>
        <v>108598.31809962474</v>
      </c>
      <c r="W11" s="682">
        <f t="shared" si="4"/>
        <v>5577.2783940151912</v>
      </c>
      <c r="X11" s="682">
        <f t="shared" si="4"/>
        <v>5471.897023714213</v>
      </c>
      <c r="Y11" s="682">
        <f t="shared" si="4"/>
        <v>115245.40395386657</v>
      </c>
    </row>
    <row r="12" spans="1:25">
      <c r="A12" s="684"/>
      <c r="B12" s="685"/>
      <c r="C12" s="679"/>
      <c r="D12" s="679"/>
      <c r="E12" s="679"/>
      <c r="F12" s="680"/>
      <c r="G12" s="681"/>
      <c r="H12" s="677"/>
      <c r="I12" s="682"/>
      <c r="J12" s="682"/>
      <c r="K12" s="683"/>
      <c r="L12" s="682"/>
      <c r="M12" s="682"/>
      <c r="N12" s="683"/>
      <c r="O12" s="682"/>
      <c r="P12" s="682"/>
      <c r="Q12" s="682"/>
      <c r="R12" s="682"/>
      <c r="S12" s="682"/>
      <c r="T12" s="682"/>
      <c r="U12" s="682"/>
      <c r="V12" s="682"/>
      <c r="W12" s="682"/>
      <c r="X12" s="682"/>
      <c r="Y12" s="682"/>
    </row>
    <row r="13" spans="1:25">
      <c r="A13" s="684"/>
      <c r="B13" s="670" t="s">
        <v>340</v>
      </c>
      <c r="C13" s="679"/>
      <c r="D13" s="679"/>
      <c r="E13" s="679"/>
      <c r="F13" s="676">
        <f>SUM(F14:F19)</f>
        <v>707200</v>
      </c>
      <c r="G13" s="677"/>
      <c r="H13" s="677">
        <f>SUM(H14:H19)</f>
        <v>604600</v>
      </c>
      <c r="I13" s="682"/>
      <c r="J13" s="682"/>
      <c r="K13" s="683"/>
      <c r="L13" s="682"/>
      <c r="M13" s="682"/>
      <c r="N13" s="683"/>
      <c r="O13" s="682"/>
      <c r="P13" s="682"/>
      <c r="Q13" s="682"/>
      <c r="R13" s="682"/>
      <c r="S13" s="682"/>
      <c r="T13" s="682"/>
      <c r="U13" s="682"/>
      <c r="V13" s="682"/>
      <c r="W13" s="682"/>
      <c r="X13" s="682"/>
      <c r="Y13" s="682"/>
    </row>
    <row r="14" spans="1:25">
      <c r="A14" s="684"/>
      <c r="B14" s="685" t="s">
        <v>341</v>
      </c>
      <c r="C14" s="679">
        <f>[1]NRA!F19</f>
        <v>3371.4559999999997</v>
      </c>
      <c r="D14" s="679">
        <f>[1]NRA!G19</f>
        <v>8766.56</v>
      </c>
      <c r="E14" s="679">
        <f>[1]NRA!H19</f>
        <v>38868.368000000002</v>
      </c>
      <c r="F14" s="680">
        <f t="shared" ref="F14:F19" si="5">ROUND(SUM(C14:E14),-2)</f>
        <v>51000</v>
      </c>
      <c r="G14" s="681"/>
      <c r="H14" s="681">
        <f t="shared" si="1"/>
        <v>51000</v>
      </c>
      <c r="I14" s="682">
        <f t="shared" ref="I14:K15" si="6">C14*$C$68^3</f>
        <v>3577.8160788479995</v>
      </c>
      <c r="J14" s="682">
        <f t="shared" si="6"/>
        <v>9303.1436044799993</v>
      </c>
      <c r="K14" s="683">
        <f t="shared" si="6"/>
        <v>41247.423068543998</v>
      </c>
      <c r="L14" s="682">
        <f t="shared" ref="L14:Y15" si="7">I14*$C$68^3</f>
        <v>3796.8070454021276</v>
      </c>
      <c r="M14" s="682">
        <f t="shared" si="7"/>
        <v>9872.5704182230111</v>
      </c>
      <c r="N14" s="683">
        <f t="shared" si="7"/>
        <v>43772.095339723433</v>
      </c>
      <c r="O14" s="682">
        <f t="shared" si="7"/>
        <v>4029.2020110371009</v>
      </c>
      <c r="P14" s="682">
        <f t="shared" si="7"/>
        <v>10476.850708381604</v>
      </c>
      <c r="Q14" s="682">
        <f t="shared" si="7"/>
        <v>46451.29775127722</v>
      </c>
      <c r="R14" s="682">
        <f t="shared" si="7"/>
        <v>4275.8214077286593</v>
      </c>
      <c r="S14" s="682">
        <f t="shared" si="7"/>
        <v>11118.117786540224</v>
      </c>
      <c r="T14" s="682">
        <f t="shared" si="7"/>
        <v>49294.488784037392</v>
      </c>
      <c r="U14" s="682">
        <f t="shared" si="7"/>
        <v>4537.5358844529146</v>
      </c>
      <c r="V14" s="682">
        <f t="shared" si="7"/>
        <v>11798.635540018777</v>
      </c>
      <c r="W14" s="682">
        <f t="shared" si="7"/>
        <v>52311.705853530751</v>
      </c>
      <c r="X14" s="682">
        <f t="shared" si="7"/>
        <v>4815.2693808685081</v>
      </c>
      <c r="Y14" s="682">
        <f t="shared" si="7"/>
        <v>12520.806424152244</v>
      </c>
    </row>
    <row r="15" spans="1:25">
      <c r="A15" s="684"/>
      <c r="B15" s="685" t="s">
        <v>342</v>
      </c>
      <c r="C15" s="679">
        <f>'[1]Admin Efficiency'!F16</f>
        <v>0</v>
      </c>
      <c r="D15" s="679">
        <f>'[1]Admin Efficiency'!G16</f>
        <v>139604.9908</v>
      </c>
      <c r="E15" s="679">
        <f>'[1]Admin Efficiency'!H16</f>
        <v>0</v>
      </c>
      <c r="F15" s="680">
        <f t="shared" si="5"/>
        <v>139600</v>
      </c>
      <c r="G15" s="681"/>
      <c r="H15" s="681">
        <f t="shared" si="1"/>
        <v>139600</v>
      </c>
      <c r="I15" s="682">
        <f t="shared" si="6"/>
        <v>0</v>
      </c>
      <c r="J15" s="682">
        <f t="shared" si="6"/>
        <v>148149.9330768864</v>
      </c>
      <c r="K15" s="683">
        <f t="shared" si="6"/>
        <v>0</v>
      </c>
      <c r="L15" s="682">
        <f t="shared" si="7"/>
        <v>0</v>
      </c>
      <c r="M15" s="682">
        <f t="shared" si="7"/>
        <v>157217.89418065644</v>
      </c>
      <c r="N15" s="683">
        <f t="shared" si="7"/>
        <v>0</v>
      </c>
      <c r="O15" s="682">
        <f t="shared" si="7"/>
        <v>0</v>
      </c>
      <c r="P15" s="682">
        <f t="shared" si="7"/>
        <v>166840.88704766604</v>
      </c>
      <c r="Q15" s="682">
        <f t="shared" si="7"/>
        <v>0</v>
      </c>
      <c r="R15" s="682">
        <f t="shared" si="7"/>
        <v>0</v>
      </c>
      <c r="S15" s="682">
        <f t="shared" si="7"/>
        <v>177052.88406207957</v>
      </c>
      <c r="T15" s="682">
        <f t="shared" si="7"/>
        <v>0</v>
      </c>
      <c r="U15" s="682">
        <f t="shared" si="7"/>
        <v>0</v>
      </c>
      <c r="V15" s="682">
        <f t="shared" si="7"/>
        <v>187889.93698975132</v>
      </c>
      <c r="W15" s="682">
        <f t="shared" si="7"/>
        <v>0</v>
      </c>
      <c r="X15" s="682">
        <f t="shared" si="7"/>
        <v>0</v>
      </c>
      <c r="Y15" s="682">
        <f t="shared" si="7"/>
        <v>199390.30425302</v>
      </c>
    </row>
    <row r="16" spans="1:25">
      <c r="A16" s="684"/>
      <c r="B16" s="678" t="s">
        <v>343</v>
      </c>
      <c r="C16" s="679">
        <f>'[1]HPwEs (elec)'!F15</f>
        <v>117615.69500000001</v>
      </c>
      <c r="D16" s="679">
        <f>'[1]HPwEs (elec)'!G15</f>
        <v>0</v>
      </c>
      <c r="E16" s="679">
        <f>'[1]HPwEs (elec)'!H15</f>
        <v>0</v>
      </c>
      <c r="F16" s="680">
        <f t="shared" si="5"/>
        <v>117600</v>
      </c>
      <c r="G16" s="681">
        <v>102600</v>
      </c>
      <c r="H16" s="681">
        <f>F16-G16</f>
        <v>15000</v>
      </c>
      <c r="I16" s="682">
        <v>0</v>
      </c>
      <c r="J16" s="682">
        <v>0</v>
      </c>
      <c r="K16" s="682">
        <v>0</v>
      </c>
      <c r="L16" s="682">
        <v>0</v>
      </c>
      <c r="M16" s="682">
        <v>0</v>
      </c>
      <c r="N16" s="682">
        <v>0</v>
      </c>
      <c r="O16" s="682">
        <v>0</v>
      </c>
      <c r="P16" s="682">
        <v>0</v>
      </c>
      <c r="Q16" s="682">
        <v>0</v>
      </c>
      <c r="R16" s="682">
        <v>0</v>
      </c>
      <c r="S16" s="682">
        <v>0</v>
      </c>
      <c r="T16" s="682">
        <v>0</v>
      </c>
      <c r="U16" s="682">
        <v>0</v>
      </c>
      <c r="V16" s="682">
        <v>0</v>
      </c>
      <c r="W16" s="682">
        <v>0</v>
      </c>
      <c r="X16" s="682">
        <v>0</v>
      </c>
      <c r="Y16" s="682">
        <v>0</v>
      </c>
    </row>
    <row r="17" spans="1:25">
      <c r="A17" s="684"/>
      <c r="B17" s="678" t="s">
        <v>344</v>
      </c>
      <c r="C17" s="679">
        <f>'[1]ESA CCP'!C24</f>
        <v>8141.3</v>
      </c>
      <c r="D17" s="679">
        <f>'[1]ESA CCP'!D24</f>
        <v>8467.7000000000007</v>
      </c>
      <c r="E17" s="679">
        <f>'[1]ESA CCP'!E24</f>
        <v>15022</v>
      </c>
      <c r="F17" s="680">
        <f t="shared" si="5"/>
        <v>31600</v>
      </c>
      <c r="G17" s="681"/>
      <c r="H17" s="681">
        <f t="shared" si="1"/>
        <v>31600</v>
      </c>
      <c r="I17" s="682">
        <f>E17*$C$68</f>
        <v>15322.44</v>
      </c>
      <c r="J17" s="682">
        <f>F17*$C$68</f>
        <v>32232</v>
      </c>
      <c r="K17" s="682">
        <f t="shared" ref="K17:Y17" si="8">I17*$C$68</f>
        <v>15628.888800000001</v>
      </c>
      <c r="L17" s="682">
        <f t="shared" si="8"/>
        <v>32876.639999999999</v>
      </c>
      <c r="M17" s="682">
        <f t="shared" si="8"/>
        <v>15941.466576000001</v>
      </c>
      <c r="N17" s="682">
        <f t="shared" si="8"/>
        <v>33534.1728</v>
      </c>
      <c r="O17" s="682">
        <f t="shared" si="8"/>
        <v>16260.295907520001</v>
      </c>
      <c r="P17" s="682">
        <f t="shared" si="8"/>
        <v>34204.856255999999</v>
      </c>
      <c r="Q17" s="682">
        <f t="shared" si="8"/>
        <v>16585.501825670402</v>
      </c>
      <c r="R17" s="682">
        <f t="shared" si="8"/>
        <v>34888.953381120002</v>
      </c>
      <c r="S17" s="682">
        <f t="shared" si="8"/>
        <v>16917.211862183813</v>
      </c>
      <c r="T17" s="682">
        <f t="shared" si="8"/>
        <v>35586.732448742405</v>
      </c>
      <c r="U17" s="682">
        <f t="shared" si="8"/>
        <v>17255.556099427489</v>
      </c>
      <c r="V17" s="682">
        <f t="shared" si="8"/>
        <v>36298.46709771725</v>
      </c>
      <c r="W17" s="682">
        <f t="shared" si="8"/>
        <v>17600.667221416039</v>
      </c>
      <c r="X17" s="682">
        <f t="shared" si="8"/>
        <v>37024.436439671597</v>
      </c>
      <c r="Y17" s="682">
        <f t="shared" si="8"/>
        <v>17952.680565844359</v>
      </c>
    </row>
    <row r="18" spans="1:25">
      <c r="A18" s="684"/>
      <c r="B18" s="678" t="s">
        <v>345</v>
      </c>
      <c r="C18" s="679">
        <f>[1]Regional!F21</f>
        <v>58417.740000000005</v>
      </c>
      <c r="D18" s="679">
        <f>[1]Regional!G21</f>
        <v>59649.600000000006</v>
      </c>
      <c r="E18" s="679">
        <f>[1]Regional!H21</f>
        <v>60908.182799999995</v>
      </c>
      <c r="F18" s="680">
        <f t="shared" si="5"/>
        <v>179000</v>
      </c>
      <c r="G18" s="681"/>
      <c r="H18" s="681">
        <f t="shared" si="1"/>
        <v>179000</v>
      </c>
      <c r="I18" s="686">
        <f>E18*$C$68</f>
        <v>62126.346455999999</v>
      </c>
      <c r="J18" s="686">
        <f>F18*$C$68</f>
        <v>182580</v>
      </c>
      <c r="K18" s="687">
        <f t="shared" ref="K18:Y18" si="9">J18*$C$68</f>
        <v>186231.6</v>
      </c>
      <c r="L18" s="686">
        <f t="shared" si="9"/>
        <v>189956.23200000002</v>
      </c>
      <c r="M18" s="686">
        <f t="shared" si="9"/>
        <v>193755.35664000001</v>
      </c>
      <c r="N18" s="687">
        <f t="shared" si="9"/>
        <v>197630.46377280002</v>
      </c>
      <c r="O18" s="686">
        <f t="shared" si="9"/>
        <v>201583.07304825602</v>
      </c>
      <c r="P18" s="686">
        <f t="shared" si="9"/>
        <v>205614.73450922113</v>
      </c>
      <c r="Q18" s="686">
        <f t="shared" si="9"/>
        <v>209727.02919940557</v>
      </c>
      <c r="R18" s="686">
        <f t="shared" si="9"/>
        <v>213921.5697833937</v>
      </c>
      <c r="S18" s="686">
        <f t="shared" si="9"/>
        <v>218200.00117906157</v>
      </c>
      <c r="T18" s="686">
        <f t="shared" si="9"/>
        <v>222564.0012026428</v>
      </c>
      <c r="U18" s="686">
        <f t="shared" si="9"/>
        <v>227015.28122669566</v>
      </c>
      <c r="V18" s="686">
        <f t="shared" si="9"/>
        <v>231555.58685122957</v>
      </c>
      <c r="W18" s="686">
        <f t="shared" si="9"/>
        <v>236186.69858825416</v>
      </c>
      <c r="X18" s="686">
        <f t="shared" si="9"/>
        <v>240910.43256001925</v>
      </c>
      <c r="Y18" s="686">
        <f t="shared" si="9"/>
        <v>245728.64121121966</v>
      </c>
    </row>
    <row r="19" spans="1:25">
      <c r="A19" s="684"/>
      <c r="B19" s="678" t="s">
        <v>346</v>
      </c>
      <c r="C19" s="679">
        <f>[1]OPA!F20*0.88</f>
        <v>188352.34</v>
      </c>
      <c r="D19" s="679">
        <f>[1]OPA!G20*0.88</f>
        <v>0</v>
      </c>
      <c r="E19" s="679">
        <f>[1]OPA!H20*0.88</f>
        <v>0</v>
      </c>
      <c r="F19" s="680">
        <f t="shared" si="5"/>
        <v>188400</v>
      </c>
      <c r="G19" s="681"/>
      <c r="H19" s="681">
        <f t="shared" si="1"/>
        <v>188400</v>
      </c>
      <c r="I19" s="682">
        <f>C29*$C$68</f>
        <v>267138.67830000003</v>
      </c>
      <c r="J19" s="682">
        <f>D29*$C$68</f>
        <v>264526.16249999998</v>
      </c>
      <c r="K19" s="682">
        <f>E29*$C$68</f>
        <v>268129.74599999998</v>
      </c>
      <c r="L19" s="682">
        <f>I19*$C$68</f>
        <v>272481.45186600002</v>
      </c>
      <c r="M19" s="682">
        <f t="shared" ref="M19:Y19" si="10">I19*$C$68</f>
        <v>272481.45186600002</v>
      </c>
      <c r="N19" s="682">
        <f t="shared" si="10"/>
        <v>269816.68575</v>
      </c>
      <c r="O19" s="682">
        <f t="shared" si="10"/>
        <v>273492.34091999999</v>
      </c>
      <c r="P19" s="682">
        <f t="shared" si="10"/>
        <v>277931.08090332005</v>
      </c>
      <c r="Q19" s="682">
        <f t="shared" si="10"/>
        <v>277931.08090332005</v>
      </c>
      <c r="R19" s="682">
        <f t="shared" si="10"/>
        <v>275213.01946500002</v>
      </c>
      <c r="S19" s="682">
        <f t="shared" si="10"/>
        <v>278962.18773840001</v>
      </c>
      <c r="T19" s="682">
        <f t="shared" si="10"/>
        <v>283489.70252138644</v>
      </c>
      <c r="U19" s="682">
        <f t="shared" si="10"/>
        <v>283489.70252138644</v>
      </c>
      <c r="V19" s="682">
        <f t="shared" si="10"/>
        <v>280717.27985430002</v>
      </c>
      <c r="W19" s="682">
        <f t="shared" si="10"/>
        <v>284541.431493168</v>
      </c>
      <c r="X19" s="682">
        <f t="shared" si="10"/>
        <v>289159.49657181418</v>
      </c>
      <c r="Y19" s="682">
        <f t="shared" si="10"/>
        <v>289159.49657181418</v>
      </c>
    </row>
    <row r="20" spans="1:25">
      <c r="A20" s="684"/>
      <c r="B20" s="688"/>
      <c r="C20" s="679"/>
      <c r="D20" s="679"/>
      <c r="E20" s="679"/>
      <c r="F20" s="680"/>
      <c r="G20" s="681"/>
      <c r="H20" s="677"/>
      <c r="I20" s="682"/>
      <c r="J20" s="682"/>
      <c r="K20" s="683"/>
      <c r="L20" s="682"/>
      <c r="M20" s="682"/>
      <c r="N20" s="683"/>
      <c r="O20" s="682"/>
      <c r="P20" s="682"/>
      <c r="Q20" s="682"/>
      <c r="R20" s="682"/>
      <c r="S20" s="682"/>
      <c r="T20" s="682"/>
      <c r="U20" s="682"/>
      <c r="V20" s="682"/>
      <c r="W20" s="682"/>
      <c r="X20" s="682"/>
      <c r="Y20" s="682"/>
    </row>
    <row r="21" spans="1:25">
      <c r="A21" s="684"/>
      <c r="B21" s="689" t="s">
        <v>347</v>
      </c>
      <c r="C21" s="679"/>
      <c r="D21" s="679"/>
      <c r="E21" s="679"/>
      <c r="F21" s="676">
        <f>SUM(F22:F26)</f>
        <v>201300</v>
      </c>
      <c r="G21" s="681"/>
      <c r="H21" s="677">
        <f>SUM(H22:H26)</f>
        <v>201300</v>
      </c>
      <c r="I21" s="682"/>
      <c r="J21" s="682"/>
      <c r="K21" s="683"/>
      <c r="L21" s="682"/>
      <c r="M21" s="682"/>
      <c r="N21" s="683"/>
      <c r="O21" s="682"/>
      <c r="P21" s="682"/>
      <c r="Q21" s="682"/>
      <c r="R21" s="682"/>
      <c r="S21" s="682"/>
      <c r="T21" s="682"/>
      <c r="U21" s="682"/>
      <c r="V21" s="682"/>
      <c r="W21" s="682"/>
      <c r="X21" s="682"/>
      <c r="Y21" s="682"/>
    </row>
    <row r="22" spans="1:25">
      <c r="A22" s="684"/>
      <c r="B22" s="690" t="s">
        <v>348</v>
      </c>
      <c r="C22" s="679">
        <f>'[1]Plan&amp;Mgmt'!C14</f>
        <v>8950.6409999999996</v>
      </c>
      <c r="D22" s="679">
        <f>'[1]Plan&amp;Mgmt'!D14</f>
        <v>9309.4889999999996</v>
      </c>
      <c r="E22" s="679">
        <f>'[1]Plan&amp;Mgmt'!E14</f>
        <v>16135.7</v>
      </c>
      <c r="F22" s="680">
        <f>ROUND(SUM(C22:E22),-2)</f>
        <v>34400</v>
      </c>
      <c r="G22" s="677"/>
      <c r="H22" s="681">
        <f t="shared" si="1"/>
        <v>34400</v>
      </c>
      <c r="I22" s="682">
        <f>C22*$C$68^3</f>
        <v>9498.4918343279987</v>
      </c>
      <c r="J22" s="682">
        <f t="shared" ref="J22:K22" si="11">D22*$C$68^3</f>
        <v>9879.3042027119991</v>
      </c>
      <c r="K22" s="682">
        <f t="shared" si="11"/>
        <v>17123.3339256</v>
      </c>
      <c r="L22" s="682">
        <f t="shared" ref="L22:Y26" si="12">I22*$C$68^3</f>
        <v>10079.875522523545</v>
      </c>
      <c r="M22" s="682">
        <f t="shared" si="12"/>
        <v>10483.996654351595</v>
      </c>
      <c r="N22" s="682">
        <f t="shared" si="12"/>
        <v>18171.418948518123</v>
      </c>
      <c r="O22" s="682">
        <f t="shared" si="12"/>
        <v>10696.844543506166</v>
      </c>
      <c r="P22" s="682">
        <f t="shared" si="12"/>
        <v>11125.701121571146</v>
      </c>
      <c r="Q22" s="682">
        <f t="shared" si="12"/>
        <v>19283.655159519018</v>
      </c>
      <c r="R22" s="682">
        <f t="shared" si="12"/>
        <v>11351.57700432509</v>
      </c>
      <c r="S22" s="682">
        <f t="shared" si="12"/>
        <v>11806.683035820271</v>
      </c>
      <c r="T22" s="682">
        <f t="shared" si="12"/>
        <v>20463.969124522857</v>
      </c>
      <c r="U22" s="682">
        <f t="shared" si="12"/>
        <v>12046.38432960582</v>
      </c>
      <c r="V22" s="682">
        <f t="shared" si="12"/>
        <v>12529.346491076758</v>
      </c>
      <c r="W22" s="682">
        <f t="shared" si="12"/>
        <v>21716.527746696651</v>
      </c>
      <c r="X22" s="682">
        <f t="shared" si="12"/>
        <v>12783.719421652333</v>
      </c>
      <c r="Y22" s="682">
        <f t="shared" si="12"/>
        <v>13296.242731102584</v>
      </c>
    </row>
    <row r="23" spans="1:25">
      <c r="A23" s="684"/>
      <c r="B23" s="688" t="s">
        <v>349</v>
      </c>
      <c r="C23" s="679">
        <f>'[1]Plan&amp;Mgmt'!C37</f>
        <v>27189.5</v>
      </c>
      <c r="D23" s="679">
        <f>'[1]Plan&amp;Mgmt'!D37</f>
        <v>27189.5</v>
      </c>
      <c r="E23" s="679">
        <f>'[1]Plan&amp;Mgmt'!E37</f>
        <v>27189.5</v>
      </c>
      <c r="F23" s="680">
        <f>ROUND(SUM(C23:E23),-2)</f>
        <v>81600</v>
      </c>
      <c r="G23" s="681"/>
      <c r="H23" s="681">
        <f t="shared" si="1"/>
        <v>81600</v>
      </c>
      <c r="I23" s="691">
        <f>C23*$C$68^3</f>
        <v>28853.714915999997</v>
      </c>
      <c r="J23" s="691">
        <f>D23*$C$68^3</f>
        <v>28853.714915999997</v>
      </c>
      <c r="K23" s="692">
        <f>E23*$C$68^3</f>
        <v>28853.714915999997</v>
      </c>
      <c r="L23" s="682">
        <f t="shared" si="12"/>
        <v>30619.793098578524</v>
      </c>
      <c r="M23" s="682">
        <f t="shared" si="12"/>
        <v>30619.793098578524</v>
      </c>
      <c r="N23" s="682">
        <f t="shared" si="12"/>
        <v>30619.793098578524</v>
      </c>
      <c r="O23" s="682">
        <f t="shared" si="12"/>
        <v>32493.969394556316</v>
      </c>
      <c r="P23" s="682">
        <f t="shared" si="12"/>
        <v>32493.969394556316</v>
      </c>
      <c r="Q23" s="682">
        <f t="shared" si="12"/>
        <v>32493.969394556316</v>
      </c>
      <c r="R23" s="682">
        <f t="shared" si="12"/>
        <v>34482.860273258317</v>
      </c>
      <c r="S23" s="682">
        <f t="shared" si="12"/>
        <v>34482.860273258317</v>
      </c>
      <c r="T23" s="682">
        <f t="shared" si="12"/>
        <v>34482.860273258317</v>
      </c>
      <c r="U23" s="682">
        <f t="shared" si="12"/>
        <v>36593.487184863909</v>
      </c>
      <c r="V23" s="682">
        <f t="shared" si="12"/>
        <v>36593.487184863909</v>
      </c>
      <c r="W23" s="682">
        <f t="shared" si="12"/>
        <v>36593.487184863909</v>
      </c>
      <c r="X23" s="682">
        <f t="shared" si="12"/>
        <v>38833.301348475055</v>
      </c>
      <c r="Y23" s="682">
        <f t="shared" si="12"/>
        <v>38833.301348475055</v>
      </c>
    </row>
    <row r="24" spans="1:25">
      <c r="A24" s="684"/>
      <c r="B24" s="693" t="s">
        <v>350</v>
      </c>
      <c r="C24" s="679">
        <f>'[1]Plan&amp;Mgmt'!F62</f>
        <v>21256.047999999999</v>
      </c>
      <c r="D24" s="679">
        <f>'[1]Plan&amp;Mgmt'!G62</f>
        <v>16608.592000000001</v>
      </c>
      <c r="E24" s="679">
        <f>'[1]Plan&amp;Mgmt'!H62</f>
        <v>21737.759999999998</v>
      </c>
      <c r="F24" s="680">
        <f>ROUND(SUM(C24:E24),-2)</f>
        <v>59600</v>
      </c>
      <c r="G24" s="681"/>
      <c r="H24" s="681">
        <f t="shared" si="1"/>
        <v>59600</v>
      </c>
      <c r="I24" s="682">
        <f>C23*$C$68^3</f>
        <v>28853.714915999997</v>
      </c>
      <c r="J24" s="682">
        <f>D23*$C$68^3</f>
        <v>28853.714915999997</v>
      </c>
      <c r="K24" s="683">
        <f>E23*$C$68^3</f>
        <v>28853.714915999997</v>
      </c>
      <c r="L24" s="682">
        <f t="shared" si="12"/>
        <v>30619.793098578524</v>
      </c>
      <c r="M24" s="682">
        <f t="shared" si="12"/>
        <v>30619.793098578524</v>
      </c>
      <c r="N24" s="683">
        <f t="shared" si="12"/>
        <v>30619.793098578524</v>
      </c>
      <c r="O24" s="682">
        <f t="shared" si="12"/>
        <v>32493.969394556316</v>
      </c>
      <c r="P24" s="682">
        <f t="shared" si="12"/>
        <v>32493.969394556316</v>
      </c>
      <c r="Q24" s="682">
        <f t="shared" si="12"/>
        <v>32493.969394556316</v>
      </c>
      <c r="R24" s="682">
        <f t="shared" si="12"/>
        <v>34482.860273258317</v>
      </c>
      <c r="S24" s="682">
        <f t="shared" si="12"/>
        <v>34482.860273258317</v>
      </c>
      <c r="T24" s="682">
        <f t="shared" si="12"/>
        <v>34482.860273258317</v>
      </c>
      <c r="U24" s="682">
        <f t="shared" si="12"/>
        <v>36593.487184863909</v>
      </c>
      <c r="V24" s="682">
        <f t="shared" si="12"/>
        <v>36593.487184863909</v>
      </c>
      <c r="W24" s="682">
        <f t="shared" si="12"/>
        <v>36593.487184863909</v>
      </c>
      <c r="X24" s="682">
        <f t="shared" si="12"/>
        <v>38833.301348475055</v>
      </c>
      <c r="Y24" s="682">
        <f t="shared" si="12"/>
        <v>38833.301348475055</v>
      </c>
    </row>
    <row r="25" spans="1:25">
      <c r="A25" s="684"/>
      <c r="B25" s="678" t="s">
        <v>351</v>
      </c>
      <c r="C25" s="679">
        <f>'[1]Plan&amp;Mgmt'!F98</f>
        <v>0</v>
      </c>
      <c r="D25" s="679">
        <f>'[1]Plan&amp;Mgmt'!G98</f>
        <v>13946.800000000001</v>
      </c>
      <c r="E25" s="679">
        <f>'[1]Plan&amp;Mgmt'!H98</f>
        <v>5801.5999999999995</v>
      </c>
      <c r="F25" s="680">
        <f t="shared" ref="F25" si="13">ROUND(SUM(C25:E25),-2)</f>
        <v>19700</v>
      </c>
      <c r="G25" s="681"/>
      <c r="H25" s="681">
        <f t="shared" si="1"/>
        <v>19700</v>
      </c>
      <c r="I25" s="691">
        <f>C24*$C$68^3</f>
        <v>22557.088185983997</v>
      </c>
      <c r="J25" s="691">
        <f>D24*$C$68^3</f>
        <v>17625.170699136001</v>
      </c>
      <c r="K25" s="692">
        <f>E25*$C$68^3</f>
        <v>6156.7043327999991</v>
      </c>
      <c r="L25" s="682">
        <f t="shared" si="12"/>
        <v>23937.762439671704</v>
      </c>
      <c r="M25" s="682">
        <f t="shared" si="12"/>
        <v>18703.972147288714</v>
      </c>
      <c r="N25" s="682">
        <f t="shared" si="12"/>
        <v>6533.5438916020212</v>
      </c>
      <c r="O25" s="682">
        <f t="shared" si="12"/>
        <v>25402.945003079127</v>
      </c>
      <c r="P25" s="682">
        <f t="shared" si="12"/>
        <v>19848.80487447996</v>
      </c>
      <c r="Q25" s="682">
        <f t="shared" si="12"/>
        <v>6933.4490461191972</v>
      </c>
      <c r="R25" s="682">
        <f t="shared" si="12"/>
        <v>26957.808460827593</v>
      </c>
      <c r="S25" s="682">
        <f t="shared" si="12"/>
        <v>21063.710523237129</v>
      </c>
      <c r="T25" s="682">
        <f t="shared" si="12"/>
        <v>7357.8315953340607</v>
      </c>
      <c r="U25" s="682">
        <f t="shared" si="12"/>
        <v>28607.842001097928</v>
      </c>
      <c r="V25" s="682">
        <f t="shared" si="12"/>
        <v>22352.978116943425</v>
      </c>
      <c r="W25" s="682">
        <f t="shared" si="12"/>
        <v>7808.1897516212675</v>
      </c>
      <c r="X25" s="682">
        <f t="shared" si="12"/>
        <v>30358.870794301129</v>
      </c>
      <c r="Y25" s="682">
        <f t="shared" si="12"/>
        <v>23721.159201525297</v>
      </c>
    </row>
    <row r="26" spans="1:25">
      <c r="A26" s="684"/>
      <c r="B26" s="690" t="s">
        <v>352</v>
      </c>
      <c r="C26" s="679">
        <f>'[1]Plan&amp;Mgmt'!D72</f>
        <v>528</v>
      </c>
      <c r="D26" s="679">
        <f>'[1]Plan&amp;Mgmt'!E72</f>
        <v>4928</v>
      </c>
      <c r="E26" s="679">
        <f>'[1]Plan&amp;Mgmt'!F72</f>
        <v>528</v>
      </c>
      <c r="F26" s="680">
        <f>ROUND(SUM(C26:E26),-2)</f>
        <v>6000</v>
      </c>
      <c r="G26" s="681"/>
      <c r="H26" s="681">
        <f t="shared" si="1"/>
        <v>6000</v>
      </c>
      <c r="I26" s="682">
        <f>C26*$C$68^3</f>
        <v>560.31782399999997</v>
      </c>
      <c r="J26" s="682">
        <f>D26*$C$68^3</f>
        <v>5229.6330239999998</v>
      </c>
      <c r="K26" s="683">
        <f>E26*$C$68^3</f>
        <v>560.31782399999997</v>
      </c>
      <c r="L26" s="682">
        <f t="shared" si="12"/>
        <v>594.6137573713919</v>
      </c>
      <c r="M26" s="682">
        <f t="shared" si="12"/>
        <v>5549.7284021329915</v>
      </c>
      <c r="N26" s="683">
        <f t="shared" si="12"/>
        <v>594.6137573713919</v>
      </c>
      <c r="O26" s="682">
        <f t="shared" si="12"/>
        <v>631.00887623258006</v>
      </c>
      <c r="P26" s="682">
        <f t="shared" si="12"/>
        <v>5889.4161781707471</v>
      </c>
      <c r="Q26" s="682">
        <f t="shared" si="12"/>
        <v>631.00887623258006</v>
      </c>
      <c r="R26" s="682">
        <f t="shared" si="12"/>
        <v>669.63166752902373</v>
      </c>
      <c r="S26" s="682">
        <f t="shared" si="12"/>
        <v>6249.8955636042219</v>
      </c>
      <c r="T26" s="682">
        <f t="shared" si="12"/>
        <v>669.63166752902373</v>
      </c>
      <c r="U26" s="682">
        <f t="shared" si="12"/>
        <v>710.61848263514014</v>
      </c>
      <c r="V26" s="682">
        <f t="shared" si="12"/>
        <v>6632.4391712613087</v>
      </c>
      <c r="W26" s="682">
        <f t="shared" si="12"/>
        <v>710.61848263514014</v>
      </c>
      <c r="X26" s="682">
        <f t="shared" si="12"/>
        <v>754.1140187202717</v>
      </c>
      <c r="Y26" s="682">
        <f t="shared" si="12"/>
        <v>7038.3975080558703</v>
      </c>
    </row>
    <row r="27" spans="1:25">
      <c r="A27" s="684"/>
      <c r="B27" s="690"/>
      <c r="C27" s="679"/>
      <c r="D27" s="679"/>
      <c r="E27" s="679"/>
      <c r="F27" s="680"/>
      <c r="G27" s="681"/>
      <c r="H27" s="677"/>
    </row>
    <row r="28" spans="1:25">
      <c r="B28" s="694" t="s">
        <v>353</v>
      </c>
      <c r="C28" s="679">
        <f>(SUM(C7:C19))*0.05</f>
        <v>89053.313200000019</v>
      </c>
      <c r="D28" s="679">
        <f>(SUM(D7:D19))*0.05</f>
        <v>26413.917950000003</v>
      </c>
      <c r="E28" s="679">
        <f>(SUM(E7:E19))*0.05</f>
        <v>26092.050635000156</v>
      </c>
      <c r="F28" s="676">
        <f>ROUND(SUM(C28:E28),-2)</f>
        <v>141600</v>
      </c>
      <c r="G28" s="681"/>
      <c r="H28" s="677">
        <f t="shared" si="1"/>
        <v>141600</v>
      </c>
      <c r="I28" s="682">
        <f>(SUM(I7:I19))*0.05</f>
        <v>92069.234673417581</v>
      </c>
      <c r="J28" s="682">
        <f t="shared" ref="J28:Y28" si="14">(SUM(J7:J19)+M6)*0.05</f>
        <v>48350.855759157595</v>
      </c>
      <c r="K28" s="683">
        <f t="shared" si="14"/>
        <v>38256.204199357067</v>
      </c>
      <c r="L28" s="682">
        <f t="shared" si="14"/>
        <v>104186.37586766887</v>
      </c>
      <c r="M28" s="682">
        <f t="shared" si="14"/>
        <v>49985.354055049123</v>
      </c>
      <c r="N28" s="683">
        <f t="shared" si="14"/>
        <v>40708.986207549395</v>
      </c>
      <c r="O28" s="682">
        <f t="shared" si="14"/>
        <v>108848.62490550645</v>
      </c>
      <c r="P28" s="682">
        <f t="shared" si="14"/>
        <v>53347.819042316674</v>
      </c>
      <c r="Q28" s="682">
        <f t="shared" si="14"/>
        <v>41830.613076784182</v>
      </c>
      <c r="R28" s="682">
        <f t="shared" si="14"/>
        <v>115641.73936990573</v>
      </c>
      <c r="S28" s="682">
        <f t="shared" si="14"/>
        <v>54845.044650239593</v>
      </c>
      <c r="T28" s="682">
        <f t="shared" si="14"/>
        <v>44717.635304261115</v>
      </c>
      <c r="U28" s="682">
        <f t="shared" si="14"/>
        <v>121303.06716429535</v>
      </c>
      <c r="V28" s="682">
        <f t="shared" si="14"/>
        <v>58353.308196225509</v>
      </c>
      <c r="W28" s="682">
        <f t="shared" si="14"/>
        <v>45631.493991604504</v>
      </c>
      <c r="X28" s="682">
        <f t="shared" si="14"/>
        <v>129079.31822933798</v>
      </c>
      <c r="Y28" s="682">
        <f t="shared" si="14"/>
        <v>60459.624001610187</v>
      </c>
    </row>
    <row r="29" spans="1:25">
      <c r="B29" s="695" t="s">
        <v>354</v>
      </c>
      <c r="C29" s="679">
        <f>[1]Behavioral!F18</f>
        <v>261900.66500000001</v>
      </c>
      <c r="D29" s="679">
        <f>[1]Behavioral!G18</f>
        <v>259339.375</v>
      </c>
      <c r="E29" s="679">
        <f>[1]Behavioral!H18</f>
        <v>262872.3</v>
      </c>
      <c r="F29" s="676">
        <f>ROUND(SUM(C29:E29),-2)</f>
        <v>784100</v>
      </c>
      <c r="G29" s="677"/>
      <c r="H29" s="677">
        <f t="shared" si="1"/>
        <v>784100</v>
      </c>
    </row>
    <row r="30" spans="1:25">
      <c r="B30" s="696"/>
      <c r="C30" s="679"/>
      <c r="D30" s="679"/>
      <c r="E30" s="679"/>
      <c r="F30" s="676"/>
      <c r="G30" s="677"/>
      <c r="H30" s="677"/>
      <c r="I30" s="682"/>
      <c r="J30" s="682"/>
      <c r="K30" s="683"/>
      <c r="L30" s="682"/>
      <c r="M30" s="682"/>
      <c r="N30" s="683"/>
      <c r="O30" s="697"/>
      <c r="P30" s="682"/>
      <c r="Q30" s="682"/>
      <c r="R30" s="682"/>
      <c r="S30" s="682"/>
      <c r="T30" s="682"/>
      <c r="U30" s="682"/>
      <c r="V30" s="682"/>
      <c r="W30" s="682"/>
      <c r="X30" s="682"/>
      <c r="Y30" s="682"/>
    </row>
    <row r="31" spans="1:25">
      <c r="B31" s="698" t="s">
        <v>355</v>
      </c>
      <c r="C31" s="699">
        <f>SUM(C7:C30)</f>
        <v>2189944.4312</v>
      </c>
      <c r="D31" s="699">
        <f>SUM(D7:D30)</f>
        <v>886014.03295000002</v>
      </c>
      <c r="E31" s="699">
        <f>SUM(E7:E30)</f>
        <v>882197.9233350032</v>
      </c>
      <c r="F31" s="700"/>
      <c r="G31" s="701"/>
      <c r="H31" s="677"/>
      <c r="I31" s="702"/>
      <c r="J31" s="703"/>
      <c r="K31" s="703"/>
      <c r="L31" s="702"/>
      <c r="M31" s="703"/>
      <c r="N31" s="703"/>
      <c r="O31" s="702"/>
      <c r="P31" s="703"/>
      <c r="Q31" s="703"/>
      <c r="R31" s="702"/>
      <c r="S31" s="703"/>
      <c r="T31" s="703"/>
      <c r="U31" s="702"/>
      <c r="V31" s="703"/>
      <c r="W31" s="703"/>
      <c r="X31" s="702"/>
      <c r="Y31" s="703"/>
    </row>
    <row r="32" spans="1:25">
      <c r="B32" s="704" t="s">
        <v>356</v>
      </c>
      <c r="C32" s="801">
        <f>F28+F21+F13+F6+F29</f>
        <v>3958200</v>
      </c>
      <c r="D32" s="802"/>
      <c r="E32" s="802"/>
      <c r="F32" s="802"/>
      <c r="G32" s="705"/>
      <c r="H32" s="705">
        <f>SUM(H6+H13+H21+H28+H29)</f>
        <v>2624300</v>
      </c>
      <c r="I32" s="706">
        <f>SUM(I7:I31)</f>
        <v>2023777.2558180811</v>
      </c>
      <c r="J32" s="706">
        <f t="shared" ref="J32:Y32" si="15">SUM(J7:J31)</f>
        <v>1105809.5087001577</v>
      </c>
      <c r="K32" s="706">
        <f t="shared" si="15"/>
        <v>884928.07410089846</v>
      </c>
      <c r="L32" s="706">
        <f t="shared" si="15"/>
        <v>2283765.7311377707</v>
      </c>
      <c r="M32" s="706">
        <f t="shared" si="15"/>
        <v>1145669.718556962</v>
      </c>
      <c r="N32" s="706">
        <f t="shared" si="15"/>
        <v>941427.87315318582</v>
      </c>
      <c r="O32" s="706">
        <f t="shared" si="15"/>
        <v>2387539.8602275662</v>
      </c>
      <c r="P32" s="706">
        <f t="shared" si="15"/>
        <v>1222156.0608519847</v>
      </c>
      <c r="Q32" s="706">
        <f t="shared" si="15"/>
        <v>970278.92648345139</v>
      </c>
      <c r="R32" s="706">
        <f t="shared" si="15"/>
        <v>2536421.2644472183</v>
      </c>
      <c r="S32" s="706">
        <f t="shared" si="15"/>
        <v>1259831.9473242098</v>
      </c>
      <c r="T32" s="706">
        <f t="shared" si="15"/>
        <v>1036527.4943233859</v>
      </c>
      <c r="U32" s="706">
        <f t="shared" si="15"/>
        <v>2661916.2296332694</v>
      </c>
      <c r="V32" s="706">
        <f t="shared" si="15"/>
        <v>1340121.2102697452</v>
      </c>
      <c r="W32" s="706">
        <f t="shared" si="15"/>
        <v>1061683.6841743751</v>
      </c>
      <c r="X32" s="706">
        <f t="shared" si="15"/>
        <v>2832228.9897477212</v>
      </c>
      <c r="Y32" s="706">
        <f t="shared" si="15"/>
        <v>1391374.5061714477</v>
      </c>
    </row>
    <row r="33" spans="2:25">
      <c r="B33" s="707"/>
      <c r="C33" s="708"/>
      <c r="D33" s="708"/>
      <c r="E33" s="708"/>
      <c r="F33" s="700"/>
      <c r="G33" s="701"/>
      <c r="H33" s="701"/>
      <c r="I33" s="709"/>
      <c r="J33" s="710"/>
      <c r="K33" s="710"/>
      <c r="L33" s="709"/>
      <c r="M33" s="710"/>
      <c r="N33" s="710"/>
      <c r="O33" s="709"/>
      <c r="P33" s="710"/>
      <c r="Q33" s="710"/>
      <c r="R33" s="709"/>
      <c r="S33" s="710"/>
      <c r="T33" s="710"/>
      <c r="U33" s="709"/>
      <c r="V33" s="710"/>
      <c r="W33" s="710"/>
      <c r="X33" s="709"/>
      <c r="Y33" s="710"/>
    </row>
    <row r="34" spans="2:25">
      <c r="B34" s="711" t="s">
        <v>357</v>
      </c>
      <c r="C34" s="679"/>
      <c r="D34" s="679"/>
      <c r="E34" s="679"/>
      <c r="F34" s="712">
        <f>F35+F36</f>
        <v>168000</v>
      </c>
      <c r="G34" s="677"/>
      <c r="H34" s="677">
        <f>SUM(H35:H36)</f>
        <v>104400</v>
      </c>
      <c r="I34" s="682"/>
      <c r="J34" s="682"/>
      <c r="K34" s="683"/>
      <c r="L34" s="682"/>
      <c r="M34" s="682"/>
      <c r="N34" s="683"/>
      <c r="O34" s="713"/>
      <c r="P34" s="682"/>
      <c r="Q34" s="682"/>
      <c r="R34" s="682"/>
      <c r="S34" s="682"/>
      <c r="T34" s="682"/>
      <c r="U34" s="682"/>
      <c r="V34" s="682"/>
      <c r="W34" s="682"/>
      <c r="X34" s="682"/>
      <c r="Y34" s="682"/>
    </row>
    <row r="35" spans="2:25">
      <c r="B35" s="688" t="s">
        <v>358</v>
      </c>
      <c r="C35" s="679">
        <f>[1]HPwES!D32</f>
        <v>69035.735480464617</v>
      </c>
      <c r="D35" s="679">
        <f>[1]HPwES!E32</f>
        <v>0</v>
      </c>
      <c r="E35" s="679">
        <f>[1]HPwES!F32</f>
        <v>0</v>
      </c>
      <c r="F35" s="714">
        <f>ROUND(SUM(C35:E35),-2)</f>
        <v>69000</v>
      </c>
      <c r="G35" s="681">
        <v>63620</v>
      </c>
      <c r="H35" s="681">
        <f>ROUND(SUM(F35-G35),-2)</f>
        <v>5400</v>
      </c>
      <c r="I35" s="682">
        <v>0</v>
      </c>
      <c r="J35" s="682">
        <f>[1]HPwES!G17*$C$68^3</f>
        <v>0</v>
      </c>
      <c r="K35" s="683">
        <v>0</v>
      </c>
      <c r="L35" s="682">
        <f t="shared" ref="L35:Y35" si="16">I35*$C$68^3</f>
        <v>0</v>
      </c>
      <c r="M35" s="682">
        <f t="shared" si="16"/>
        <v>0</v>
      </c>
      <c r="N35" s="682">
        <f t="shared" si="16"/>
        <v>0</v>
      </c>
      <c r="O35" s="682">
        <f t="shared" si="16"/>
        <v>0</v>
      </c>
      <c r="P35" s="682">
        <f t="shared" si="16"/>
        <v>0</v>
      </c>
      <c r="Q35" s="682">
        <f t="shared" si="16"/>
        <v>0</v>
      </c>
      <c r="R35" s="682">
        <f t="shared" si="16"/>
        <v>0</v>
      </c>
      <c r="S35" s="682">
        <f t="shared" si="16"/>
        <v>0</v>
      </c>
      <c r="T35" s="682">
        <f t="shared" si="16"/>
        <v>0</v>
      </c>
      <c r="U35" s="682">
        <f t="shared" si="16"/>
        <v>0</v>
      </c>
      <c r="V35" s="682">
        <f t="shared" si="16"/>
        <v>0</v>
      </c>
      <c r="W35" s="682">
        <f t="shared" si="16"/>
        <v>0</v>
      </c>
      <c r="X35" s="682">
        <f t="shared" si="16"/>
        <v>0</v>
      </c>
      <c r="Y35" s="682">
        <f t="shared" si="16"/>
        <v>0</v>
      </c>
    </row>
    <row r="36" spans="2:25">
      <c r="B36" s="688" t="s">
        <v>359</v>
      </c>
      <c r="C36" s="679">
        <f>'[1]TEPF Potential'!F15</f>
        <v>0</v>
      </c>
      <c r="D36" s="679">
        <f>'[1]TEPF Potential'!G15</f>
        <v>99010.654999999999</v>
      </c>
      <c r="E36" s="679">
        <f>'[1]TEPF Potential'!H15</f>
        <v>0</v>
      </c>
      <c r="F36" s="714">
        <f>ROUND(SUM(C36:E36),-2)</f>
        <v>99000</v>
      </c>
      <c r="G36" s="681"/>
      <c r="H36" s="681">
        <f>F36-G36</f>
        <v>99000</v>
      </c>
      <c r="I36" s="682">
        <v>0</v>
      </c>
      <c r="J36" s="682">
        <f>D36*1.02</f>
        <v>100990.86810000001</v>
      </c>
      <c r="K36" s="683">
        <v>0</v>
      </c>
      <c r="L36" s="682">
        <v>0</v>
      </c>
      <c r="M36" s="682">
        <f>J36*1.02</f>
        <v>103010.68546200001</v>
      </c>
      <c r="N36" s="682">
        <v>0</v>
      </c>
      <c r="O36" s="682">
        <v>0</v>
      </c>
      <c r="P36" s="682">
        <f t="shared" ref="P36" si="17">M36*1.02</f>
        <v>105070.89917124002</v>
      </c>
      <c r="Q36" s="682">
        <v>0</v>
      </c>
      <c r="R36" s="682">
        <v>0</v>
      </c>
      <c r="S36" s="682">
        <f t="shared" ref="S36" si="18">P36*1.02</f>
        <v>107172.31715466482</v>
      </c>
      <c r="T36" s="682">
        <v>0</v>
      </c>
      <c r="U36" s="682">
        <v>0</v>
      </c>
      <c r="V36" s="682">
        <f t="shared" ref="V36" si="19">S36*1.02</f>
        <v>109315.76349775812</v>
      </c>
      <c r="W36" s="682">
        <v>0</v>
      </c>
      <c r="X36" s="682">
        <v>0</v>
      </c>
      <c r="Y36" s="682">
        <f t="shared" ref="Y36" si="20">V36*1.02</f>
        <v>111502.07876771328</v>
      </c>
    </row>
    <row r="37" spans="2:25">
      <c r="B37" s="715"/>
      <c r="C37" s="679"/>
      <c r="D37" s="679"/>
      <c r="E37" s="679"/>
      <c r="F37" s="714"/>
      <c r="G37" s="681"/>
      <c r="H37" s="681"/>
      <c r="I37" s="682"/>
      <c r="J37" s="682"/>
      <c r="K37" s="683"/>
      <c r="L37" s="682"/>
      <c r="M37" s="682"/>
      <c r="N37" s="682"/>
      <c r="O37" s="682"/>
      <c r="P37" s="682"/>
      <c r="Q37" s="682"/>
      <c r="R37" s="682"/>
      <c r="S37" s="682"/>
      <c r="T37" s="682"/>
      <c r="U37" s="682"/>
      <c r="V37" s="682"/>
      <c r="W37" s="682"/>
      <c r="X37" s="682"/>
      <c r="Y37" s="682"/>
    </row>
    <row r="38" spans="2:25">
      <c r="B38" s="711" t="s">
        <v>360</v>
      </c>
      <c r="C38" s="679"/>
      <c r="D38" s="679"/>
      <c r="E38" s="679"/>
      <c r="F38" s="712">
        <f>F39+F40+F41+F42</f>
        <v>212200</v>
      </c>
      <c r="G38" s="677"/>
      <c r="H38" s="677">
        <f>SUM(H39:H42)</f>
        <v>77200</v>
      </c>
      <c r="I38" s="682"/>
      <c r="J38" s="682"/>
      <c r="K38" s="683"/>
      <c r="L38" s="682"/>
      <c r="M38" s="682"/>
      <c r="N38" s="682"/>
      <c r="O38" s="682"/>
      <c r="P38" s="682"/>
      <c r="Q38" s="682"/>
      <c r="R38" s="682"/>
      <c r="S38" s="682"/>
      <c r="T38" s="682"/>
      <c r="U38" s="682"/>
      <c r="V38" s="682"/>
      <c r="W38" s="682"/>
      <c r="X38" s="682"/>
      <c r="Y38" s="682"/>
    </row>
    <row r="39" spans="2:25">
      <c r="B39" s="688" t="s">
        <v>338</v>
      </c>
      <c r="C39" s="679">
        <f>'[1]Mkt Characterizations'!F20</f>
        <v>160539.97200000001</v>
      </c>
      <c r="D39" s="679">
        <f>'[1]Mkt Characterizations'!G20</f>
        <v>0</v>
      </c>
      <c r="E39" s="679">
        <f>'[1]Mkt Characterizations'!H20</f>
        <v>0</v>
      </c>
      <c r="F39" s="714">
        <f>ROUND(SUM(C39:E39),-2)</f>
        <v>160500</v>
      </c>
      <c r="G39" s="681">
        <v>135000</v>
      </c>
      <c r="H39" s="681">
        <f>F39-G39</f>
        <v>25500</v>
      </c>
      <c r="I39" s="682">
        <f t="shared" ref="I39:K41" si="21">C39*$C$68^3</f>
        <v>170366.302606176</v>
      </c>
      <c r="J39" s="682">
        <f t="shared" si="21"/>
        <v>0</v>
      </c>
      <c r="K39" s="683">
        <f t="shared" si="21"/>
        <v>0</v>
      </c>
      <c r="L39" s="682">
        <f t="shared" ref="L39:Y41" si="22">I39*$C$68^3</f>
        <v>180794.0832560948</v>
      </c>
      <c r="M39" s="682">
        <f t="shared" si="22"/>
        <v>0</v>
      </c>
      <c r="N39" s="682">
        <f t="shared" si="22"/>
        <v>0</v>
      </c>
      <c r="O39" s="682">
        <f t="shared" si="22"/>
        <v>191860.12750403385</v>
      </c>
      <c r="P39" s="682">
        <f t="shared" si="22"/>
        <v>0</v>
      </c>
      <c r="Q39" s="682">
        <f t="shared" si="22"/>
        <v>0</v>
      </c>
      <c r="R39" s="682">
        <f t="shared" si="22"/>
        <v>203603.50218830074</v>
      </c>
      <c r="S39" s="682">
        <f t="shared" si="22"/>
        <v>0</v>
      </c>
      <c r="T39" s="682">
        <f t="shared" si="22"/>
        <v>0</v>
      </c>
      <c r="U39" s="682">
        <f t="shared" si="22"/>
        <v>216065.66535024223</v>
      </c>
      <c r="V39" s="682">
        <f t="shared" si="22"/>
        <v>0</v>
      </c>
      <c r="W39" s="682">
        <f t="shared" si="22"/>
        <v>0</v>
      </c>
      <c r="X39" s="682">
        <f t="shared" si="22"/>
        <v>229290.61259499984</v>
      </c>
      <c r="Y39" s="682">
        <f t="shared" si="22"/>
        <v>0</v>
      </c>
    </row>
    <row r="40" spans="2:25">
      <c r="B40" s="688" t="s">
        <v>361</v>
      </c>
      <c r="C40" s="679">
        <f>[1]NRA!F20</f>
        <v>459.74399999999997</v>
      </c>
      <c r="D40" s="679">
        <f>[1]NRA!G20</f>
        <v>1195.44</v>
      </c>
      <c r="E40" s="679">
        <f>[1]NRA!H20</f>
        <v>5300.232</v>
      </c>
      <c r="F40" s="714">
        <f>ROUND(SUM(C40:E40),-2)</f>
        <v>7000</v>
      </c>
      <c r="G40" s="681"/>
      <c r="H40" s="681">
        <f t="shared" ref="H40:H42" si="23">F40-G40</f>
        <v>7000</v>
      </c>
      <c r="I40" s="682">
        <f t="shared" si="21"/>
        <v>487.88401075199994</v>
      </c>
      <c r="J40" s="682">
        <f t="shared" si="21"/>
        <v>1268.6104915199999</v>
      </c>
      <c r="K40" s="683">
        <f t="shared" si="21"/>
        <v>5624.6486002559996</v>
      </c>
      <c r="L40" s="682">
        <f t="shared" si="22"/>
        <v>517.74641528210827</v>
      </c>
      <c r="M40" s="682">
        <f t="shared" si="22"/>
        <v>1346.2596024849558</v>
      </c>
      <c r="N40" s="682">
        <f t="shared" si="22"/>
        <v>5968.9220917804687</v>
      </c>
      <c r="O40" s="682">
        <f t="shared" si="22"/>
        <v>549.43663786869547</v>
      </c>
      <c r="P40" s="682">
        <f t="shared" si="22"/>
        <v>1428.661460233855</v>
      </c>
      <c r="Q40" s="682">
        <f t="shared" si="22"/>
        <v>6334.2678751741669</v>
      </c>
      <c r="R40" s="682">
        <f t="shared" si="22"/>
        <v>583.06655559936257</v>
      </c>
      <c r="S40" s="682">
        <f t="shared" si="22"/>
        <v>1516.1069708918487</v>
      </c>
      <c r="T40" s="682">
        <f t="shared" si="22"/>
        <v>6721.975743277827</v>
      </c>
      <c r="U40" s="682">
        <f t="shared" si="22"/>
        <v>618.75489333448832</v>
      </c>
      <c r="V40" s="682">
        <f t="shared" si="22"/>
        <v>1608.9048463661968</v>
      </c>
      <c r="W40" s="682">
        <f t="shared" si="22"/>
        <v>7133.4144345723753</v>
      </c>
      <c r="X40" s="682">
        <f t="shared" si="22"/>
        <v>656.62764284570562</v>
      </c>
      <c r="Y40" s="682">
        <f t="shared" si="22"/>
        <v>1707.3826942025789</v>
      </c>
    </row>
    <row r="41" spans="2:25">
      <c r="B41" s="688" t="s">
        <v>362</v>
      </c>
      <c r="C41" s="679">
        <f>'[1]Admin Efficiency'!F17</f>
        <v>0</v>
      </c>
      <c r="D41" s="679">
        <f>'[1]Admin Efficiency'!G17</f>
        <v>19037.0442</v>
      </c>
      <c r="E41" s="679">
        <f>'[1]Admin Efficiency'!H17</f>
        <v>0</v>
      </c>
      <c r="F41" s="714">
        <f>ROUND(SUM(C41:E41),-2)</f>
        <v>19000</v>
      </c>
      <c r="G41" s="681"/>
      <c r="H41" s="681">
        <f t="shared" si="23"/>
        <v>19000</v>
      </c>
      <c r="I41" s="682">
        <f t="shared" si="21"/>
        <v>0</v>
      </c>
      <c r="J41" s="682">
        <f t="shared" si="21"/>
        <v>20202.263601393599</v>
      </c>
      <c r="K41" s="683">
        <f t="shared" si="21"/>
        <v>0</v>
      </c>
      <c r="L41" s="682">
        <f t="shared" si="22"/>
        <v>0</v>
      </c>
      <c r="M41" s="682">
        <f t="shared" si="22"/>
        <v>21438.803751907697</v>
      </c>
      <c r="N41" s="682">
        <f t="shared" si="22"/>
        <v>0</v>
      </c>
      <c r="O41" s="682">
        <f t="shared" si="22"/>
        <v>0</v>
      </c>
      <c r="P41" s="682">
        <f t="shared" si="22"/>
        <v>22751.030051954462</v>
      </c>
      <c r="Q41" s="682">
        <f t="shared" si="22"/>
        <v>0</v>
      </c>
      <c r="R41" s="682">
        <f t="shared" si="22"/>
        <v>0</v>
      </c>
      <c r="S41" s="682">
        <f t="shared" si="22"/>
        <v>24143.575099374488</v>
      </c>
      <c r="T41" s="682">
        <f t="shared" si="22"/>
        <v>0</v>
      </c>
      <c r="U41" s="682">
        <f t="shared" si="22"/>
        <v>0</v>
      </c>
      <c r="V41" s="682">
        <f t="shared" si="22"/>
        <v>25621.355044057</v>
      </c>
      <c r="W41" s="682">
        <f t="shared" si="22"/>
        <v>0</v>
      </c>
      <c r="X41" s="682">
        <f t="shared" si="22"/>
        <v>0</v>
      </c>
      <c r="Y41" s="682">
        <f t="shared" si="22"/>
        <v>27189.58694359364</v>
      </c>
    </row>
    <row r="42" spans="2:25">
      <c r="B42" s="688" t="s">
        <v>346</v>
      </c>
      <c r="C42" s="679">
        <f>[1]OPA!F20*0.12</f>
        <v>25684.41</v>
      </c>
      <c r="D42" s="679">
        <f>[1]OPA!G20*0.12</f>
        <v>0</v>
      </c>
      <c r="E42" s="679">
        <f>[1]OPA!H20*0.12</f>
        <v>0</v>
      </c>
      <c r="F42" s="714">
        <f>ROUND(SUM(C42:E42),-2)</f>
        <v>25700</v>
      </c>
      <c r="G42" s="681"/>
      <c r="H42" s="681">
        <f t="shared" si="23"/>
        <v>25700</v>
      </c>
      <c r="I42" s="682"/>
      <c r="J42" s="682"/>
      <c r="K42" s="683"/>
      <c r="L42" s="682"/>
      <c r="M42" s="682"/>
      <c r="N42" s="682"/>
      <c r="O42" s="682"/>
      <c r="P42" s="682"/>
      <c r="Q42" s="682"/>
      <c r="R42" s="682"/>
      <c r="S42" s="682"/>
      <c r="T42" s="682"/>
      <c r="U42" s="682"/>
      <c r="V42" s="682"/>
      <c r="W42" s="682"/>
      <c r="X42" s="682"/>
      <c r="Y42" s="682"/>
    </row>
    <row r="43" spans="2:25">
      <c r="B43" s="688"/>
      <c r="C43" s="679"/>
      <c r="D43" s="679"/>
      <c r="E43" s="679"/>
      <c r="F43" s="714"/>
      <c r="G43" s="681"/>
      <c r="H43" s="681"/>
      <c r="I43" s="682"/>
      <c r="J43" s="682"/>
      <c r="K43" s="683"/>
      <c r="L43" s="682"/>
      <c r="M43" s="682"/>
      <c r="N43" s="682"/>
      <c r="O43" s="682"/>
      <c r="P43" s="682"/>
      <c r="Q43" s="682"/>
      <c r="R43" s="682"/>
      <c r="S43" s="682"/>
      <c r="T43" s="682"/>
      <c r="U43" s="682"/>
      <c r="V43" s="682"/>
      <c r="W43" s="682"/>
      <c r="X43" s="682"/>
      <c r="Y43" s="682"/>
    </row>
    <row r="44" spans="2:25">
      <c r="B44" s="711" t="s">
        <v>363</v>
      </c>
      <c r="C44" s="679"/>
      <c r="D44" s="679"/>
      <c r="E44" s="679"/>
      <c r="F44" s="712">
        <f>F45+F46+F47+F48</f>
        <v>23300</v>
      </c>
      <c r="G44" s="677"/>
      <c r="H44" s="677">
        <f>SUM(H45:H48)</f>
        <v>23300</v>
      </c>
      <c r="I44" s="682"/>
      <c r="J44" s="682"/>
      <c r="K44" s="683"/>
      <c r="L44" s="682"/>
      <c r="M44" s="682"/>
      <c r="N44" s="682"/>
      <c r="O44" s="682"/>
      <c r="P44" s="682"/>
      <c r="Q44" s="682"/>
      <c r="R44" s="682"/>
      <c r="S44" s="682"/>
      <c r="T44" s="682"/>
      <c r="U44" s="682"/>
      <c r="V44" s="682"/>
      <c r="W44" s="682"/>
      <c r="X44" s="682"/>
      <c r="Y44" s="682"/>
    </row>
    <row r="45" spans="2:25">
      <c r="B45" s="690" t="s">
        <v>348</v>
      </c>
      <c r="C45" s="679">
        <f>'[1]Plan&amp;Mgmt'!C15</f>
        <v>1106.259</v>
      </c>
      <c r="D45" s="679">
        <f>'[1]Plan&amp;Mgmt'!D15</f>
        <v>1150.6110000000001</v>
      </c>
      <c r="E45" s="679">
        <f>'[1]Plan&amp;Mgmt'!E15</f>
        <v>1994.3</v>
      </c>
      <c r="F45" s="714">
        <f>ROUND(SUM(C45:E45),-2)</f>
        <v>4300</v>
      </c>
      <c r="G45" s="681"/>
      <c r="H45" s="681">
        <f>F45</f>
        <v>4300</v>
      </c>
      <c r="I45" s="682">
        <f t="shared" ref="I45:K48" si="24">C45*$C$68^3</f>
        <v>1173.9709008719999</v>
      </c>
      <c r="J45" s="682">
        <f t="shared" si="24"/>
        <v>1221.0375980880001</v>
      </c>
      <c r="K45" s="683">
        <f t="shared" si="24"/>
        <v>2116.3671144</v>
      </c>
      <c r="L45" s="682">
        <f t="shared" ref="L45:Y48" si="25">I45*$C$68^3</f>
        <v>1245.8273117725732</v>
      </c>
      <c r="M45" s="682">
        <f t="shared" si="25"/>
        <v>1295.7748673917704</v>
      </c>
      <c r="N45" s="682">
        <f t="shared" si="25"/>
        <v>2245.9057127381952</v>
      </c>
      <c r="O45" s="682">
        <f t="shared" si="25"/>
        <v>1322.0819098715488</v>
      </c>
      <c r="P45" s="682">
        <f t="shared" si="25"/>
        <v>1375.0866554750858</v>
      </c>
      <c r="Q45" s="682">
        <f t="shared" si="25"/>
        <v>2383.3731096034744</v>
      </c>
      <c r="R45" s="682">
        <f t="shared" si="25"/>
        <v>1403.0038994109664</v>
      </c>
      <c r="S45" s="682">
        <f t="shared" si="25"/>
        <v>1459.2529594834048</v>
      </c>
      <c r="T45" s="682">
        <f t="shared" si="25"/>
        <v>2529.2546108960837</v>
      </c>
      <c r="U45" s="682">
        <f t="shared" si="25"/>
        <v>1488.8789620861128</v>
      </c>
      <c r="V45" s="682">
        <f t="shared" si="25"/>
        <v>1548.5709146274648</v>
      </c>
      <c r="W45" s="682">
        <f t="shared" si="25"/>
        <v>2684.065227119811</v>
      </c>
      <c r="X45" s="682">
        <f t="shared" si="25"/>
        <v>1580.0102655974795</v>
      </c>
      <c r="Y45" s="682">
        <f t="shared" si="25"/>
        <v>1643.3558431699826</v>
      </c>
    </row>
    <row r="46" spans="2:25">
      <c r="B46" s="688" t="s">
        <v>349</v>
      </c>
      <c r="C46" s="679">
        <f>'[1]Plan&amp;Mgmt'!C38</f>
        <v>3360.5</v>
      </c>
      <c r="D46" s="679">
        <f>'[1]Plan&amp;Mgmt'!D38</f>
        <v>3360.5</v>
      </c>
      <c r="E46" s="679">
        <f>'[1]Plan&amp;Mgmt'!E38</f>
        <v>3360.5</v>
      </c>
      <c r="F46" s="714">
        <f>ROUND(SUM(C46:E46),-2)</f>
        <v>10100</v>
      </c>
      <c r="G46" s="681"/>
      <c r="H46" s="681">
        <f t="shared" ref="H46:H48" si="26">F46</f>
        <v>10100</v>
      </c>
      <c r="I46" s="682">
        <f t="shared" si="24"/>
        <v>3566.1894839999995</v>
      </c>
      <c r="J46" s="682">
        <f t="shared" si="24"/>
        <v>3566.1894839999995</v>
      </c>
      <c r="K46" s="683">
        <f t="shared" si="24"/>
        <v>3566.1894839999995</v>
      </c>
      <c r="L46" s="682">
        <f t="shared" si="25"/>
        <v>3784.4688099366713</v>
      </c>
      <c r="M46" s="682">
        <f t="shared" si="25"/>
        <v>3784.4688099366713</v>
      </c>
      <c r="N46" s="682">
        <f t="shared" si="25"/>
        <v>3784.4688099366713</v>
      </c>
      <c r="O46" s="682">
        <f t="shared" si="25"/>
        <v>4016.1085768552748</v>
      </c>
      <c r="P46" s="682">
        <f t="shared" si="25"/>
        <v>4016.1085768552748</v>
      </c>
      <c r="Q46" s="682">
        <f t="shared" si="25"/>
        <v>4016.1085768552748</v>
      </c>
      <c r="R46" s="682">
        <f t="shared" si="25"/>
        <v>4261.9265506274323</v>
      </c>
      <c r="S46" s="682">
        <f t="shared" si="25"/>
        <v>4261.9265506274323</v>
      </c>
      <c r="T46" s="682">
        <f t="shared" si="25"/>
        <v>4261.9265506274323</v>
      </c>
      <c r="U46" s="682">
        <f t="shared" si="25"/>
        <v>4522.7905509382363</v>
      </c>
      <c r="V46" s="682">
        <f t="shared" si="25"/>
        <v>4522.7905509382363</v>
      </c>
      <c r="W46" s="682">
        <f t="shared" si="25"/>
        <v>4522.7905509382363</v>
      </c>
      <c r="X46" s="682">
        <f t="shared" si="25"/>
        <v>4799.6215149800637</v>
      </c>
      <c r="Y46" s="682">
        <f t="shared" si="25"/>
        <v>4799.6215149800637</v>
      </c>
    </row>
    <row r="47" spans="2:25">
      <c r="B47" s="693" t="s">
        <v>350</v>
      </c>
      <c r="C47" s="679">
        <f>'[1]Plan&amp;Mgmt'!F63</f>
        <v>2898.5519999999997</v>
      </c>
      <c r="D47" s="679">
        <f>'[1]Plan&amp;Mgmt'!G63</f>
        <v>2264.808</v>
      </c>
      <c r="E47" s="679">
        <f>'[1]Plan&amp;Mgmt'!H63</f>
        <v>2964.24</v>
      </c>
      <c r="F47" s="714">
        <f>ROUND(SUM(C47:E47),-2)</f>
        <v>8100</v>
      </c>
      <c r="G47" s="681"/>
      <c r="H47" s="681">
        <f t="shared" si="26"/>
        <v>8100</v>
      </c>
      <c r="I47" s="682">
        <f t="shared" si="24"/>
        <v>3075.9665708159996</v>
      </c>
      <c r="J47" s="682">
        <f t="shared" si="24"/>
        <v>2403.432368064</v>
      </c>
      <c r="K47" s="683">
        <f t="shared" si="24"/>
        <v>3145.6752019199994</v>
      </c>
      <c r="L47" s="682">
        <f t="shared" si="25"/>
        <v>3264.2403326825051</v>
      </c>
      <c r="M47" s="682">
        <f t="shared" si="25"/>
        <v>2550.5416564484613</v>
      </c>
      <c r="N47" s="682">
        <f t="shared" si="25"/>
        <v>3338.2156896791184</v>
      </c>
      <c r="O47" s="682">
        <f t="shared" si="25"/>
        <v>3464.0379549653358</v>
      </c>
      <c r="P47" s="682">
        <f t="shared" si="25"/>
        <v>2706.6552101563584</v>
      </c>
      <c r="Q47" s="682">
        <f t="shared" si="25"/>
        <v>3542.5411956129979</v>
      </c>
      <c r="R47" s="682">
        <f t="shared" si="25"/>
        <v>3676.0647901128536</v>
      </c>
      <c r="S47" s="682">
        <f t="shared" si="25"/>
        <v>2872.3241622596088</v>
      </c>
      <c r="T47" s="682">
        <f t="shared" si="25"/>
        <v>3759.3730571140782</v>
      </c>
      <c r="U47" s="682">
        <f t="shared" si="25"/>
        <v>3901.0693637860809</v>
      </c>
      <c r="V47" s="682">
        <f t="shared" si="25"/>
        <v>3048.1333795831947</v>
      </c>
      <c r="W47" s="682">
        <f t="shared" si="25"/>
        <v>3989.4767631939162</v>
      </c>
      <c r="X47" s="682">
        <f t="shared" si="25"/>
        <v>4139.8460174046986</v>
      </c>
      <c r="Y47" s="682">
        <f t="shared" si="25"/>
        <v>3234.7035274807226</v>
      </c>
    </row>
    <row r="48" spans="2:25">
      <c r="B48" s="690" t="s">
        <v>352</v>
      </c>
      <c r="C48" s="679">
        <f>'[1]Plan&amp;Mgmt'!D73</f>
        <v>72</v>
      </c>
      <c r="D48" s="679">
        <f>'[1]Plan&amp;Mgmt'!E73</f>
        <v>672</v>
      </c>
      <c r="E48" s="679">
        <f>'[1]Plan&amp;Mgmt'!F73</f>
        <v>72</v>
      </c>
      <c r="F48" s="714">
        <f>ROUND(SUM(C48:E48),-2)</f>
        <v>800</v>
      </c>
      <c r="G48" s="681"/>
      <c r="H48" s="681">
        <f t="shared" si="26"/>
        <v>800</v>
      </c>
      <c r="I48" s="682">
        <f t="shared" si="24"/>
        <v>76.406976</v>
      </c>
      <c r="J48" s="682">
        <f t="shared" si="24"/>
        <v>713.13177599999995</v>
      </c>
      <c r="K48" s="683">
        <f t="shared" si="24"/>
        <v>76.406976</v>
      </c>
      <c r="L48" s="682">
        <f t="shared" si="25"/>
        <v>81.083694187007993</v>
      </c>
      <c r="M48" s="682">
        <f t="shared" si="25"/>
        <v>756.78114574540791</v>
      </c>
      <c r="N48" s="682">
        <f t="shared" si="25"/>
        <v>81.083694187007993</v>
      </c>
      <c r="O48" s="682">
        <f t="shared" si="25"/>
        <v>86.046664940806366</v>
      </c>
      <c r="P48" s="682">
        <f t="shared" si="25"/>
        <v>803.10220611419277</v>
      </c>
      <c r="Q48" s="682">
        <f t="shared" si="25"/>
        <v>86.046664940806366</v>
      </c>
      <c r="R48" s="682">
        <f t="shared" si="25"/>
        <v>91.313409208503231</v>
      </c>
      <c r="S48" s="682">
        <f t="shared" si="25"/>
        <v>852.25848594603019</v>
      </c>
      <c r="T48" s="682">
        <f t="shared" si="25"/>
        <v>91.313409208503231</v>
      </c>
      <c r="U48" s="682">
        <f t="shared" si="25"/>
        <v>96.902520359337288</v>
      </c>
      <c r="V48" s="682">
        <f t="shared" si="25"/>
        <v>904.42352335381474</v>
      </c>
      <c r="W48" s="682">
        <f t="shared" si="25"/>
        <v>96.902520359337288</v>
      </c>
      <c r="X48" s="682">
        <f t="shared" si="25"/>
        <v>102.8337298254916</v>
      </c>
      <c r="Y48" s="682">
        <f t="shared" si="25"/>
        <v>959.78147837125493</v>
      </c>
    </row>
    <row r="49" spans="2:26">
      <c r="B49" s="690"/>
      <c r="C49" s="679"/>
      <c r="D49" s="679"/>
      <c r="E49" s="679"/>
      <c r="F49" s="714"/>
      <c r="G49" s="681"/>
      <c r="H49" s="681"/>
      <c r="I49" s="682"/>
      <c r="J49" s="682"/>
      <c r="K49" s="683"/>
      <c r="L49" s="682"/>
      <c r="M49" s="682"/>
      <c r="N49" s="683"/>
      <c r="O49" s="682"/>
      <c r="P49" s="682"/>
      <c r="Q49" s="682"/>
      <c r="R49" s="682"/>
      <c r="S49" s="682"/>
      <c r="T49" s="682"/>
      <c r="U49" s="682"/>
      <c r="V49" s="682"/>
      <c r="W49" s="682"/>
      <c r="X49" s="682"/>
      <c r="Y49" s="682"/>
    </row>
    <row r="50" spans="2:26">
      <c r="B50" s="711" t="s">
        <v>364</v>
      </c>
      <c r="C50" s="679">
        <f>(SUM(C35:C41))*0.1</f>
        <v>23003.545148046465</v>
      </c>
      <c r="D50" s="679">
        <f>(SUM(D35:D41))*0.1</f>
        <v>11924.313920000001</v>
      </c>
      <c r="E50" s="679">
        <f>(SUM(E35:E41))*0.1</f>
        <v>530.02319999999997</v>
      </c>
      <c r="F50" s="712">
        <f>ROUND(SUM(C50:E50),-2)</f>
        <v>35500</v>
      </c>
      <c r="G50" s="677"/>
      <c r="H50" s="677">
        <f>F50</f>
        <v>35500</v>
      </c>
      <c r="I50" s="682">
        <f>C50*$C$68^3</f>
        <v>24411.546139468093</v>
      </c>
      <c r="J50" s="682">
        <f>D50*$C$68^3</f>
        <v>12654.17732641536</v>
      </c>
      <c r="K50" s="682">
        <f>E50*$C$68^3</f>
        <v>562.46486002559993</v>
      </c>
      <c r="L50" s="682">
        <f>I50*$C$68^3</f>
        <v>25905.728055572654</v>
      </c>
      <c r="M50" s="682">
        <f>J50*$C$68^3</f>
        <v>13428.714212210591</v>
      </c>
      <c r="N50" s="682">
        <f>K50*$C$68^3</f>
        <v>596.89220917804687</v>
      </c>
      <c r="O50" s="682">
        <f t="shared" ref="O50:Y50" si="27">L50*$C$68^3</f>
        <v>27491.365858398141</v>
      </c>
      <c r="P50" s="682">
        <f t="shared" si="27"/>
        <v>14250.658951711575</v>
      </c>
      <c r="Q50" s="682">
        <f t="shared" si="27"/>
        <v>633.42678751741676</v>
      </c>
      <c r="R50" s="682">
        <f t="shared" si="27"/>
        <v>29174.057379858972</v>
      </c>
      <c r="S50" s="682">
        <f t="shared" si="27"/>
        <v>15122.913284827937</v>
      </c>
      <c r="T50" s="682">
        <f t="shared" si="27"/>
        <v>672.19757432778272</v>
      </c>
      <c r="U50" s="682">
        <f t="shared" si="27"/>
        <v>30959.743083965379</v>
      </c>
      <c r="V50" s="682">
        <f t="shared" si="27"/>
        <v>16048.556561165684</v>
      </c>
      <c r="W50" s="682">
        <f t="shared" si="27"/>
        <v>713.34144345723757</v>
      </c>
      <c r="X50" s="682">
        <f t="shared" si="27"/>
        <v>32854.727038648729</v>
      </c>
      <c r="Y50" s="682">
        <f t="shared" si="27"/>
        <v>17030.856611161511</v>
      </c>
    </row>
    <row r="51" spans="2:26">
      <c r="B51" s="715"/>
      <c r="C51" s="679"/>
      <c r="D51" s="679"/>
      <c r="E51" s="679"/>
      <c r="F51" s="714"/>
      <c r="G51" s="681"/>
      <c r="H51" s="681"/>
      <c r="I51" s="697"/>
      <c r="J51" s="697"/>
      <c r="K51" s="716"/>
      <c r="L51" s="697"/>
      <c r="M51" s="697"/>
      <c r="N51" s="716"/>
      <c r="O51" s="697"/>
      <c r="P51" s="697"/>
      <c r="Q51" s="697"/>
      <c r="R51" s="697"/>
      <c r="S51" s="697"/>
      <c r="T51" s="697"/>
      <c r="U51" s="697"/>
      <c r="V51" s="697"/>
      <c r="W51" s="697"/>
      <c r="X51" s="697"/>
      <c r="Y51" s="697"/>
    </row>
    <row r="52" spans="2:26">
      <c r="B52" s="698" t="s">
        <v>365</v>
      </c>
      <c r="C52" s="679">
        <f>SUM(C35:C51)</f>
        <v>286160.71762851108</v>
      </c>
      <c r="D52" s="679">
        <f>SUM(D35:D51)</f>
        <v>138615.37212000001</v>
      </c>
      <c r="E52" s="679">
        <f>SUM(E35:E51)</f>
        <v>14221.295199999999</v>
      </c>
      <c r="F52" s="714"/>
      <c r="G52" s="681"/>
      <c r="H52" s="681"/>
      <c r="I52" s="702"/>
      <c r="J52" s="703"/>
      <c r="K52" s="703"/>
      <c r="L52" s="702"/>
      <c r="M52" s="703"/>
      <c r="N52" s="703"/>
      <c r="O52" s="702"/>
      <c r="P52" s="703"/>
      <c r="Q52" s="703"/>
      <c r="R52" s="702"/>
      <c r="S52" s="703"/>
      <c r="T52" s="703"/>
      <c r="U52" s="702"/>
      <c r="V52" s="703"/>
      <c r="W52" s="703"/>
      <c r="X52" s="702"/>
      <c r="Y52" s="703"/>
    </row>
    <row r="53" spans="2:26">
      <c r="B53" s="704" t="s">
        <v>366</v>
      </c>
      <c r="C53" s="801">
        <f>F50+F44+F38+F34</f>
        <v>439000</v>
      </c>
      <c r="D53" s="803"/>
      <c r="E53" s="803"/>
      <c r="F53" s="803"/>
      <c r="G53" s="717"/>
      <c r="H53" s="705">
        <f>SUM(H34+H38+H44+H50)</f>
        <v>240400</v>
      </c>
      <c r="I53" s="706">
        <f>SUM(I35:I52)</f>
        <v>203158.26668808408</v>
      </c>
      <c r="J53" s="706">
        <f t="shared" ref="J53:Y53" si="28">SUM(J35:J52)</f>
        <v>143019.71074548096</v>
      </c>
      <c r="K53" s="706">
        <f t="shared" si="28"/>
        <v>15091.7522366016</v>
      </c>
      <c r="L53" s="706">
        <f t="shared" si="28"/>
        <v>215593.17787552832</v>
      </c>
      <c r="M53" s="706">
        <f t="shared" si="28"/>
        <v>147612.02950812556</v>
      </c>
      <c r="N53" s="706">
        <f t="shared" si="28"/>
        <v>16015.488207499508</v>
      </c>
      <c r="O53" s="706">
        <f t="shared" si="28"/>
        <v>228789.20510693366</v>
      </c>
      <c r="P53" s="706">
        <f t="shared" si="28"/>
        <v>152402.20228374083</v>
      </c>
      <c r="Q53" s="706">
        <f t="shared" si="28"/>
        <v>16995.764209704135</v>
      </c>
      <c r="R53" s="706">
        <f t="shared" si="28"/>
        <v>242792.93477311882</v>
      </c>
      <c r="S53" s="706">
        <f t="shared" si="28"/>
        <v>157400.67466807555</v>
      </c>
      <c r="T53" s="706">
        <f t="shared" si="28"/>
        <v>18036.040945451707</v>
      </c>
      <c r="U53" s="706">
        <f t="shared" si="28"/>
        <v>257653.80472471187</v>
      </c>
      <c r="V53" s="706">
        <f t="shared" si="28"/>
        <v>162618.49831784971</v>
      </c>
      <c r="W53" s="706">
        <f t="shared" si="28"/>
        <v>19139.990939640913</v>
      </c>
      <c r="X53" s="706">
        <f t="shared" si="28"/>
        <v>273424.27880430198</v>
      </c>
      <c r="Y53" s="706">
        <f t="shared" si="28"/>
        <v>168067.36738067307</v>
      </c>
    </row>
    <row r="54" spans="2:26">
      <c r="B54" s="711"/>
      <c r="C54" s="679"/>
      <c r="D54" s="679"/>
      <c r="E54" s="679"/>
      <c r="F54" s="714"/>
      <c r="G54" s="681"/>
      <c r="H54" s="681"/>
      <c r="I54" s="709"/>
      <c r="J54" s="710"/>
      <c r="K54" s="710"/>
      <c r="L54" s="709"/>
      <c r="M54" s="710"/>
      <c r="N54" s="710"/>
      <c r="O54" s="709"/>
      <c r="P54" s="710"/>
      <c r="Q54" s="710"/>
      <c r="R54" s="709"/>
      <c r="S54" s="710"/>
      <c r="T54" s="710"/>
      <c r="U54" s="709"/>
      <c r="V54" s="710"/>
      <c r="W54" s="710"/>
      <c r="X54" s="709"/>
      <c r="Y54" s="710"/>
    </row>
    <row r="55" spans="2:26">
      <c r="B55" s="711" t="s">
        <v>367</v>
      </c>
      <c r="C55" s="679"/>
      <c r="D55" s="679"/>
      <c r="E55" s="679"/>
      <c r="F55" s="712">
        <f>SUM(F56:F57)</f>
        <v>1882000</v>
      </c>
      <c r="G55" s="677"/>
      <c r="H55" s="677">
        <f>F55</f>
        <v>1882000</v>
      </c>
      <c r="I55" s="713"/>
      <c r="J55" s="713"/>
      <c r="K55" s="718"/>
      <c r="L55" s="713"/>
      <c r="M55" s="713"/>
      <c r="N55" s="718"/>
      <c r="O55" s="713"/>
      <c r="P55" s="713"/>
      <c r="Q55" s="713"/>
      <c r="R55" s="713"/>
      <c r="S55" s="713"/>
      <c r="T55" s="713"/>
      <c r="U55" s="713"/>
      <c r="V55" s="713"/>
      <c r="W55" s="713"/>
      <c r="X55" s="713"/>
      <c r="Y55" s="713"/>
    </row>
    <row r="56" spans="2:26">
      <c r="B56" s="719" t="s">
        <v>368</v>
      </c>
      <c r="C56" s="708">
        <f>[1]SVFCM!F15</f>
        <v>632134.18999999994</v>
      </c>
      <c r="D56" s="708">
        <f>[1]SVFCM!G15</f>
        <v>555384.1</v>
      </c>
      <c r="E56" s="708">
        <f>[1]SVFCM!H15</f>
        <v>634757.80000000005</v>
      </c>
      <c r="F56" s="714">
        <f>ROUND(SUM(C56:E56),-2)</f>
        <v>1822300</v>
      </c>
      <c r="G56" s="681"/>
      <c r="H56" s="681">
        <f>F56</f>
        <v>1822300</v>
      </c>
      <c r="I56" s="682">
        <f>E56*1.026</f>
        <v>651261.50280000002</v>
      </c>
      <c r="J56" s="682">
        <f>I56*$C$68</f>
        <v>664286.73285600008</v>
      </c>
      <c r="K56" s="683">
        <f>J56*$C$68</f>
        <v>677572.46751312003</v>
      </c>
      <c r="L56" s="683">
        <v>618656.97622271418</v>
      </c>
      <c r="M56" s="683">
        <v>618656.97622271418</v>
      </c>
      <c r="N56" s="683">
        <v>618656.97622271418</v>
      </c>
      <c r="O56" s="683">
        <v>618656.97622271418</v>
      </c>
      <c r="P56" s="683">
        <v>618656.97622271418</v>
      </c>
      <c r="Q56" s="683">
        <v>618656.97622271418</v>
      </c>
      <c r="R56" s="683">
        <v>618656.97622271418</v>
      </c>
      <c r="S56" s="683">
        <v>618656.97622271418</v>
      </c>
      <c r="T56" s="683">
        <v>618656.97622271418</v>
      </c>
      <c r="U56" s="683">
        <v>618656.97622271418</v>
      </c>
      <c r="V56" s="683">
        <v>618656.97622271418</v>
      </c>
      <c r="W56" s="683">
        <v>618656.97622271418</v>
      </c>
      <c r="X56" s="683">
        <v>618656.97622271418</v>
      </c>
      <c r="Y56" s="683">
        <v>618656.97622271418</v>
      </c>
    </row>
    <row r="57" spans="2:26">
      <c r="B57" s="688" t="s">
        <v>345</v>
      </c>
      <c r="C57" s="708">
        <f>[1]Regional!F20</f>
        <v>19472.580000000002</v>
      </c>
      <c r="D57" s="708">
        <f>[1]Regional!G20</f>
        <v>19883.2</v>
      </c>
      <c r="E57" s="708">
        <f>[1]Regional!H20</f>
        <v>20302.727599999998</v>
      </c>
      <c r="F57" s="714">
        <f>ROUND(SUM(C57:E57),-2)</f>
        <v>59700</v>
      </c>
      <c r="G57" s="681"/>
      <c r="H57" s="681">
        <f>F57</f>
        <v>59700</v>
      </c>
      <c r="I57" s="682">
        <f>E57*1.026</f>
        <v>20830.598517599999</v>
      </c>
      <c r="J57" s="682">
        <f t="shared" ref="J57:Y57" si="29">I57*$C$68</f>
        <v>21247.210487952001</v>
      </c>
      <c r="K57" s="683">
        <f t="shared" si="29"/>
        <v>21672.154697711041</v>
      </c>
      <c r="L57" s="682">
        <f t="shared" si="29"/>
        <v>22105.597791665263</v>
      </c>
      <c r="M57" s="682">
        <f t="shared" si="29"/>
        <v>22547.709747498568</v>
      </c>
      <c r="N57" s="683">
        <f t="shared" si="29"/>
        <v>22998.66394244854</v>
      </c>
      <c r="O57" s="682">
        <f t="shared" si="29"/>
        <v>23458.637221297511</v>
      </c>
      <c r="P57" s="682">
        <f t="shared" si="29"/>
        <v>23927.809965723463</v>
      </c>
      <c r="Q57" s="682">
        <f t="shared" si="29"/>
        <v>24406.366165037933</v>
      </c>
      <c r="R57" s="682">
        <f t="shared" si="29"/>
        <v>24894.493488338692</v>
      </c>
      <c r="S57" s="682">
        <f t="shared" si="29"/>
        <v>25392.383358105468</v>
      </c>
      <c r="T57" s="682">
        <f t="shared" si="29"/>
        <v>25900.231025267578</v>
      </c>
      <c r="U57" s="682">
        <f t="shared" si="29"/>
        <v>26418.235645772929</v>
      </c>
      <c r="V57" s="682">
        <f t="shared" si="29"/>
        <v>26946.600358688389</v>
      </c>
      <c r="W57" s="682">
        <f t="shared" si="29"/>
        <v>27485.532365862156</v>
      </c>
      <c r="X57" s="682">
        <f t="shared" si="29"/>
        <v>28035.243013179399</v>
      </c>
      <c r="Y57" s="682">
        <f t="shared" si="29"/>
        <v>28595.947873442987</v>
      </c>
    </row>
    <row r="58" spans="2:26">
      <c r="B58" s="688"/>
      <c r="C58" s="708"/>
      <c r="D58" s="708"/>
      <c r="E58" s="708"/>
      <c r="F58" s="700"/>
      <c r="G58" s="701"/>
      <c r="H58" s="701"/>
      <c r="I58" s="682"/>
      <c r="J58" s="682"/>
      <c r="K58" s="683"/>
      <c r="L58" s="682"/>
      <c r="M58" s="682"/>
      <c r="N58" s="683"/>
      <c r="O58" s="682"/>
      <c r="P58" s="682"/>
      <c r="Q58" s="682"/>
      <c r="R58" s="682"/>
      <c r="S58" s="682"/>
      <c r="T58" s="682"/>
      <c r="U58" s="682"/>
      <c r="V58" s="682"/>
      <c r="W58" s="682"/>
      <c r="X58" s="682"/>
      <c r="Y58" s="682"/>
    </row>
    <row r="59" spans="2:26">
      <c r="B59" s="698" t="s">
        <v>369</v>
      </c>
      <c r="C59" s="679">
        <f>SUM(C56:C58)</f>
        <v>651606.7699999999</v>
      </c>
      <c r="D59" s="679">
        <f>SUM(D56:D58)</f>
        <v>575267.29999999993</v>
      </c>
      <c r="E59" s="679">
        <f>SUM(E56:E58)</f>
        <v>655060.52760000003</v>
      </c>
      <c r="F59" s="700"/>
      <c r="G59" s="701"/>
      <c r="H59" s="701"/>
      <c r="I59" s="702"/>
      <c r="J59" s="703"/>
      <c r="K59" s="703"/>
      <c r="L59" s="702"/>
      <c r="M59" s="703"/>
      <c r="N59" s="703"/>
      <c r="O59" s="702"/>
      <c r="P59" s="703"/>
      <c r="Q59" s="703"/>
      <c r="R59" s="702"/>
      <c r="S59" s="703"/>
      <c r="T59" s="703"/>
      <c r="U59" s="702"/>
      <c r="V59" s="703"/>
      <c r="W59" s="703"/>
      <c r="X59" s="702"/>
      <c r="Y59" s="703"/>
    </row>
    <row r="60" spans="2:26">
      <c r="B60" s="704" t="s">
        <v>370</v>
      </c>
      <c r="C60" s="801">
        <f>F55</f>
        <v>1882000</v>
      </c>
      <c r="D60" s="802"/>
      <c r="E60" s="802"/>
      <c r="F60" s="802"/>
      <c r="G60" s="705"/>
      <c r="H60" s="705">
        <f>C60</f>
        <v>1882000</v>
      </c>
      <c r="I60" s="706">
        <f>SUM(I56:I59)</f>
        <v>672092.1013176</v>
      </c>
      <c r="J60" s="706">
        <f t="shared" ref="J60:Y60" si="30">SUM(J56:J59)</f>
        <v>685533.94334395207</v>
      </c>
      <c r="K60" s="706">
        <f t="shared" si="30"/>
        <v>699244.62221083103</v>
      </c>
      <c r="L60" s="706">
        <f t="shared" si="30"/>
        <v>640762.57401437941</v>
      </c>
      <c r="M60" s="706">
        <f t="shared" si="30"/>
        <v>641204.6859702128</v>
      </c>
      <c r="N60" s="706">
        <f t="shared" si="30"/>
        <v>641655.64016516274</v>
      </c>
      <c r="O60" s="706">
        <f t="shared" si="30"/>
        <v>642115.61344401166</v>
      </c>
      <c r="P60" s="706">
        <f t="shared" si="30"/>
        <v>642584.7861884376</v>
      </c>
      <c r="Q60" s="706">
        <f t="shared" si="30"/>
        <v>643063.34238775214</v>
      </c>
      <c r="R60" s="706">
        <f t="shared" si="30"/>
        <v>643551.46971105284</v>
      </c>
      <c r="S60" s="706">
        <f t="shared" si="30"/>
        <v>644049.35958081961</v>
      </c>
      <c r="T60" s="706">
        <f t="shared" si="30"/>
        <v>644557.2072479818</v>
      </c>
      <c r="U60" s="706">
        <f t="shared" si="30"/>
        <v>645075.21186848707</v>
      </c>
      <c r="V60" s="706">
        <f t="shared" si="30"/>
        <v>645603.57658140257</v>
      </c>
      <c r="W60" s="706">
        <f t="shared" si="30"/>
        <v>646142.50858857634</v>
      </c>
      <c r="X60" s="706">
        <f t="shared" si="30"/>
        <v>646692.21923589357</v>
      </c>
      <c r="Y60" s="706">
        <f t="shared" si="30"/>
        <v>647252.92409615719</v>
      </c>
    </row>
    <row r="61" spans="2:26">
      <c r="B61" s="690"/>
      <c r="C61" s="708"/>
      <c r="D61" s="708"/>
      <c r="E61" s="708"/>
      <c r="F61" s="700"/>
      <c r="G61" s="701"/>
      <c r="H61" s="701"/>
      <c r="I61" s="709"/>
      <c r="J61" s="710"/>
      <c r="K61" s="710"/>
      <c r="L61" s="709"/>
      <c r="M61" s="710"/>
      <c r="N61" s="710"/>
      <c r="O61" s="709"/>
      <c r="P61" s="710"/>
      <c r="Q61" s="710"/>
      <c r="R61" s="709"/>
      <c r="S61" s="710"/>
      <c r="T61" s="710"/>
      <c r="U61" s="709"/>
      <c r="V61" s="710"/>
      <c r="W61" s="710"/>
      <c r="X61" s="709"/>
      <c r="Y61" s="710"/>
    </row>
    <row r="62" spans="2:26">
      <c r="B62" s="720"/>
      <c r="C62" s="131"/>
      <c r="D62" s="131"/>
      <c r="E62" s="131"/>
      <c r="F62" s="721"/>
      <c r="G62" s="721"/>
      <c r="H62" s="721"/>
      <c r="I62" s="722"/>
      <c r="J62" s="722"/>
      <c r="K62" s="722"/>
      <c r="L62" s="722"/>
      <c r="M62" s="722"/>
      <c r="N62" s="722"/>
      <c r="O62" s="722"/>
      <c r="P62" s="722"/>
      <c r="Q62" s="722"/>
      <c r="R62" s="722"/>
      <c r="S62" s="722"/>
      <c r="T62" s="722"/>
      <c r="U62" s="722"/>
      <c r="V62" s="722"/>
      <c r="W62" s="722"/>
      <c r="X62" s="722"/>
      <c r="Y62" s="722"/>
      <c r="Z62" s="723"/>
    </row>
    <row r="63" spans="2:26">
      <c r="B63" s="720"/>
      <c r="C63" s="724" t="s">
        <v>371</v>
      </c>
      <c r="D63" s="725">
        <v>0.88</v>
      </c>
      <c r="E63" s="131"/>
      <c r="F63" s="721"/>
      <c r="G63" s="721"/>
      <c r="H63" s="721"/>
      <c r="I63" s="722"/>
      <c r="J63" s="722"/>
      <c r="K63" s="722"/>
      <c r="L63" s="722"/>
      <c r="M63" s="722"/>
      <c r="N63" s="722"/>
      <c r="O63" s="722"/>
      <c r="P63" s="722"/>
      <c r="Q63" s="722"/>
      <c r="R63" s="722"/>
      <c r="S63" s="722"/>
      <c r="T63" s="722"/>
      <c r="U63" s="722"/>
      <c r="V63" s="722"/>
      <c r="W63" s="722"/>
      <c r="X63" s="722"/>
      <c r="Y63" s="722"/>
      <c r="Z63" s="723"/>
    </row>
    <row r="64" spans="2:26">
      <c r="B64" s="720"/>
      <c r="C64" s="724" t="s">
        <v>372</v>
      </c>
      <c r="D64" s="725">
        <v>0.12</v>
      </c>
      <c r="E64" s="131"/>
      <c r="F64" s="721"/>
      <c r="G64" s="721"/>
      <c r="H64" s="721"/>
      <c r="I64" s="722"/>
      <c r="J64" s="722"/>
      <c r="K64" s="722"/>
      <c r="L64" s="722"/>
      <c r="M64" s="722"/>
      <c r="N64" s="722"/>
      <c r="O64" s="722"/>
      <c r="P64" s="722"/>
      <c r="Q64" s="722"/>
      <c r="R64" s="722"/>
      <c r="S64" s="722"/>
      <c r="T64" s="722"/>
      <c r="U64" s="722"/>
      <c r="V64" s="722"/>
      <c r="W64" s="722"/>
      <c r="X64" s="722"/>
      <c r="Y64" s="722"/>
      <c r="Z64" s="723"/>
    </row>
    <row r="65" spans="1:26" ht="12" customHeight="1">
      <c r="B65" s="723"/>
      <c r="C65" s="723"/>
      <c r="D65" s="723"/>
      <c r="E65" s="723"/>
      <c r="F65" s="723"/>
      <c r="G65" s="723"/>
      <c r="H65" s="723"/>
      <c r="I65" s="723"/>
      <c r="J65" s="723"/>
      <c r="K65" s="723"/>
      <c r="L65" s="723"/>
      <c r="M65" s="723"/>
      <c r="N65" s="723"/>
      <c r="O65" s="723"/>
      <c r="P65" s="723"/>
      <c r="Q65" s="723"/>
      <c r="R65" s="723"/>
      <c r="S65" s="723"/>
      <c r="T65" s="723"/>
      <c r="U65" s="723"/>
      <c r="V65" s="723"/>
      <c r="W65" s="723"/>
      <c r="X65" s="723"/>
      <c r="Y65" s="723"/>
      <c r="Z65" s="723"/>
    </row>
    <row r="66" spans="1:26">
      <c r="A66" s="726" t="s">
        <v>373</v>
      </c>
      <c r="C66" s="143"/>
      <c r="D66" s="143"/>
      <c r="E66" s="143"/>
      <c r="F66" s="143"/>
      <c r="G66" s="143"/>
      <c r="H66" s="143"/>
      <c r="I66" s="143"/>
      <c r="J66" s="143"/>
      <c r="K66" s="143"/>
      <c r="L66" s="143"/>
      <c r="M66" s="143"/>
      <c r="N66" s="143"/>
    </row>
    <row r="67" spans="1:26">
      <c r="A67" s="727" t="s">
        <v>374</v>
      </c>
      <c r="B67" s="726" t="s">
        <v>375</v>
      </c>
      <c r="C67" s="143"/>
      <c r="D67" s="143"/>
      <c r="E67" s="143"/>
      <c r="F67" s="143"/>
      <c r="G67" s="143"/>
      <c r="H67" s="143"/>
      <c r="I67" s="143"/>
      <c r="J67" s="143"/>
      <c r="K67" s="143"/>
      <c r="L67" s="143"/>
      <c r="M67" s="143"/>
      <c r="N67" s="143"/>
    </row>
    <row r="68" spans="1:26">
      <c r="A68" s="728">
        <v>1</v>
      </c>
      <c r="B68" s="250" t="s">
        <v>376</v>
      </c>
      <c r="C68" s="728">
        <v>1.02</v>
      </c>
      <c r="D68" s="143"/>
      <c r="E68" s="143"/>
      <c r="F68" s="143"/>
      <c r="G68" s="143"/>
      <c r="H68" s="143"/>
      <c r="I68" s="143"/>
      <c r="J68" s="143"/>
      <c r="K68" s="143"/>
      <c r="L68" s="143"/>
      <c r="M68" s="143"/>
      <c r="N68" s="143"/>
    </row>
    <row r="69" spans="1:26">
      <c r="A69" s="729">
        <v>2</v>
      </c>
      <c r="B69" s="726" t="s">
        <v>377</v>
      </c>
      <c r="C69" s="143"/>
      <c r="D69" s="143"/>
      <c r="E69" s="143"/>
      <c r="F69" s="143"/>
      <c r="G69" s="143"/>
      <c r="H69" s="143"/>
      <c r="I69" s="143"/>
      <c r="J69" s="143"/>
      <c r="K69" s="143"/>
      <c r="L69" s="143"/>
      <c r="M69" s="143"/>
      <c r="N69" s="143"/>
    </row>
    <row r="70" spans="1:26">
      <c r="A70" s="729">
        <v>3</v>
      </c>
      <c r="B70" s="726" t="s">
        <v>378</v>
      </c>
      <c r="C70" s="143"/>
      <c r="D70" s="143"/>
      <c r="E70" s="143"/>
      <c r="F70" s="143"/>
      <c r="G70" s="143"/>
      <c r="H70" s="143"/>
      <c r="I70" s="143"/>
      <c r="J70" s="143"/>
      <c r="K70" s="143"/>
      <c r="L70" s="143"/>
      <c r="M70" s="143"/>
      <c r="N70" s="143"/>
    </row>
    <row r="71" spans="1:26">
      <c r="A71" s="729">
        <v>4</v>
      </c>
      <c r="B71" s="726" t="s">
        <v>379</v>
      </c>
    </row>
    <row r="72" spans="1:26">
      <c r="A72" s="728">
        <v>5</v>
      </c>
      <c r="B72" s="726" t="s">
        <v>380</v>
      </c>
    </row>
    <row r="73" spans="1:26">
      <c r="A73" s="728">
        <v>6</v>
      </c>
      <c r="B73" s="726" t="s">
        <v>381</v>
      </c>
    </row>
    <row r="74" spans="1:26">
      <c r="A74" s="728">
        <v>7</v>
      </c>
      <c r="B74" s="726" t="s">
        <v>382</v>
      </c>
    </row>
    <row r="75" spans="1:26">
      <c r="A75" s="728">
        <v>8</v>
      </c>
      <c r="B75" s="726" t="s">
        <v>383</v>
      </c>
    </row>
    <row r="76" spans="1:26">
      <c r="A76" s="728">
        <v>9</v>
      </c>
      <c r="B76" s="726" t="s">
        <v>384</v>
      </c>
    </row>
    <row r="77" spans="1:26">
      <c r="A77" s="730">
        <v>10</v>
      </c>
      <c r="B77" s="731" t="s">
        <v>385</v>
      </c>
      <c r="C77" s="732"/>
    </row>
    <row r="78" spans="1:26">
      <c r="A78" s="730">
        <v>11</v>
      </c>
      <c r="B78" s="733" t="s">
        <v>386</v>
      </c>
      <c r="C78" s="732"/>
    </row>
    <row r="79" spans="1:26">
      <c r="A79" s="730">
        <v>12</v>
      </c>
      <c r="B79" s="731" t="s">
        <v>387</v>
      </c>
      <c r="C79" s="732"/>
    </row>
    <row r="80" spans="1:26">
      <c r="A80" s="730">
        <v>13</v>
      </c>
      <c r="B80" s="731" t="s">
        <v>388</v>
      </c>
      <c r="C80" s="732"/>
    </row>
    <row r="81" spans="1:13">
      <c r="A81" s="730"/>
      <c r="B81" s="733"/>
      <c r="C81" s="732"/>
    </row>
    <row r="82" spans="1:13">
      <c r="A82" s="734" t="s">
        <v>162</v>
      </c>
      <c r="B82" s="731" t="s">
        <v>389</v>
      </c>
      <c r="C82" s="735"/>
    </row>
    <row r="83" spans="1:13">
      <c r="A83" s="730"/>
      <c r="B83" s="731" t="s">
        <v>390</v>
      </c>
      <c r="C83" s="735"/>
    </row>
    <row r="84" spans="1:13">
      <c r="B84" s="726" t="s">
        <v>391</v>
      </c>
    </row>
    <row r="88" spans="1:13">
      <c r="B88" s="726"/>
    </row>
    <row r="89" spans="1:13">
      <c r="B89" s="726"/>
      <c r="C89" s="736">
        <v>2015</v>
      </c>
      <c r="D89" s="736">
        <v>2016</v>
      </c>
      <c r="E89" s="736">
        <v>2017</v>
      </c>
      <c r="I89" s="737"/>
      <c r="J89" s="737"/>
      <c r="K89" s="737"/>
      <c r="L89" s="737"/>
      <c r="M89" s="737"/>
    </row>
    <row r="90" spans="1:13">
      <c r="B90" s="726" t="s">
        <v>160</v>
      </c>
      <c r="C90" s="143">
        <f>ROUND(C7+C8+C9+C11+C16+C17+C18+C25+C28+C29,-2)</f>
        <v>763000</v>
      </c>
      <c r="D90" s="143">
        <f t="shared" ref="D90:E90" si="31">ROUND(D7+D8+D9+D11+D16+D17+D18+D25+D28+D29,-2)</f>
        <v>679600</v>
      </c>
      <c r="E90" s="143">
        <f t="shared" si="31"/>
        <v>777700</v>
      </c>
      <c r="F90" s="738"/>
      <c r="G90" s="143">
        <f t="shared" ref="G90:G93" si="32">ROUND(AVERAGE(C90:E90),-2)</f>
        <v>740100</v>
      </c>
      <c r="H90" s="143">
        <f>G90*3</f>
        <v>2220300</v>
      </c>
    </row>
    <row r="91" spans="1:13">
      <c r="B91" s="726" t="s">
        <v>392</v>
      </c>
      <c r="C91" s="143">
        <f>ROUND(C10+C14+C15+C22+C23+C24+C26+C19,-2)</f>
        <v>1426900</v>
      </c>
      <c r="D91" s="143">
        <f t="shared" ref="D91:E91" si="33">ROUND(D10+D14+D15+D22+D23+D24+D26+D19,-2)</f>
        <v>206400</v>
      </c>
      <c r="E91" s="143">
        <f t="shared" si="33"/>
        <v>104500</v>
      </c>
      <c r="F91" s="738"/>
      <c r="G91" s="143">
        <f t="shared" si="32"/>
        <v>579300</v>
      </c>
      <c r="H91" s="143">
        <f t="shared" ref="H91:H94" si="34">G91*3</f>
        <v>1737900</v>
      </c>
    </row>
    <row r="92" spans="1:13">
      <c r="B92" s="726" t="s">
        <v>393</v>
      </c>
      <c r="C92" s="143">
        <f>ROUND(C39+C40+C41+C42+C45+C46+C47+C48,-2)</f>
        <v>194100</v>
      </c>
      <c r="D92" s="143">
        <f t="shared" ref="D92:E92" si="35">ROUND(D39+D40+D41+D42+D45+D46+D47+D48,-2)</f>
        <v>27700</v>
      </c>
      <c r="E92" s="143">
        <f t="shared" si="35"/>
        <v>13700</v>
      </c>
      <c r="G92" s="143">
        <f t="shared" si="32"/>
        <v>78500</v>
      </c>
      <c r="H92" s="143">
        <f t="shared" si="34"/>
        <v>235500</v>
      </c>
    </row>
    <row r="93" spans="1:13">
      <c r="B93" s="726" t="s">
        <v>161</v>
      </c>
      <c r="C93" s="143">
        <f>ROUND(C35+C36+C50,-2)</f>
        <v>92000</v>
      </c>
      <c r="D93" s="143">
        <f t="shared" ref="D93:E93" si="36">ROUND(D35+D36+D50,-2)</f>
        <v>110900</v>
      </c>
      <c r="E93" s="143">
        <f t="shared" si="36"/>
        <v>500</v>
      </c>
      <c r="G93" s="143">
        <f t="shared" si="32"/>
        <v>67800</v>
      </c>
      <c r="H93" s="143">
        <f t="shared" si="34"/>
        <v>203400</v>
      </c>
    </row>
    <row r="94" spans="1:13">
      <c r="B94" s="726" t="s">
        <v>150</v>
      </c>
      <c r="C94" s="143">
        <f>ROUND(C56+C57,-2)</f>
        <v>651600</v>
      </c>
      <c r="D94" s="143">
        <f t="shared" ref="D94:E94" si="37">ROUND(D56+D57,-2)</f>
        <v>575300</v>
      </c>
      <c r="E94" s="143">
        <f t="shared" si="37"/>
        <v>655100</v>
      </c>
      <c r="G94" s="143">
        <f>ROUND(AVERAGE(C94:E94),-2)</f>
        <v>627300</v>
      </c>
      <c r="H94" s="143">
        <f t="shared" si="34"/>
        <v>1881900</v>
      </c>
    </row>
    <row r="95" spans="1:13">
      <c r="B95" s="726"/>
    </row>
    <row r="96" spans="1:13">
      <c r="B96" s="726"/>
    </row>
    <row r="97" spans="2:9">
      <c r="B97" s="726"/>
      <c r="C97" s="736">
        <v>2015</v>
      </c>
      <c r="D97" s="736">
        <v>2016</v>
      </c>
      <c r="E97" s="736">
        <v>2017</v>
      </c>
    </row>
    <row r="98" spans="2:9">
      <c r="B98" s="726" t="s">
        <v>394</v>
      </c>
      <c r="C98" s="143">
        <f>(G90+G91)</f>
        <v>1319400</v>
      </c>
      <c r="D98" s="143">
        <f>(G90+G91)</f>
        <v>1319400</v>
      </c>
      <c r="E98" s="143">
        <f>(G90+G91)</f>
        <v>1319400</v>
      </c>
      <c r="G98" s="738"/>
      <c r="H98" s="738"/>
      <c r="I98" s="738"/>
    </row>
    <row r="99" spans="2:9">
      <c r="B99" s="726" t="s">
        <v>395</v>
      </c>
      <c r="C99" s="143">
        <f>ROUND((G92+G93+G94),-2)</f>
        <v>773600</v>
      </c>
      <c r="D99" s="143">
        <f>ROUND((G92+G93+G94),-2)</f>
        <v>773600</v>
      </c>
      <c r="E99" s="143">
        <f>ROUND((G92+G93+G94),-2)</f>
        <v>773600</v>
      </c>
      <c r="G99" s="738"/>
      <c r="H99" s="738"/>
      <c r="I99" s="738"/>
    </row>
    <row r="100" spans="2:9">
      <c r="B100" s="726"/>
      <c r="C100" s="143">
        <f>C98+C99</f>
        <v>2093000</v>
      </c>
      <c r="D100" s="143">
        <f t="shared" ref="D100:E100" si="38">D98+D99</f>
        <v>2093000</v>
      </c>
      <c r="E100" s="143">
        <f t="shared" si="38"/>
        <v>2093000</v>
      </c>
    </row>
    <row r="101" spans="2:9">
      <c r="B101" s="726"/>
    </row>
    <row r="102" spans="2:9">
      <c r="B102" s="726" t="s">
        <v>396</v>
      </c>
      <c r="C102" s="143">
        <f>ROUND(C98*0.94,-2)</f>
        <v>1240200</v>
      </c>
      <c r="D102" s="143">
        <f t="shared" ref="D102:E103" si="39">ROUND(D98*0.94,-2)</f>
        <v>1240200</v>
      </c>
      <c r="E102" s="143">
        <f t="shared" si="39"/>
        <v>1240200</v>
      </c>
    </row>
    <row r="103" spans="2:9">
      <c r="B103" s="726" t="s">
        <v>397</v>
      </c>
      <c r="C103" s="143">
        <f>ROUND(C99*0.94,-2)</f>
        <v>727200</v>
      </c>
      <c r="D103" s="143">
        <f t="shared" si="39"/>
        <v>727200</v>
      </c>
      <c r="E103" s="143">
        <f t="shared" si="39"/>
        <v>727200</v>
      </c>
    </row>
    <row r="104" spans="2:9">
      <c r="B104" s="726"/>
      <c r="C104" s="143">
        <f>C102+C103</f>
        <v>1967400</v>
      </c>
      <c r="D104" s="143">
        <f t="shared" ref="D104:E104" si="40">D102+D103</f>
        <v>1967400</v>
      </c>
      <c r="E104" s="143">
        <f t="shared" si="40"/>
        <v>1967400</v>
      </c>
    </row>
    <row r="105" spans="2:9">
      <c r="B105" s="726"/>
    </row>
    <row r="106" spans="2:9">
      <c r="B106" s="726" t="s">
        <v>398</v>
      </c>
      <c r="C106" s="143">
        <f>ROUND(C99*0.96,-2)</f>
        <v>742700</v>
      </c>
      <c r="D106" s="143">
        <f t="shared" ref="D106:E106" si="41">ROUND(D99*0.96,-2)</f>
        <v>742700</v>
      </c>
      <c r="E106" s="143">
        <f t="shared" si="41"/>
        <v>742700</v>
      </c>
    </row>
    <row r="107" spans="2:9">
      <c r="B107" s="726" t="s">
        <v>399</v>
      </c>
      <c r="C107" s="143">
        <f>ROUND(C99*0.04,-2)</f>
        <v>30900</v>
      </c>
      <c r="D107" s="143">
        <f t="shared" ref="D107:E107" si="42">ROUND(D99*0.04,-2)</f>
        <v>30900</v>
      </c>
      <c r="E107" s="143">
        <f t="shared" si="42"/>
        <v>30900</v>
      </c>
    </row>
    <row r="108" spans="2:9">
      <c r="B108" s="726"/>
      <c r="C108" s="143">
        <f>C106+C107</f>
        <v>773600</v>
      </c>
      <c r="D108" s="143">
        <f t="shared" ref="D108:E108" si="43">D106+D107</f>
        <v>773600</v>
      </c>
      <c r="E108" s="143">
        <f t="shared" si="43"/>
        <v>773600</v>
      </c>
    </row>
    <row r="109" spans="2:9">
      <c r="B109" s="726"/>
    </row>
    <row r="113" spans="2:23">
      <c r="B113" s="739"/>
      <c r="C113" s="739"/>
      <c r="D113" s="739"/>
      <c r="E113" s="739"/>
      <c r="F113" s="739"/>
      <c r="G113" s="739"/>
      <c r="H113" s="739"/>
      <c r="I113" s="739"/>
      <c r="J113" s="739"/>
      <c r="K113" s="739"/>
      <c r="L113" s="739"/>
      <c r="M113" s="739"/>
      <c r="N113" s="739"/>
      <c r="O113" s="739"/>
      <c r="P113" s="739"/>
      <c r="Q113" s="739"/>
      <c r="R113" s="739"/>
      <c r="S113" s="739"/>
      <c r="T113" s="739"/>
      <c r="U113" s="739"/>
      <c r="V113" s="739"/>
      <c r="W113" s="739"/>
    </row>
    <row r="114" spans="2:23">
      <c r="B114" s="739"/>
      <c r="C114" s="739"/>
      <c r="D114" s="739"/>
      <c r="E114" s="739"/>
      <c r="F114" s="739"/>
      <c r="G114" s="739"/>
      <c r="H114" s="739"/>
      <c r="I114" s="739"/>
      <c r="J114" s="739"/>
      <c r="K114" s="739"/>
      <c r="L114" s="739"/>
      <c r="M114" s="739"/>
      <c r="N114" s="739"/>
      <c r="O114" s="739"/>
      <c r="P114" s="739"/>
      <c r="Q114" s="739"/>
      <c r="R114" s="739"/>
      <c r="S114" s="739"/>
      <c r="T114" s="739"/>
      <c r="U114" s="739"/>
      <c r="V114" s="739"/>
      <c r="W114" s="739"/>
    </row>
    <row r="115" spans="2:23" s="742" customFormat="1">
      <c r="B115" s="740"/>
      <c r="C115" s="741"/>
      <c r="D115" s="741"/>
      <c r="E115" s="741"/>
      <c r="F115" s="741"/>
      <c r="G115" s="741"/>
      <c r="H115" s="741"/>
      <c r="I115" s="741"/>
      <c r="J115" s="741"/>
      <c r="K115" s="741"/>
      <c r="L115" s="741"/>
      <c r="M115" s="741"/>
      <c r="N115" s="741"/>
      <c r="O115" s="741"/>
      <c r="P115" s="741"/>
      <c r="Q115" s="741"/>
      <c r="R115" s="741"/>
      <c r="S115" s="741"/>
      <c r="T115" s="741"/>
      <c r="U115" s="741"/>
      <c r="V115" s="741"/>
      <c r="W115" s="740"/>
    </row>
    <row r="116" spans="2:23">
      <c r="B116" s="743"/>
      <c r="C116" s="744"/>
      <c r="D116" s="744"/>
      <c r="E116" s="744"/>
      <c r="F116" s="744"/>
      <c r="G116" s="744"/>
      <c r="H116" s="744"/>
      <c r="I116" s="744"/>
      <c r="J116" s="744"/>
      <c r="K116" s="744"/>
      <c r="L116" s="744"/>
      <c r="M116" s="744"/>
      <c r="N116" s="744"/>
      <c r="O116" s="744"/>
      <c r="P116" s="744"/>
      <c r="Q116" s="744"/>
      <c r="R116" s="744"/>
      <c r="S116" s="744"/>
      <c r="T116" s="744"/>
      <c r="U116" s="744"/>
      <c r="V116" s="744"/>
      <c r="W116" s="739"/>
    </row>
    <row r="117" spans="2:23">
      <c r="B117" s="743"/>
      <c r="C117" s="745"/>
      <c r="D117" s="745"/>
      <c r="E117" s="745"/>
      <c r="F117" s="745"/>
      <c r="G117" s="745"/>
      <c r="H117" s="745"/>
      <c r="I117" s="745"/>
      <c r="J117" s="745"/>
      <c r="K117" s="745"/>
      <c r="L117" s="745"/>
      <c r="M117" s="745"/>
      <c r="N117" s="745"/>
      <c r="O117" s="745"/>
      <c r="P117" s="745"/>
      <c r="Q117" s="745"/>
      <c r="R117" s="745"/>
      <c r="S117" s="745"/>
      <c r="T117" s="745"/>
      <c r="U117" s="745"/>
      <c r="V117" s="745"/>
      <c r="W117" s="739"/>
    </row>
    <row r="118" spans="2:23">
      <c r="B118" s="743"/>
      <c r="C118" s="746"/>
      <c r="D118" s="746"/>
      <c r="E118" s="746"/>
      <c r="F118" s="744"/>
      <c r="G118" s="744"/>
      <c r="H118" s="744"/>
      <c r="I118" s="744"/>
      <c r="J118" s="744"/>
      <c r="K118" s="744"/>
      <c r="L118" s="744"/>
      <c r="M118" s="744"/>
      <c r="N118" s="744"/>
      <c r="O118" s="744"/>
      <c r="P118" s="744"/>
      <c r="Q118" s="744"/>
      <c r="R118" s="744"/>
      <c r="S118" s="744"/>
      <c r="T118" s="744"/>
      <c r="U118" s="744"/>
      <c r="V118" s="744"/>
      <c r="W118" s="739"/>
    </row>
    <row r="119" spans="2:23">
      <c r="B119" s="743"/>
      <c r="C119" s="744"/>
      <c r="D119" s="744"/>
      <c r="E119" s="744"/>
      <c r="F119" s="744"/>
      <c r="G119" s="744"/>
      <c r="H119" s="744"/>
      <c r="I119" s="744"/>
      <c r="J119" s="744"/>
      <c r="K119" s="744"/>
      <c r="L119" s="744"/>
      <c r="M119" s="744"/>
      <c r="N119" s="744"/>
      <c r="O119" s="744"/>
      <c r="P119" s="744"/>
      <c r="Q119" s="744"/>
      <c r="R119" s="744"/>
      <c r="S119" s="744"/>
      <c r="T119" s="744"/>
      <c r="U119" s="744"/>
      <c r="V119" s="744"/>
      <c r="W119" s="739"/>
    </row>
    <row r="120" spans="2:23">
      <c r="B120" s="743"/>
      <c r="C120" s="745"/>
      <c r="D120" s="745"/>
      <c r="E120" s="745"/>
      <c r="F120" s="745"/>
      <c r="G120" s="745"/>
      <c r="H120" s="745"/>
      <c r="I120" s="745"/>
      <c r="J120" s="745"/>
      <c r="K120" s="745"/>
      <c r="L120" s="745"/>
      <c r="M120" s="745"/>
      <c r="N120" s="745"/>
      <c r="O120" s="745"/>
      <c r="P120" s="745"/>
      <c r="Q120" s="745"/>
      <c r="R120" s="745"/>
      <c r="S120" s="745"/>
      <c r="T120" s="745"/>
      <c r="U120" s="745"/>
      <c r="V120" s="745"/>
      <c r="W120" s="739"/>
    </row>
    <row r="121" spans="2:23">
      <c r="B121" s="743"/>
      <c r="C121" s="744"/>
      <c r="D121" s="744"/>
      <c r="E121" s="744"/>
      <c r="F121" s="744"/>
      <c r="G121" s="744"/>
      <c r="H121" s="744"/>
      <c r="I121" s="744"/>
      <c r="J121" s="744"/>
      <c r="K121" s="744"/>
      <c r="L121" s="744"/>
      <c r="M121" s="744"/>
      <c r="N121" s="744"/>
      <c r="O121" s="744"/>
      <c r="P121" s="744"/>
      <c r="Q121" s="744"/>
      <c r="R121" s="744"/>
      <c r="S121" s="744"/>
      <c r="T121" s="744"/>
      <c r="U121" s="744"/>
      <c r="V121" s="744"/>
      <c r="W121" s="739"/>
    </row>
    <row r="122" spans="2:23">
      <c r="B122" s="743"/>
      <c r="C122" s="744"/>
      <c r="D122" s="744"/>
      <c r="E122" s="744"/>
      <c r="F122" s="744"/>
      <c r="G122" s="744"/>
      <c r="H122" s="744"/>
      <c r="I122" s="744"/>
      <c r="J122" s="744"/>
      <c r="K122" s="744"/>
      <c r="L122" s="744"/>
      <c r="M122" s="744"/>
      <c r="N122" s="744"/>
      <c r="O122" s="744"/>
      <c r="P122" s="744"/>
      <c r="Q122" s="744"/>
      <c r="R122" s="744"/>
      <c r="S122" s="744"/>
      <c r="T122" s="744"/>
      <c r="U122" s="744"/>
      <c r="V122" s="744"/>
      <c r="W122" s="739"/>
    </row>
    <row r="123" spans="2:23">
      <c r="B123" s="743"/>
      <c r="C123" s="745"/>
      <c r="D123" s="745"/>
      <c r="E123" s="745"/>
      <c r="F123" s="745"/>
      <c r="G123" s="745"/>
      <c r="H123" s="745"/>
      <c r="I123" s="745"/>
      <c r="J123" s="745"/>
      <c r="K123" s="745"/>
      <c r="L123" s="745"/>
      <c r="M123" s="745"/>
      <c r="N123" s="745"/>
      <c r="O123" s="745"/>
      <c r="P123" s="745"/>
      <c r="Q123" s="745"/>
      <c r="R123" s="745"/>
      <c r="S123" s="745"/>
      <c r="T123" s="745"/>
      <c r="U123" s="745"/>
      <c r="V123" s="745"/>
      <c r="W123" s="739"/>
    </row>
    <row r="124" spans="2:23">
      <c r="B124" s="743"/>
      <c r="C124" s="744"/>
      <c r="D124" s="744"/>
      <c r="E124" s="744"/>
      <c r="F124" s="744"/>
      <c r="G124" s="744"/>
      <c r="H124" s="744"/>
      <c r="I124" s="744"/>
      <c r="J124" s="744"/>
      <c r="K124" s="744"/>
      <c r="L124" s="744"/>
      <c r="M124" s="744"/>
      <c r="N124" s="744"/>
      <c r="O124" s="744"/>
      <c r="P124" s="744"/>
      <c r="Q124" s="744"/>
      <c r="R124" s="744"/>
      <c r="S124" s="744"/>
      <c r="T124" s="744"/>
      <c r="U124" s="744"/>
      <c r="V124" s="744"/>
      <c r="W124" s="739"/>
    </row>
    <row r="125" spans="2:23">
      <c r="B125" s="743"/>
      <c r="C125" s="744"/>
      <c r="D125" s="744"/>
      <c r="E125" s="744"/>
      <c r="F125" s="744"/>
      <c r="G125" s="744"/>
      <c r="H125" s="744"/>
      <c r="I125" s="744"/>
      <c r="J125" s="744"/>
      <c r="K125" s="744"/>
      <c r="L125" s="744"/>
      <c r="M125" s="744"/>
      <c r="N125" s="744"/>
      <c r="O125" s="744"/>
      <c r="P125" s="744"/>
      <c r="Q125" s="744"/>
      <c r="R125" s="744"/>
      <c r="S125" s="744"/>
      <c r="T125" s="744"/>
      <c r="U125" s="744"/>
      <c r="V125" s="744"/>
      <c r="W125" s="739"/>
    </row>
    <row r="126" spans="2:23">
      <c r="B126" s="739"/>
      <c r="C126" s="744"/>
      <c r="D126" s="744"/>
      <c r="E126" s="744"/>
      <c r="F126" s="744"/>
      <c r="G126" s="744"/>
      <c r="H126" s="744"/>
      <c r="I126" s="744"/>
      <c r="J126" s="744"/>
      <c r="K126" s="744"/>
      <c r="L126" s="744"/>
      <c r="M126" s="744"/>
      <c r="N126" s="744"/>
      <c r="O126" s="744"/>
      <c r="P126" s="744"/>
      <c r="Q126" s="744"/>
      <c r="R126" s="744"/>
      <c r="S126" s="744"/>
      <c r="T126" s="744"/>
      <c r="U126" s="744"/>
      <c r="V126" s="744"/>
      <c r="W126" s="739"/>
    </row>
    <row r="127" spans="2:23">
      <c r="B127" s="743"/>
      <c r="C127" s="744"/>
      <c r="D127" s="744"/>
      <c r="E127" s="744"/>
      <c r="F127" s="744"/>
      <c r="G127" s="744"/>
      <c r="H127" s="744"/>
      <c r="I127" s="744"/>
      <c r="J127" s="744"/>
      <c r="K127" s="744"/>
      <c r="L127" s="744"/>
      <c r="M127" s="744"/>
      <c r="N127" s="744"/>
      <c r="O127" s="744"/>
      <c r="P127" s="744"/>
      <c r="Q127" s="744"/>
      <c r="R127" s="744"/>
      <c r="S127" s="744"/>
      <c r="T127" s="744"/>
      <c r="U127" s="744"/>
      <c r="V127" s="744"/>
      <c r="W127" s="739"/>
    </row>
    <row r="128" spans="2:23">
      <c r="B128" s="743"/>
      <c r="C128" s="744"/>
      <c r="D128" s="744"/>
      <c r="E128" s="744"/>
      <c r="F128" s="744"/>
      <c r="G128" s="744"/>
      <c r="H128" s="744"/>
      <c r="I128" s="744"/>
      <c r="J128" s="744"/>
      <c r="K128" s="744"/>
      <c r="L128" s="744"/>
      <c r="M128" s="744"/>
      <c r="N128" s="744"/>
      <c r="O128" s="744"/>
      <c r="P128" s="744"/>
      <c r="Q128" s="744"/>
      <c r="R128" s="744"/>
      <c r="S128" s="744"/>
      <c r="T128" s="744"/>
      <c r="U128" s="744"/>
      <c r="V128" s="744"/>
      <c r="W128" s="739"/>
    </row>
    <row r="129" spans="2:23">
      <c r="B129" s="743"/>
      <c r="C129" s="744"/>
      <c r="D129" s="744"/>
      <c r="E129" s="744"/>
      <c r="F129" s="744"/>
      <c r="G129" s="744"/>
      <c r="H129" s="744"/>
      <c r="I129" s="744"/>
      <c r="J129" s="744"/>
      <c r="K129" s="744"/>
      <c r="L129" s="744"/>
      <c r="M129" s="744"/>
      <c r="N129" s="744"/>
      <c r="O129" s="744"/>
      <c r="P129" s="744"/>
      <c r="Q129" s="744"/>
      <c r="R129" s="744"/>
      <c r="S129" s="744"/>
      <c r="T129" s="744"/>
      <c r="U129" s="744"/>
      <c r="V129" s="744"/>
      <c r="W129" s="739"/>
    </row>
    <row r="130" spans="2:23">
      <c r="B130" s="739"/>
      <c r="C130" s="744"/>
      <c r="D130" s="744"/>
      <c r="E130" s="744"/>
      <c r="F130" s="744"/>
      <c r="G130" s="744"/>
      <c r="H130" s="744"/>
      <c r="I130" s="744"/>
      <c r="J130" s="744"/>
      <c r="K130" s="744"/>
      <c r="L130" s="744"/>
      <c r="M130" s="744"/>
      <c r="N130" s="744"/>
      <c r="O130" s="744"/>
      <c r="P130" s="744"/>
      <c r="Q130" s="744"/>
      <c r="R130" s="744"/>
      <c r="S130" s="744"/>
      <c r="T130" s="744"/>
      <c r="U130" s="744"/>
      <c r="V130" s="744"/>
      <c r="W130" s="739"/>
    </row>
    <row r="131" spans="2:23">
      <c r="B131" s="743"/>
      <c r="C131" s="744"/>
      <c r="D131" s="744"/>
      <c r="E131" s="744"/>
      <c r="F131" s="744"/>
      <c r="G131" s="744"/>
      <c r="H131" s="744"/>
      <c r="I131" s="744"/>
      <c r="J131" s="744"/>
      <c r="K131" s="744"/>
      <c r="L131" s="744"/>
      <c r="M131" s="744"/>
      <c r="N131" s="744"/>
      <c r="O131" s="744"/>
      <c r="P131" s="744"/>
      <c r="Q131" s="744"/>
      <c r="R131" s="744"/>
      <c r="S131" s="744"/>
      <c r="T131" s="744"/>
      <c r="U131" s="744"/>
      <c r="V131" s="744"/>
      <c r="W131" s="739"/>
    </row>
    <row r="132" spans="2:23">
      <c r="B132" s="743"/>
      <c r="C132" s="744"/>
      <c r="D132" s="744"/>
      <c r="E132" s="744"/>
      <c r="F132" s="744"/>
      <c r="G132" s="744"/>
      <c r="H132" s="744"/>
      <c r="I132" s="744"/>
      <c r="J132" s="744"/>
      <c r="K132" s="744"/>
      <c r="L132" s="744"/>
      <c r="M132" s="744"/>
      <c r="N132" s="744"/>
      <c r="O132" s="744"/>
      <c r="P132" s="744"/>
      <c r="Q132" s="744"/>
      <c r="R132" s="744"/>
      <c r="S132" s="744"/>
      <c r="T132" s="744"/>
      <c r="U132" s="744"/>
      <c r="V132" s="744"/>
      <c r="W132" s="739"/>
    </row>
    <row r="133" spans="2:23">
      <c r="B133" s="743"/>
      <c r="C133" s="744"/>
      <c r="D133" s="744"/>
      <c r="E133" s="744"/>
      <c r="F133" s="744"/>
      <c r="G133" s="744"/>
      <c r="H133" s="744"/>
      <c r="I133" s="744"/>
      <c r="J133" s="744"/>
      <c r="K133" s="744"/>
      <c r="L133" s="744"/>
      <c r="M133" s="744"/>
      <c r="N133" s="744"/>
      <c r="O133" s="744"/>
      <c r="P133" s="744"/>
      <c r="Q133" s="744"/>
      <c r="R133" s="744"/>
      <c r="S133" s="744"/>
      <c r="T133" s="744"/>
      <c r="U133" s="744"/>
      <c r="V133" s="744"/>
      <c r="W133" s="739"/>
    </row>
    <row r="134" spans="2:23">
      <c r="B134" s="739"/>
      <c r="C134" s="739"/>
      <c r="D134" s="739"/>
      <c r="E134" s="739"/>
      <c r="F134" s="739"/>
      <c r="G134" s="739"/>
      <c r="H134" s="739"/>
      <c r="I134" s="739"/>
      <c r="J134" s="739"/>
      <c r="K134" s="739"/>
      <c r="L134" s="739"/>
      <c r="M134" s="739"/>
      <c r="N134" s="739"/>
      <c r="O134" s="739"/>
      <c r="P134" s="739"/>
      <c r="Q134" s="739"/>
      <c r="R134" s="739"/>
      <c r="S134" s="739"/>
      <c r="T134" s="739"/>
      <c r="U134" s="739"/>
      <c r="V134" s="739"/>
      <c r="W134" s="739"/>
    </row>
    <row r="135" spans="2:23">
      <c r="B135" s="743"/>
      <c r="C135" s="747"/>
      <c r="D135" s="747"/>
      <c r="E135" s="747"/>
      <c r="F135" s="747"/>
      <c r="G135" s="747"/>
      <c r="H135" s="747"/>
      <c r="I135" s="747"/>
      <c r="J135" s="747"/>
      <c r="K135" s="747"/>
      <c r="L135" s="747"/>
      <c r="M135" s="747"/>
      <c r="N135" s="747"/>
      <c r="O135" s="747"/>
      <c r="P135" s="747"/>
      <c r="Q135" s="747"/>
      <c r="R135" s="747"/>
      <c r="S135" s="747"/>
      <c r="T135" s="747"/>
      <c r="U135" s="747"/>
      <c r="V135" s="747"/>
      <c r="W135" s="739"/>
    </row>
    <row r="136" spans="2:23">
      <c r="B136" s="743"/>
      <c r="C136" s="747"/>
      <c r="D136" s="747"/>
      <c r="E136" s="747"/>
      <c r="F136" s="747"/>
      <c r="G136" s="747"/>
      <c r="H136" s="747"/>
      <c r="I136" s="747"/>
      <c r="J136" s="747"/>
      <c r="K136" s="747"/>
      <c r="L136" s="747"/>
      <c r="M136" s="747"/>
      <c r="N136" s="747"/>
      <c r="O136" s="747"/>
      <c r="P136" s="747"/>
      <c r="Q136" s="747"/>
      <c r="R136" s="747"/>
      <c r="S136" s="747"/>
      <c r="T136" s="747"/>
      <c r="U136" s="747"/>
      <c r="V136" s="747"/>
      <c r="W136" s="739"/>
    </row>
    <row r="137" spans="2:23">
      <c r="B137" s="743"/>
      <c r="C137" s="747"/>
      <c r="D137" s="747"/>
      <c r="E137" s="747"/>
      <c r="F137" s="747"/>
      <c r="G137" s="747"/>
      <c r="H137" s="747"/>
      <c r="I137" s="747"/>
      <c r="J137" s="747"/>
      <c r="K137" s="747"/>
      <c r="L137" s="747"/>
      <c r="M137" s="747"/>
      <c r="N137" s="747"/>
      <c r="O137" s="747"/>
      <c r="P137" s="747"/>
      <c r="Q137" s="747"/>
      <c r="R137" s="747"/>
      <c r="S137" s="747"/>
      <c r="T137" s="747"/>
      <c r="U137" s="747"/>
      <c r="V137" s="747"/>
      <c r="W137" s="739"/>
    </row>
    <row r="138" spans="2:23">
      <c r="B138" s="739"/>
      <c r="C138" s="739"/>
      <c r="D138" s="739"/>
      <c r="E138" s="739"/>
      <c r="F138" s="739"/>
      <c r="G138" s="739"/>
      <c r="H138" s="739"/>
      <c r="I138" s="739"/>
      <c r="J138" s="739"/>
      <c r="K138" s="739"/>
      <c r="L138" s="739"/>
      <c r="M138" s="739"/>
      <c r="N138" s="739"/>
      <c r="O138" s="739"/>
      <c r="P138" s="739"/>
      <c r="Q138" s="739"/>
      <c r="R138" s="739"/>
      <c r="S138" s="739"/>
      <c r="T138" s="739"/>
      <c r="U138" s="739"/>
      <c r="V138" s="739"/>
      <c r="W138" s="739"/>
    </row>
    <row r="139" spans="2:23">
      <c r="B139" s="739"/>
      <c r="C139" s="739"/>
      <c r="D139" s="739"/>
      <c r="E139" s="739"/>
      <c r="F139" s="739"/>
      <c r="G139" s="739"/>
      <c r="H139" s="739"/>
      <c r="I139" s="739"/>
      <c r="J139" s="739"/>
      <c r="K139" s="739"/>
      <c r="L139" s="739"/>
      <c r="M139" s="739"/>
      <c r="N139" s="739"/>
      <c r="O139" s="739"/>
      <c r="P139" s="739"/>
      <c r="Q139" s="739"/>
      <c r="R139" s="739"/>
      <c r="S139" s="739"/>
      <c r="T139" s="739"/>
      <c r="U139" s="739"/>
      <c r="V139" s="739"/>
      <c r="W139" s="739"/>
    </row>
    <row r="140" spans="2:23">
      <c r="B140" s="739"/>
      <c r="C140" s="739"/>
      <c r="D140" s="739"/>
      <c r="E140" s="739"/>
      <c r="F140" s="739"/>
      <c r="G140" s="739"/>
      <c r="H140" s="739"/>
      <c r="I140" s="739"/>
      <c r="J140" s="739"/>
      <c r="K140" s="739"/>
      <c r="L140" s="739"/>
      <c r="M140" s="739"/>
      <c r="N140" s="739"/>
      <c r="O140" s="739"/>
      <c r="P140" s="739"/>
      <c r="Q140" s="739"/>
      <c r="R140" s="739"/>
      <c r="S140" s="739"/>
      <c r="T140" s="739"/>
      <c r="U140" s="739"/>
      <c r="V140" s="739"/>
      <c r="W140" s="739"/>
    </row>
    <row r="141" spans="2:23">
      <c r="B141" s="739"/>
      <c r="C141" s="739"/>
      <c r="D141" s="739"/>
      <c r="E141" s="739"/>
      <c r="F141" s="739"/>
      <c r="G141" s="739"/>
      <c r="H141" s="739"/>
      <c r="I141" s="739"/>
      <c r="J141" s="739"/>
      <c r="K141" s="739"/>
      <c r="L141" s="739"/>
      <c r="M141" s="739"/>
      <c r="N141" s="739"/>
      <c r="O141" s="739"/>
      <c r="P141" s="739"/>
      <c r="Q141" s="739"/>
      <c r="R141" s="739"/>
      <c r="S141" s="739"/>
      <c r="T141" s="739"/>
      <c r="U141" s="739"/>
      <c r="V141" s="739"/>
      <c r="W141" s="739"/>
    </row>
    <row r="142" spans="2:23">
      <c r="B142" s="739"/>
      <c r="C142" s="739"/>
      <c r="D142" s="739"/>
      <c r="E142" s="739"/>
      <c r="F142" s="739"/>
      <c r="G142" s="739"/>
      <c r="H142" s="739"/>
      <c r="I142" s="739"/>
      <c r="J142" s="739"/>
      <c r="K142" s="739"/>
      <c r="L142" s="739"/>
      <c r="M142" s="739"/>
      <c r="N142" s="739"/>
      <c r="O142" s="739"/>
      <c r="P142" s="739"/>
      <c r="Q142" s="739"/>
      <c r="R142" s="739"/>
      <c r="S142" s="739"/>
      <c r="T142" s="739"/>
      <c r="U142" s="739"/>
      <c r="V142" s="739"/>
      <c r="W142" s="739"/>
    </row>
  </sheetData>
  <mergeCells count="3">
    <mergeCell ref="C32:F32"/>
    <mergeCell ref="C53:F53"/>
    <mergeCell ref="C60:F60"/>
  </mergeCells>
  <pageMargins left="0.7" right="0.7" top="0.75" bottom="0.75" header="0.3" footer="0.3"/>
  <legacy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F7"/>
  <sheetViews>
    <sheetView showGridLines="0" zoomScale="90" zoomScaleNormal="90" workbookViewId="0">
      <selection activeCell="A2" sqref="A2:F7"/>
    </sheetView>
  </sheetViews>
  <sheetFormatPr defaultRowHeight="15"/>
  <cols>
    <col min="6" max="6" width="10" bestFit="1" customWidth="1"/>
  </cols>
  <sheetData>
    <row r="2" spans="1:6" ht="15.75">
      <c r="A2" s="332" t="s">
        <v>326</v>
      </c>
    </row>
    <row r="3" spans="1:6">
      <c r="A3" s="645"/>
      <c r="B3" s="651"/>
      <c r="C3" s="652">
        <v>2015</v>
      </c>
      <c r="D3" s="652">
        <v>2016</v>
      </c>
      <c r="E3" s="652">
        <v>2017</v>
      </c>
      <c r="F3" s="650" t="s">
        <v>45</v>
      </c>
    </row>
    <row r="4" spans="1:6">
      <c r="A4" s="646" t="s">
        <v>46</v>
      </c>
      <c r="B4" s="73"/>
      <c r="C4" s="73"/>
      <c r="D4" s="73"/>
      <c r="E4" s="73"/>
      <c r="F4" s="334"/>
    </row>
    <row r="5" spans="1:6">
      <c r="A5" s="647" t="s">
        <v>53</v>
      </c>
      <c r="B5" s="73"/>
      <c r="C5" s="353">
        <f>'DPS Recommendation'!C17</f>
        <v>33243.802829279994</v>
      </c>
      <c r="D5" s="353">
        <f>'DPS Recommendation'!D17</f>
        <v>33243.802829279994</v>
      </c>
      <c r="E5" s="353">
        <f>'DPS Recommendation'!E17</f>
        <v>33243.802829279994</v>
      </c>
      <c r="F5" s="352">
        <f>SUM(C5:E5)</f>
        <v>99731.408487839974</v>
      </c>
    </row>
    <row r="6" spans="1:6">
      <c r="A6" s="647" t="s">
        <v>54</v>
      </c>
      <c r="B6" s="73"/>
      <c r="C6" s="643">
        <f>'DPS Recommendation'!C18</f>
        <v>19946.281697568</v>
      </c>
      <c r="D6" s="643">
        <f>'DPS Recommendation'!D18</f>
        <v>19946.281697568</v>
      </c>
      <c r="E6" s="643">
        <f>'DPS Recommendation'!E18</f>
        <v>19946.281697568</v>
      </c>
      <c r="F6" s="642">
        <f>SUM(C6:E6)</f>
        <v>59838.845092703996</v>
      </c>
    </row>
    <row r="7" spans="1:6">
      <c r="A7" s="495"/>
      <c r="B7" s="333"/>
      <c r="C7" s="643">
        <f>SUM(C5:C6)</f>
        <v>53190.08452684799</v>
      </c>
      <c r="D7" s="643">
        <f>SUM(D5:D6)</f>
        <v>53190.08452684799</v>
      </c>
      <c r="E7" s="643">
        <f>SUM(E5:E6)</f>
        <v>53190.08452684799</v>
      </c>
      <c r="F7" s="661">
        <f>SUM(C7:E7)</f>
        <v>159570.25358054397</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C2:I24"/>
  <sheetViews>
    <sheetView workbookViewId="0">
      <selection activeCell="G8" sqref="G8"/>
    </sheetView>
  </sheetViews>
  <sheetFormatPr defaultRowHeight="15"/>
  <cols>
    <col min="4" max="4" width="13.28515625" style="252" bestFit="1" customWidth="1"/>
    <col min="5" max="5" width="13.28515625" customWidth="1"/>
    <col min="6" max="6" width="12.85546875" customWidth="1"/>
    <col min="7" max="7" width="10.85546875" style="311" customWidth="1"/>
    <col min="9" max="9" width="13.5703125" bestFit="1" customWidth="1"/>
  </cols>
  <sheetData>
    <row r="2" spans="3:9">
      <c r="C2" s="804" t="s">
        <v>256</v>
      </c>
      <c r="D2" s="804"/>
      <c r="E2" s="804"/>
      <c r="F2" s="804"/>
      <c r="G2" s="804"/>
    </row>
    <row r="3" spans="3:9">
      <c r="C3" s="313"/>
      <c r="D3" s="481" t="s">
        <v>252</v>
      </c>
      <c r="E3" s="313" t="s">
        <v>254</v>
      </c>
      <c r="F3" s="313" t="s">
        <v>253</v>
      </c>
      <c r="G3" s="313" t="s">
        <v>254</v>
      </c>
    </row>
    <row r="4" spans="3:9">
      <c r="C4" s="313">
        <v>2014</v>
      </c>
      <c r="D4" s="482">
        <v>2168414.19150479</v>
      </c>
      <c r="E4" s="313" t="s">
        <v>255</v>
      </c>
      <c r="F4" s="143">
        <v>37367788.764897898</v>
      </c>
      <c r="G4" s="313" t="s">
        <v>255</v>
      </c>
    </row>
    <row r="5" spans="3:9">
      <c r="C5" s="313">
        <v>2015</v>
      </c>
      <c r="D5" s="483">
        <f>2337666.32+'DPS Recommendation'!C10</f>
        <v>2419484.63</v>
      </c>
      <c r="E5" s="480">
        <f>(D5-D4)/D4</f>
        <v>0.11578527731409902</v>
      </c>
      <c r="F5" s="370">
        <f>39351358.8121601+'DPS Recommendation'!C8</f>
        <v>40728656.370585702</v>
      </c>
      <c r="G5" s="480">
        <f>(F5-F4)/F4</f>
        <v>8.9940232397291209E-2</v>
      </c>
      <c r="I5" s="250"/>
    </row>
    <row r="6" spans="3:9">
      <c r="C6" s="313">
        <v>2016</v>
      </c>
      <c r="D6" s="483">
        <f>2513980+'DPS Recommendation'!D10</f>
        <v>2620824.15</v>
      </c>
      <c r="E6" s="480">
        <f>(D6-D5)/D5</f>
        <v>8.3215870645973078E-2</v>
      </c>
      <c r="F6" s="370">
        <f>42460068.07904+'DPS Recommendation'!D8</f>
        <v>44264620.972399198</v>
      </c>
      <c r="G6" s="480">
        <f>(F6-F5)/F5</f>
        <v>8.681760993144802E-2</v>
      </c>
    </row>
    <row r="7" spans="3:9">
      <c r="C7" s="313">
        <v>2017</v>
      </c>
      <c r="D7" s="483">
        <f>2696148+'DPS Recommendation'!E10</f>
        <v>2803993.92</v>
      </c>
      <c r="E7" s="480">
        <f t="shared" ref="E7:E24" si="0">(D7-D6)/D6</f>
        <v>6.9890141236679318E-2</v>
      </c>
      <c r="F7" s="370">
        <f>45555422.9614688+'DPS Recommendation'!E8</f>
        <v>47377639.879927553</v>
      </c>
      <c r="G7" s="480">
        <f t="shared" ref="G7:G24" si="1">(F7-F6)/F6</f>
        <v>7.0327472350197026E-2</v>
      </c>
    </row>
    <row r="8" spans="3:9">
      <c r="C8" s="313">
        <v>2018</v>
      </c>
      <c r="D8" s="483">
        <v>2780381.5097812987</v>
      </c>
      <c r="E8" s="480">
        <f t="shared" si="0"/>
        <v>-8.4209919466234906E-3</v>
      </c>
      <c r="F8" s="370">
        <v>48034050.810150273</v>
      </c>
      <c r="G8" s="480">
        <f t="shared" si="1"/>
        <v>1.3854867652468713E-2</v>
      </c>
      <c r="H8" t="s">
        <v>408</v>
      </c>
    </row>
    <row r="9" spans="3:9">
      <c r="C9" s="313">
        <v>2019</v>
      </c>
      <c r="D9" s="483">
        <v>2868773.1428995794</v>
      </c>
      <c r="E9" s="480">
        <f t="shared" si="0"/>
        <v>3.1791188657859203E-2</v>
      </c>
      <c r="F9" s="370">
        <v>49645840.111498863</v>
      </c>
      <c r="G9" s="480">
        <f t="shared" si="1"/>
        <v>3.3555140034285752E-2</v>
      </c>
    </row>
    <row r="10" spans="3:9">
      <c r="C10" s="313">
        <v>2020</v>
      </c>
      <c r="D10" s="483">
        <v>2966063.1054125009</v>
      </c>
      <c r="E10" s="480">
        <f t="shared" si="0"/>
        <v>3.3913438834897495E-2</v>
      </c>
      <c r="F10" s="370">
        <v>51279153.886690289</v>
      </c>
      <c r="G10" s="480">
        <f t="shared" si="1"/>
        <v>3.2899307807526083E-2</v>
      </c>
    </row>
    <row r="11" spans="3:9">
      <c r="C11" s="313">
        <v>2021</v>
      </c>
      <c r="D11" s="483">
        <v>3056968.2854802925</v>
      </c>
      <c r="E11" s="480">
        <f t="shared" si="0"/>
        <v>3.0648430878596932E-2</v>
      </c>
      <c r="F11" s="370">
        <v>52828643.207072772</v>
      </c>
      <c r="G11" s="480">
        <f t="shared" si="1"/>
        <v>3.0216748969890073E-2</v>
      </c>
    </row>
    <row r="12" spans="3:9">
      <c r="C12" s="313">
        <v>2022</v>
      </c>
      <c r="D12" s="483">
        <v>3149248.6323778974</v>
      </c>
      <c r="E12" s="480">
        <f t="shared" si="0"/>
        <v>3.0186883958171762E-2</v>
      </c>
      <c r="F12" s="370">
        <v>54549928.366914928</v>
      </c>
      <c r="G12" s="480">
        <f t="shared" si="1"/>
        <v>3.258242224952141E-2</v>
      </c>
    </row>
    <row r="13" spans="3:9">
      <c r="C13" s="313">
        <v>2023</v>
      </c>
      <c r="D13" s="483">
        <v>3243315.0628957413</v>
      </c>
      <c r="E13" s="480">
        <f t="shared" si="0"/>
        <v>2.9869483644680464E-2</v>
      </c>
      <c r="F13" s="370">
        <v>56254913.396072045</v>
      </c>
      <c r="G13" s="480">
        <f t="shared" si="1"/>
        <v>3.1255495290278094E-2</v>
      </c>
    </row>
    <row r="14" spans="3:9">
      <c r="C14" s="313">
        <v>2024</v>
      </c>
      <c r="D14" s="483">
        <v>3349072.2405931489</v>
      </c>
      <c r="E14" s="480">
        <f t="shared" si="0"/>
        <v>3.2607741044739562E-2</v>
      </c>
      <c r="F14" s="370">
        <v>58069804.950568497</v>
      </c>
      <c r="G14" s="480">
        <f t="shared" si="1"/>
        <v>3.2261920691591991E-2</v>
      </c>
    </row>
    <row r="15" spans="3:9">
      <c r="C15" s="313">
        <v>2025</v>
      </c>
      <c r="D15" s="483">
        <v>3453508.289087642</v>
      </c>
      <c r="E15" s="480">
        <f t="shared" si="0"/>
        <v>3.118357592549172E-2</v>
      </c>
      <c r="F15" s="370">
        <v>59920918.995821059</v>
      </c>
      <c r="G15" s="480">
        <f t="shared" si="1"/>
        <v>3.1877393885312841E-2</v>
      </c>
    </row>
    <row r="16" spans="3:9">
      <c r="C16" s="313">
        <v>2026</v>
      </c>
      <c r="D16" s="483">
        <v>3568529.6637599426</v>
      </c>
      <c r="E16" s="480">
        <f t="shared" si="0"/>
        <v>3.3305660517956172E-2</v>
      </c>
      <c r="F16" s="370">
        <v>61707336.648420602</v>
      </c>
      <c r="G16" s="480">
        <f t="shared" si="1"/>
        <v>2.9812921472785317E-2</v>
      </c>
    </row>
    <row r="17" spans="3:7">
      <c r="C17" s="313">
        <v>2027</v>
      </c>
      <c r="D17" s="483">
        <v>3648110.5881362669</v>
      </c>
      <c r="E17" s="480">
        <f t="shared" si="0"/>
        <v>2.2300760221921401E-2</v>
      </c>
      <c r="F17" s="370">
        <v>63157477.378788918</v>
      </c>
      <c r="G17" s="480">
        <f t="shared" si="1"/>
        <v>2.3500296871189506E-2</v>
      </c>
    </row>
    <row r="18" spans="3:7">
      <c r="C18" s="313">
        <v>2028</v>
      </c>
      <c r="D18" s="483">
        <v>3764670.9128333558</v>
      </c>
      <c r="E18" s="480">
        <f t="shared" si="0"/>
        <v>3.1950874810688458E-2</v>
      </c>
      <c r="F18" s="370">
        <v>65086641.093205884</v>
      </c>
      <c r="G18" s="480">
        <f t="shared" si="1"/>
        <v>3.0545293993405515E-2</v>
      </c>
    </row>
    <row r="19" spans="3:7">
      <c r="C19" s="313">
        <v>2029</v>
      </c>
      <c r="D19" s="483">
        <v>3881651.4397072596</v>
      </c>
      <c r="E19" s="480">
        <f t="shared" si="0"/>
        <v>3.1073241083338747E-2</v>
      </c>
      <c r="F19" s="370">
        <v>66982240.301630571</v>
      </c>
      <c r="G19" s="480">
        <f t="shared" si="1"/>
        <v>2.9124243878404118E-2</v>
      </c>
    </row>
    <row r="20" spans="3:7">
      <c r="C20" s="313">
        <v>2030</v>
      </c>
      <c r="D20" s="483">
        <v>4004169.2074811971</v>
      </c>
      <c r="E20" s="480">
        <f t="shared" si="0"/>
        <v>3.1563310018165175E-2</v>
      </c>
      <c r="F20" s="370">
        <v>69058751.100950077</v>
      </c>
      <c r="G20" s="480">
        <f t="shared" si="1"/>
        <v>3.1000915913959905E-2</v>
      </c>
    </row>
    <row r="21" spans="3:7">
      <c r="C21" s="313">
        <v>2031</v>
      </c>
      <c r="D21" s="483">
        <v>4149095.186335424</v>
      </c>
      <c r="E21" s="480">
        <f t="shared" si="0"/>
        <v>3.6193769879518119E-2</v>
      </c>
      <c r="F21" s="370">
        <v>71418978.595257461</v>
      </c>
      <c r="G21" s="480">
        <f t="shared" si="1"/>
        <v>3.4177094961610345E-2</v>
      </c>
    </row>
    <row r="22" spans="3:7">
      <c r="C22" s="313">
        <v>2032</v>
      </c>
      <c r="D22" s="483">
        <v>4273568.0419254871</v>
      </c>
      <c r="E22" s="480">
        <f t="shared" si="0"/>
        <v>3.0000000000000103E-2</v>
      </c>
      <c r="F22" s="370">
        <v>72426971.135317594</v>
      </c>
      <c r="G22" s="480">
        <f t="shared" si="1"/>
        <v>1.4113791038269874E-2</v>
      </c>
    </row>
    <row r="23" spans="3:7">
      <c r="C23" s="313">
        <v>2033</v>
      </c>
      <c r="D23" s="483">
        <v>4401775.0831832513</v>
      </c>
      <c r="E23" s="480">
        <f t="shared" si="0"/>
        <v>2.9999999999999905E-2</v>
      </c>
      <c r="F23" s="370">
        <v>74198237.011997595</v>
      </c>
      <c r="G23" s="480">
        <f t="shared" si="1"/>
        <v>2.4455887757209808E-2</v>
      </c>
    </row>
    <row r="24" spans="3:7">
      <c r="C24" s="313">
        <v>2034</v>
      </c>
      <c r="D24" s="483">
        <v>4533828.3356787488</v>
      </c>
      <c r="E24" s="480">
        <f t="shared" si="0"/>
        <v>2.9999999999999982E-2</v>
      </c>
      <c r="F24" s="370">
        <v>75969502.888677701</v>
      </c>
      <c r="G24" s="480">
        <f t="shared" si="1"/>
        <v>2.3872074971184268E-2</v>
      </c>
    </row>
  </sheetData>
  <mergeCells count="1">
    <mergeCell ref="C2:G2"/>
  </mergeCells>
  <pageMargins left="0.7" right="0.7" top="0.75" bottom="0.75" header="0.3" footer="0.3"/>
  <pageSetup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2:X125"/>
  <sheetViews>
    <sheetView topLeftCell="A4" workbookViewId="0">
      <selection activeCell="C8" sqref="C8"/>
    </sheetView>
  </sheetViews>
  <sheetFormatPr defaultRowHeight="15"/>
  <cols>
    <col min="1" max="1" width="21.5703125" customWidth="1"/>
    <col min="2" max="2" width="43.7109375" customWidth="1"/>
    <col min="3" max="5" width="14.42578125" bestFit="1" customWidth="1"/>
    <col min="6" max="6" width="12.42578125" customWidth="1"/>
    <col min="7" max="23" width="14.42578125" bestFit="1" customWidth="1"/>
    <col min="24" max="24" width="16.28515625" bestFit="1" customWidth="1"/>
  </cols>
  <sheetData>
    <row r="2" spans="1:24" ht="18.75">
      <c r="A2" s="80" t="s">
        <v>263</v>
      </c>
      <c r="F2" s="73"/>
      <c r="G2" s="73"/>
    </row>
    <row r="3" spans="1:24" ht="82.5" customHeight="1">
      <c r="A3" s="81" t="s">
        <v>60</v>
      </c>
      <c r="B3" s="82" t="s">
        <v>61</v>
      </c>
      <c r="C3" s="496"/>
      <c r="D3" s="496"/>
      <c r="E3" s="254"/>
      <c r="F3" s="73"/>
      <c r="G3" s="248"/>
      <c r="H3" s="254"/>
    </row>
    <row r="5" spans="1:24">
      <c r="C5" s="83">
        <v>2015</v>
      </c>
      <c r="D5" s="83">
        <f>+C5+1</f>
        <v>2016</v>
      </c>
      <c r="E5" s="83">
        <f>+D5+1</f>
        <v>2017</v>
      </c>
      <c r="F5" s="84" t="s">
        <v>45</v>
      </c>
      <c r="G5" s="83">
        <v>2018</v>
      </c>
      <c r="H5" s="83">
        <f>+G5+1</f>
        <v>2019</v>
      </c>
      <c r="I5" s="83">
        <f t="shared" ref="I5:W5" si="0">+H5+1</f>
        <v>2020</v>
      </c>
      <c r="J5" s="83">
        <f t="shared" si="0"/>
        <v>2021</v>
      </c>
      <c r="K5" s="83">
        <f t="shared" si="0"/>
        <v>2022</v>
      </c>
      <c r="L5" s="83">
        <f t="shared" si="0"/>
        <v>2023</v>
      </c>
      <c r="M5" s="83">
        <f t="shared" si="0"/>
        <v>2024</v>
      </c>
      <c r="N5" s="83">
        <f t="shared" si="0"/>
        <v>2025</v>
      </c>
      <c r="O5" s="83">
        <f t="shared" si="0"/>
        <v>2026</v>
      </c>
      <c r="P5" s="83">
        <f t="shared" si="0"/>
        <v>2027</v>
      </c>
      <c r="Q5" s="83">
        <f t="shared" si="0"/>
        <v>2028</v>
      </c>
      <c r="R5" s="83">
        <f t="shared" si="0"/>
        <v>2029</v>
      </c>
      <c r="S5" s="83">
        <f t="shared" si="0"/>
        <v>2030</v>
      </c>
      <c r="T5" s="83">
        <f t="shared" si="0"/>
        <v>2031</v>
      </c>
      <c r="U5" s="83">
        <f t="shared" si="0"/>
        <v>2032</v>
      </c>
      <c r="V5" s="83">
        <f t="shared" si="0"/>
        <v>2033</v>
      </c>
      <c r="W5" s="83">
        <f t="shared" si="0"/>
        <v>2034</v>
      </c>
      <c r="X5" s="85" t="s">
        <v>4</v>
      </c>
    </row>
    <row r="6" spans="1:24" ht="15.75">
      <c r="B6" s="86" t="s">
        <v>47</v>
      </c>
      <c r="C6" s="87"/>
      <c r="D6" s="87"/>
      <c r="E6" s="87"/>
      <c r="F6" s="87"/>
      <c r="G6" s="87"/>
      <c r="H6" s="87"/>
      <c r="I6" s="87"/>
      <c r="J6" s="87"/>
      <c r="K6" s="87"/>
      <c r="L6" s="87"/>
      <c r="M6" s="87"/>
      <c r="N6" s="87"/>
      <c r="O6" s="87"/>
      <c r="P6" s="87"/>
      <c r="Q6" s="87"/>
      <c r="R6" s="87"/>
      <c r="S6" s="87"/>
      <c r="T6" s="87"/>
      <c r="U6" s="87"/>
      <c r="V6" s="87"/>
      <c r="W6" s="87"/>
      <c r="X6" s="87"/>
    </row>
    <row r="7" spans="1:24">
      <c r="B7" s="88" t="s">
        <v>62</v>
      </c>
      <c r="C7" s="143">
        <f>+(2337666*0)+2337666</f>
        <v>2337666</v>
      </c>
      <c r="D7" s="79">
        <v>2513980</v>
      </c>
      <c r="E7" s="79">
        <v>2696148</v>
      </c>
      <c r="F7" s="89">
        <v>7594547.3200000003</v>
      </c>
      <c r="G7" s="79">
        <v>2780381.5097812987</v>
      </c>
      <c r="H7" s="79">
        <v>2868773.1428995794</v>
      </c>
      <c r="I7" s="79">
        <v>2966063.1054125009</v>
      </c>
      <c r="J7" s="79">
        <v>3056968.2854802925</v>
      </c>
      <c r="K7" s="79">
        <v>3149248.6323778974</v>
      </c>
      <c r="L7" s="79">
        <v>3243315.0628957413</v>
      </c>
      <c r="M7" s="79">
        <v>3349072.2405931489</v>
      </c>
      <c r="N7" s="79">
        <v>3453508.289087642</v>
      </c>
      <c r="O7" s="79">
        <v>3568529.6637599426</v>
      </c>
      <c r="P7" s="79">
        <v>3648110.5881362669</v>
      </c>
      <c r="Q7" s="79">
        <v>3764670.9128333558</v>
      </c>
      <c r="R7" s="79">
        <v>3881651.4397072596</v>
      </c>
      <c r="S7" s="79">
        <v>4004169.2074811971</v>
      </c>
      <c r="T7" s="79">
        <v>4149095.186335424</v>
      </c>
      <c r="U7" s="79">
        <v>4273568.0419254871</v>
      </c>
      <c r="V7" s="79">
        <v>4401775.0831832513</v>
      </c>
      <c r="W7" s="79">
        <v>4533828.3356787488</v>
      </c>
      <c r="X7" s="89">
        <v>68687276.047569036</v>
      </c>
    </row>
    <row r="8" spans="1:24" s="90" customFormat="1">
      <c r="B8" s="91" t="s">
        <v>63</v>
      </c>
      <c r="C8" s="90">
        <v>6769.0461860999994</v>
      </c>
      <c r="D8" s="90">
        <v>6777.3800803566119</v>
      </c>
      <c r="E8" s="90">
        <v>6784.1494699376453</v>
      </c>
      <c r="F8" s="92">
        <v>20330.575736394258</v>
      </c>
      <c r="G8" s="90">
        <v>6512.5448496684721</v>
      </c>
      <c r="H8" s="90">
        <v>5841.3190017849747</v>
      </c>
      <c r="I8" s="90">
        <v>6226.7990714489442</v>
      </c>
      <c r="J8" s="90">
        <v>6177.7960831755681</v>
      </c>
      <c r="K8" s="90">
        <v>5488.2328790850879</v>
      </c>
      <c r="L8" s="90">
        <v>5686.402803421317</v>
      </c>
      <c r="M8" s="90">
        <v>5339.5594034924006</v>
      </c>
      <c r="N8" s="90">
        <v>5076.0582446487279</v>
      </c>
      <c r="O8" s="90">
        <v>5038.6829545477694</v>
      </c>
      <c r="P8" s="90">
        <v>4801.4180876453638</v>
      </c>
      <c r="Q8" s="90">
        <v>5035.2183634127505</v>
      </c>
      <c r="R8" s="90">
        <v>4981.3113846815222</v>
      </c>
      <c r="S8" s="90">
        <v>4655.2132888777924</v>
      </c>
      <c r="T8" s="90">
        <v>4566.373035870919</v>
      </c>
      <c r="U8" s="90">
        <v>4548.0268762431861</v>
      </c>
      <c r="V8" s="90">
        <v>4336.9908414604879</v>
      </c>
      <c r="W8" s="90">
        <v>4383.3984803403564</v>
      </c>
      <c r="X8" s="92">
        <v>109025.9213861999</v>
      </c>
    </row>
    <row r="9" spans="1:24">
      <c r="B9" s="69"/>
      <c r="C9" s="79"/>
      <c r="D9" s="79"/>
      <c r="E9" s="79"/>
      <c r="F9" s="89"/>
      <c r="G9" s="79"/>
      <c r="H9" s="79"/>
      <c r="I9" s="79"/>
      <c r="J9" s="79"/>
      <c r="K9" s="79"/>
      <c r="L9" s="79"/>
      <c r="M9" s="79"/>
      <c r="N9" s="79"/>
      <c r="O9" s="79"/>
      <c r="P9" s="79"/>
      <c r="Q9" s="79"/>
      <c r="R9" s="79"/>
      <c r="S9" s="79"/>
      <c r="T9" s="79"/>
      <c r="U9" s="79"/>
      <c r="V9" s="79"/>
      <c r="W9" s="79"/>
      <c r="X9" s="89"/>
    </row>
    <row r="10" spans="1:24" ht="15.75">
      <c r="B10" s="93" t="s">
        <v>64</v>
      </c>
      <c r="C10" s="79"/>
      <c r="D10" s="79"/>
      <c r="E10" s="79"/>
      <c r="F10" s="89"/>
      <c r="G10" s="79"/>
      <c r="H10" s="79"/>
      <c r="I10" s="79"/>
      <c r="J10" s="79"/>
      <c r="K10" s="79"/>
      <c r="L10" s="79"/>
      <c r="M10" s="79"/>
      <c r="N10" s="79"/>
      <c r="O10" s="79"/>
      <c r="P10" s="79"/>
      <c r="Q10" s="79"/>
      <c r="R10" s="79"/>
      <c r="S10" s="79"/>
      <c r="T10" s="79"/>
      <c r="U10" s="79"/>
      <c r="V10" s="79"/>
      <c r="W10" s="79"/>
      <c r="X10" s="89"/>
    </row>
    <row r="11" spans="1:24">
      <c r="B11" s="88" t="s">
        <v>65</v>
      </c>
      <c r="C11" s="497">
        <v>1753250</v>
      </c>
      <c r="D11" s="79">
        <v>1885485</v>
      </c>
      <c r="E11" s="79">
        <v>2022111</v>
      </c>
      <c r="F11" s="89">
        <v>5695910.4900000002</v>
      </c>
      <c r="G11" s="79">
        <v>2085286.1323359739</v>
      </c>
      <c r="H11" s="79">
        <v>2151579.8571746843</v>
      </c>
      <c r="I11" s="79">
        <v>2224547.3290593755</v>
      </c>
      <c r="J11" s="79">
        <v>2292726.2141102194</v>
      </c>
      <c r="K11" s="79">
        <v>2361936.4742834233</v>
      </c>
      <c r="L11" s="79">
        <v>2432486.297171806</v>
      </c>
      <c r="M11" s="79">
        <v>2511804.1804448618</v>
      </c>
      <c r="N11" s="79">
        <v>2590131.2168157315</v>
      </c>
      <c r="O11" s="79">
        <v>2676397.2478199569</v>
      </c>
      <c r="P11" s="79">
        <v>2736082.9411022002</v>
      </c>
      <c r="Q11" s="79">
        <v>2823503.184625017</v>
      </c>
      <c r="R11" s="79">
        <v>2911238.5797804445</v>
      </c>
      <c r="S11" s="79">
        <v>3003126.9056108976</v>
      </c>
      <c r="T11" s="79">
        <v>3111821.389751568</v>
      </c>
      <c r="U11" s="79">
        <v>3205176.0314441156</v>
      </c>
      <c r="V11" s="79">
        <v>3301331.3123874385</v>
      </c>
      <c r="W11" s="79">
        <v>3400371.2517590616</v>
      </c>
      <c r="X11" s="89">
        <v>51515457.035676777</v>
      </c>
    </row>
    <row r="12" spans="1:24" ht="17.25">
      <c r="B12" s="88" t="s">
        <v>2</v>
      </c>
      <c r="C12" s="498">
        <v>584417</v>
      </c>
      <c r="D12" s="94">
        <v>628495</v>
      </c>
      <c r="E12" s="94">
        <v>674037</v>
      </c>
      <c r="F12" s="95">
        <v>1898636.83</v>
      </c>
      <c r="G12" s="94">
        <v>695095.37744532467</v>
      </c>
      <c r="H12" s="94">
        <v>717193.28572489484</v>
      </c>
      <c r="I12" s="94">
        <v>741515.77635312523</v>
      </c>
      <c r="J12" s="94">
        <v>764242.07137007313</v>
      </c>
      <c r="K12" s="94">
        <v>787312.15809447435</v>
      </c>
      <c r="L12" s="94">
        <v>810828.76572393533</v>
      </c>
      <c r="M12" s="94">
        <v>837268.06014828722</v>
      </c>
      <c r="N12" s="94">
        <v>863377.0722719105</v>
      </c>
      <c r="O12" s="94">
        <v>892132.41593998566</v>
      </c>
      <c r="P12" s="94">
        <v>912027.64703406673</v>
      </c>
      <c r="Q12" s="94">
        <v>941167.72820833896</v>
      </c>
      <c r="R12" s="94">
        <v>970412.85992681491</v>
      </c>
      <c r="S12" s="94">
        <v>1001042.3018702993</v>
      </c>
      <c r="T12" s="94">
        <v>1037273.796583856</v>
      </c>
      <c r="U12" s="94">
        <v>1068392.0104813718</v>
      </c>
      <c r="V12" s="94">
        <v>1100443.7707958128</v>
      </c>
      <c r="W12" s="94">
        <v>1133457.0839196872</v>
      </c>
      <c r="X12" s="89">
        <v>17171819.011892259</v>
      </c>
    </row>
    <row r="13" spans="1:24">
      <c r="B13" s="88" t="s">
        <v>4</v>
      </c>
      <c r="C13" s="497">
        <f>SUM(C11:C12)</f>
        <v>2337667</v>
      </c>
      <c r="D13" s="79">
        <v>2513980</v>
      </c>
      <c r="E13" s="79">
        <v>2696148</v>
      </c>
      <c r="F13" s="89">
        <v>7594547.3200000003</v>
      </c>
      <c r="G13" s="79">
        <v>2780381.5097812987</v>
      </c>
      <c r="H13" s="79">
        <v>2868773.1428995794</v>
      </c>
      <c r="I13" s="79">
        <v>2966063.1054125009</v>
      </c>
      <c r="J13" s="79">
        <v>3056968.2854802925</v>
      </c>
      <c r="K13" s="79">
        <v>3149248.6323778974</v>
      </c>
      <c r="L13" s="79">
        <v>3243315.0628957413</v>
      </c>
      <c r="M13" s="79">
        <v>3349072.2405931489</v>
      </c>
      <c r="N13" s="79">
        <v>3453508.289087642</v>
      </c>
      <c r="O13" s="79">
        <v>3568529.6637599426</v>
      </c>
      <c r="P13" s="79">
        <v>3648110.5881362669</v>
      </c>
      <c r="Q13" s="79">
        <v>3764670.9128333558</v>
      </c>
      <c r="R13" s="79">
        <v>3881651.4397072596</v>
      </c>
      <c r="S13" s="79">
        <v>4004169.2074811971</v>
      </c>
      <c r="T13" s="79">
        <v>4149095.186335424</v>
      </c>
      <c r="U13" s="79">
        <v>4273568.0419254871</v>
      </c>
      <c r="V13" s="79">
        <v>4401775.0831832513</v>
      </c>
      <c r="W13" s="79">
        <v>4533828.3356787488</v>
      </c>
      <c r="X13" s="89">
        <v>68687276.047569036</v>
      </c>
    </row>
    <row r="14" spans="1:24">
      <c r="F14" s="87"/>
      <c r="X14" s="87"/>
    </row>
    <row r="15" spans="1:24" ht="15.75">
      <c r="B15" s="93" t="s">
        <v>66</v>
      </c>
      <c r="F15" s="87"/>
      <c r="X15" s="87"/>
    </row>
    <row r="16" spans="1:24" s="79" customFormat="1">
      <c r="B16" s="96" t="s">
        <v>65</v>
      </c>
      <c r="C16" s="90">
        <v>5076.7846395749993</v>
      </c>
      <c r="D16" s="90">
        <v>5083.0350602674589</v>
      </c>
      <c r="E16" s="90">
        <v>5088.112102453234</v>
      </c>
      <c r="F16" s="92">
        <v>15247.93180229569</v>
      </c>
      <c r="G16" s="90">
        <v>5210.0358797347781</v>
      </c>
      <c r="H16" s="90">
        <v>4673.0552014279801</v>
      </c>
      <c r="I16" s="90">
        <v>4981.4392571591561</v>
      </c>
      <c r="J16" s="90">
        <v>4942.2368665404547</v>
      </c>
      <c r="K16" s="90">
        <v>4390.5863032680709</v>
      </c>
      <c r="L16" s="90">
        <v>4549.122242737054</v>
      </c>
      <c r="M16" s="90">
        <v>4271.6475227939209</v>
      </c>
      <c r="N16" s="90">
        <v>4060.8465957189824</v>
      </c>
      <c r="O16" s="90">
        <v>4030.9463636382156</v>
      </c>
      <c r="P16" s="90">
        <v>3841.1344701162911</v>
      </c>
      <c r="Q16" s="90">
        <v>4028.1746907302004</v>
      </c>
      <c r="R16" s="90">
        <v>3985.049107745218</v>
      </c>
      <c r="S16" s="90">
        <v>3724.170631102234</v>
      </c>
      <c r="T16" s="90">
        <v>3653.0984286967355</v>
      </c>
      <c r="U16" s="90">
        <v>3638.4215009945492</v>
      </c>
      <c r="V16" s="90">
        <v>3469.5926731683903</v>
      </c>
      <c r="W16" s="90">
        <v>3506.7187842722851</v>
      </c>
      <c r="X16" s="92"/>
    </row>
    <row r="17" spans="2:24" s="79" customFormat="1" ht="17.25">
      <c r="B17" s="96" t="s">
        <v>2</v>
      </c>
      <c r="C17" s="97">
        <v>1692.2615465249999</v>
      </c>
      <c r="D17" s="97">
        <v>1694.345020089153</v>
      </c>
      <c r="E17" s="97">
        <v>1696.0373674844113</v>
      </c>
      <c r="F17" s="98">
        <v>5082.6439340985644</v>
      </c>
      <c r="G17" s="97">
        <v>1302.5089699336945</v>
      </c>
      <c r="H17" s="97">
        <v>1168.263800356995</v>
      </c>
      <c r="I17" s="97">
        <v>1245.359814289789</v>
      </c>
      <c r="J17" s="97">
        <v>1235.5592166351137</v>
      </c>
      <c r="K17" s="97">
        <v>1097.6465758170177</v>
      </c>
      <c r="L17" s="97">
        <v>1137.2805606842635</v>
      </c>
      <c r="M17" s="97">
        <v>1067.9118806984802</v>
      </c>
      <c r="N17" s="97">
        <v>1015.2116489297456</v>
      </c>
      <c r="O17" s="97">
        <v>1007.7365909095539</v>
      </c>
      <c r="P17" s="97">
        <v>960.28361752907279</v>
      </c>
      <c r="Q17" s="97">
        <v>1007.0436726825501</v>
      </c>
      <c r="R17" s="97">
        <v>996.26227693630449</v>
      </c>
      <c r="S17" s="97">
        <v>931.0426577755585</v>
      </c>
      <c r="T17" s="97">
        <v>913.27460717418387</v>
      </c>
      <c r="U17" s="97">
        <v>909.6053752486373</v>
      </c>
      <c r="V17" s="97">
        <v>867.39816829209758</v>
      </c>
      <c r="W17" s="97">
        <v>876.67969606807128</v>
      </c>
      <c r="X17" s="92"/>
    </row>
    <row r="18" spans="2:24" s="79" customFormat="1">
      <c r="B18" s="96" t="s">
        <v>4</v>
      </c>
      <c r="C18" s="90">
        <v>6769.0461860999994</v>
      </c>
      <c r="D18" s="90">
        <v>6777.3800803566119</v>
      </c>
      <c r="E18" s="90">
        <v>6784.1494699376453</v>
      </c>
      <c r="F18" s="92">
        <v>20330.575736394258</v>
      </c>
      <c r="G18" s="90">
        <v>6512.544849668473</v>
      </c>
      <c r="H18" s="90">
        <v>5841.3190017849756</v>
      </c>
      <c r="I18" s="90">
        <v>6226.7990714489451</v>
      </c>
      <c r="J18" s="90">
        <v>6177.7960831755681</v>
      </c>
      <c r="K18" s="90">
        <v>5488.2328790850888</v>
      </c>
      <c r="L18" s="90">
        <v>5686.402803421317</v>
      </c>
      <c r="M18" s="90">
        <v>5339.5594034924015</v>
      </c>
      <c r="N18" s="90">
        <v>5076.0582446487279</v>
      </c>
      <c r="O18" s="90">
        <v>5038.6829545477694</v>
      </c>
      <c r="P18" s="90">
        <v>4801.4180876453638</v>
      </c>
      <c r="Q18" s="90">
        <v>5035.2183634127505</v>
      </c>
      <c r="R18" s="90">
        <v>4981.3113846815222</v>
      </c>
      <c r="S18" s="90">
        <v>4655.2132888777924</v>
      </c>
      <c r="T18" s="90">
        <v>4566.373035870919</v>
      </c>
      <c r="U18" s="90">
        <v>4548.0268762431861</v>
      </c>
      <c r="V18" s="90">
        <v>4336.9908414604879</v>
      </c>
      <c r="W18" s="90">
        <v>4383.3984803403564</v>
      </c>
      <c r="X18" s="92">
        <v>109025.9213861999</v>
      </c>
    </row>
    <row r="19" spans="2:24">
      <c r="B19" s="99"/>
      <c r="F19" s="87"/>
      <c r="X19" s="87"/>
    </row>
    <row r="20" spans="2:24" ht="15.75">
      <c r="B20" s="93" t="s">
        <v>67</v>
      </c>
      <c r="F20" s="87"/>
      <c r="X20" s="87"/>
    </row>
    <row r="21" spans="2:24" s="79" customFormat="1">
      <c r="B21" s="96"/>
      <c r="C21" s="79">
        <v>345</v>
      </c>
      <c r="D21" s="79">
        <v>370.93684730570982</v>
      </c>
      <c r="E21" s="79">
        <v>397.41872020175003</v>
      </c>
      <c r="F21" s="89">
        <v>373.55298829067698</v>
      </c>
      <c r="G21" s="79">
        <v>426.92704218733121</v>
      </c>
      <c r="H21" s="79">
        <v>491.11735586139821</v>
      </c>
      <c r="I21" s="79">
        <v>476.33833553622486</v>
      </c>
      <c r="J21" s="79">
        <v>494.83152961386213</v>
      </c>
      <c r="K21" s="79">
        <v>573.81833128460289</v>
      </c>
      <c r="L21" s="79">
        <v>570.36322874354732</v>
      </c>
      <c r="M21" s="79">
        <v>627.21883727010299</v>
      </c>
      <c r="N21" s="79">
        <v>680.35237632042401</v>
      </c>
      <c r="O21" s="79">
        <v>708.22667271396608</v>
      </c>
      <c r="P21" s="79">
        <v>759.79856816120673</v>
      </c>
      <c r="Q21" s="79">
        <v>747.6678549213409</v>
      </c>
      <c r="R21" s="79">
        <v>779.24288203385049</v>
      </c>
      <c r="S21" s="79">
        <v>860.14731420533064</v>
      </c>
      <c r="T21" s="79">
        <v>908.61941276860443</v>
      </c>
      <c r="U21" s="79">
        <v>939.65320747083831</v>
      </c>
      <c r="V21" s="79">
        <v>1014.9376016899652</v>
      </c>
      <c r="W21" s="79">
        <v>1034.3180881257028</v>
      </c>
      <c r="X21" s="89">
        <v>630.00867293072213</v>
      </c>
    </row>
    <row r="22" spans="2:24">
      <c r="B22" s="99"/>
      <c r="F22" s="87"/>
      <c r="X22" s="87"/>
    </row>
    <row r="23" spans="2:24" ht="18">
      <c r="B23" s="93" t="s">
        <v>68</v>
      </c>
      <c r="C23" s="97">
        <v>972.43470000000002</v>
      </c>
      <c r="D23" s="97">
        <v>972.43470000000002</v>
      </c>
      <c r="E23" s="97">
        <v>968.9863499999999</v>
      </c>
      <c r="F23" s="98">
        <v>2913.8557499999997</v>
      </c>
      <c r="G23" s="97">
        <v>923.00835000000006</v>
      </c>
      <c r="H23" s="97">
        <v>826.45455000000004</v>
      </c>
      <c r="I23" s="97">
        <v>836.79960000000005</v>
      </c>
      <c r="J23" s="97">
        <v>826.45455000000004</v>
      </c>
      <c r="K23" s="97">
        <v>660</v>
      </c>
      <c r="L23" s="97">
        <v>752.88974999999994</v>
      </c>
      <c r="M23" s="97">
        <v>737.94690000000003</v>
      </c>
      <c r="N23" s="97">
        <v>649.43925000000002</v>
      </c>
      <c r="O23" s="97">
        <v>642.54255000000001</v>
      </c>
      <c r="P23" s="97">
        <v>627.59969999999998</v>
      </c>
      <c r="Q23" s="97">
        <v>625.30079999999998</v>
      </c>
      <c r="R23" s="97">
        <v>621.85245000000009</v>
      </c>
      <c r="S23" s="97">
        <v>481.61955</v>
      </c>
      <c r="T23" s="97">
        <v>478.1712</v>
      </c>
      <c r="U23" s="97">
        <v>474.72284999999999</v>
      </c>
      <c r="V23" s="97">
        <v>460.92944999999997</v>
      </c>
      <c r="W23" s="97">
        <v>458.63054999999997</v>
      </c>
      <c r="X23" s="92">
        <v>13826.734050000001</v>
      </c>
    </row>
    <row r="24" spans="2:24">
      <c r="B24" s="88" t="s">
        <v>65</v>
      </c>
      <c r="C24" s="90">
        <v>729.32602500000007</v>
      </c>
      <c r="D24" s="90">
        <v>729.32602500000007</v>
      </c>
      <c r="E24" s="90">
        <v>726.73976249999987</v>
      </c>
      <c r="F24" s="92"/>
      <c r="G24" s="90">
        <v>692.25626250000005</v>
      </c>
      <c r="H24" s="90">
        <v>619.84091250000006</v>
      </c>
      <c r="I24" s="90">
        <v>627.59969999999998</v>
      </c>
      <c r="J24" s="90">
        <v>619.84091250000006</v>
      </c>
      <c r="K24" s="90">
        <v>366.38718749999998</v>
      </c>
      <c r="L24" s="90">
        <v>564.66731249999998</v>
      </c>
      <c r="M24" s="90">
        <v>553.46017500000005</v>
      </c>
      <c r="N24" s="90">
        <v>487.07943750000004</v>
      </c>
      <c r="O24" s="90">
        <v>481.90691249999998</v>
      </c>
      <c r="P24" s="90">
        <v>470.69977499999999</v>
      </c>
      <c r="Q24" s="90">
        <v>468.97559999999999</v>
      </c>
      <c r="R24" s="90">
        <v>466.38933750000007</v>
      </c>
      <c r="S24" s="90">
        <v>361.21466250000003</v>
      </c>
      <c r="T24" s="90">
        <v>358.6284</v>
      </c>
      <c r="U24" s="90">
        <v>356.04213749999997</v>
      </c>
      <c r="V24" s="90">
        <v>345.69708749999995</v>
      </c>
      <c r="W24" s="90">
        <v>343.97291250000001</v>
      </c>
      <c r="X24" s="92"/>
    </row>
    <row r="25" spans="2:24">
      <c r="B25" s="88" t="s">
        <v>2</v>
      </c>
      <c r="C25" s="90">
        <v>243.10867500000001</v>
      </c>
      <c r="D25" s="90">
        <v>243.10867500000001</v>
      </c>
      <c r="E25" s="90">
        <v>242.24658749999998</v>
      </c>
      <c r="F25" s="92"/>
      <c r="G25" s="90">
        <v>230.75208750000002</v>
      </c>
      <c r="H25" s="90">
        <v>206.61363750000001</v>
      </c>
      <c r="I25" s="90">
        <v>209.19990000000001</v>
      </c>
      <c r="J25" s="90">
        <v>206.61363750000001</v>
      </c>
      <c r="K25" s="90">
        <v>122.1290625</v>
      </c>
      <c r="L25" s="90">
        <v>188.22243749999998</v>
      </c>
      <c r="M25" s="90">
        <v>184.48672500000001</v>
      </c>
      <c r="N25" s="90">
        <v>162.3598125</v>
      </c>
      <c r="O25" s="90">
        <v>160.6356375</v>
      </c>
      <c r="P25" s="90">
        <v>156.899925</v>
      </c>
      <c r="Q25" s="90">
        <v>156.3252</v>
      </c>
      <c r="R25" s="90">
        <v>155.46311250000002</v>
      </c>
      <c r="S25" s="90">
        <v>120.4048875</v>
      </c>
      <c r="T25" s="90">
        <v>119.5428</v>
      </c>
      <c r="U25" s="90">
        <v>118.6807125</v>
      </c>
      <c r="V25" s="90">
        <v>115.23236249999999</v>
      </c>
      <c r="W25" s="90">
        <v>114.65763749999999</v>
      </c>
      <c r="X25" s="92"/>
    </row>
    <row r="26" spans="2:24">
      <c r="B26" s="88"/>
      <c r="C26" s="90"/>
      <c r="D26" s="90"/>
      <c r="E26" s="90"/>
      <c r="F26" s="92"/>
      <c r="G26" s="90"/>
      <c r="H26" s="90"/>
      <c r="I26" s="90"/>
      <c r="J26" s="90"/>
      <c r="K26" s="90"/>
      <c r="L26" s="90"/>
      <c r="M26" s="90"/>
      <c r="N26" s="90"/>
      <c r="O26" s="90"/>
      <c r="P26" s="90"/>
      <c r="Q26" s="90"/>
      <c r="R26" s="90"/>
      <c r="S26" s="90"/>
      <c r="T26" s="90"/>
      <c r="U26" s="90"/>
      <c r="V26" s="90"/>
      <c r="W26" s="90"/>
      <c r="X26" s="92"/>
    </row>
    <row r="27" spans="2:24" ht="18">
      <c r="B27" s="100" t="s">
        <v>69</v>
      </c>
      <c r="C27" s="97">
        <v>1002.3203999999999</v>
      </c>
      <c r="D27" s="97">
        <v>1003.554433864623</v>
      </c>
      <c r="E27" s="97">
        <v>1004.5568051125178</v>
      </c>
      <c r="F27" s="98">
        <v>3010.4316389771407</v>
      </c>
      <c r="G27" s="97">
        <v>964.33919628764806</v>
      </c>
      <c r="H27" s="97">
        <v>864.94803513373802</v>
      </c>
      <c r="I27" s="97">
        <v>922.02764827200019</v>
      </c>
      <c r="J27" s="97">
        <v>914.77157504439754</v>
      </c>
      <c r="K27" s="97">
        <v>812.66512643299177</v>
      </c>
      <c r="L27" s="97">
        <v>842.00895898602391</v>
      </c>
      <c r="M27" s="97">
        <v>790.65043582097383</v>
      </c>
      <c r="N27" s="97">
        <v>751.63273972739421</v>
      </c>
      <c r="O27" s="97">
        <v>746.09842740418435</v>
      </c>
      <c r="P27" s="97">
        <v>710.96564654239739</v>
      </c>
      <c r="Q27" s="97">
        <v>745.5854112011898</v>
      </c>
      <c r="R27" s="97">
        <v>737.60318401597283</v>
      </c>
      <c r="S27" s="97">
        <v>689.316503021475</v>
      </c>
      <c r="T27" s="97">
        <v>676.16156280067935</v>
      </c>
      <c r="U27" s="97">
        <v>673.44497178460767</v>
      </c>
      <c r="V27" s="97">
        <v>642.1960015482739</v>
      </c>
      <c r="W27" s="97">
        <v>640.88075394822704</v>
      </c>
      <c r="X27" s="92">
        <v>16135.727816949315</v>
      </c>
    </row>
    <row r="28" spans="2:24">
      <c r="B28" s="88" t="s">
        <v>65</v>
      </c>
      <c r="C28" s="90">
        <v>751.74029999999993</v>
      </c>
      <c r="D28" s="90">
        <v>752.66582539846718</v>
      </c>
      <c r="E28" s="90">
        <v>753.41760383438839</v>
      </c>
      <c r="F28" s="92"/>
      <c r="G28" s="90">
        <v>723.25439721573605</v>
      </c>
      <c r="H28" s="90">
        <v>648.71102635030354</v>
      </c>
      <c r="I28" s="90">
        <v>691.52073620400017</v>
      </c>
      <c r="J28" s="90">
        <v>686.07868128329812</v>
      </c>
      <c r="K28" s="90">
        <v>609.49884482474386</v>
      </c>
      <c r="L28" s="90">
        <v>631.50671923951791</v>
      </c>
      <c r="M28" s="90">
        <v>592.98782686573031</v>
      </c>
      <c r="N28" s="90">
        <v>563.7245547955456</v>
      </c>
      <c r="O28" s="90">
        <v>559.57382055313826</v>
      </c>
      <c r="P28" s="90">
        <v>533.22423490679807</v>
      </c>
      <c r="Q28" s="90">
        <v>559.18905840089235</v>
      </c>
      <c r="R28" s="90">
        <v>553.20238801197956</v>
      </c>
      <c r="S28" s="90">
        <v>516.98737726610625</v>
      </c>
      <c r="T28" s="90">
        <v>507.12117210050951</v>
      </c>
      <c r="U28" s="90">
        <v>505.08372883845573</v>
      </c>
      <c r="V28" s="90">
        <v>481.64700116120542</v>
      </c>
      <c r="W28" s="90">
        <v>480.66056546117028</v>
      </c>
      <c r="X28" s="92"/>
    </row>
    <row r="29" spans="2:24">
      <c r="B29" s="88" t="s">
        <v>2</v>
      </c>
      <c r="C29" s="90">
        <v>250.58009999999999</v>
      </c>
      <c r="D29" s="90">
        <v>250.88860846615574</v>
      </c>
      <c r="E29" s="90">
        <v>251.13920127812946</v>
      </c>
      <c r="F29" s="92"/>
      <c r="G29" s="90">
        <v>241.08479907191202</v>
      </c>
      <c r="H29" s="90">
        <v>216.2370087834345</v>
      </c>
      <c r="I29" s="90">
        <v>230.50691206800005</v>
      </c>
      <c r="J29" s="90">
        <v>228.69289376109938</v>
      </c>
      <c r="K29" s="90">
        <v>203.16628160824794</v>
      </c>
      <c r="L29" s="90">
        <v>210.50223974650598</v>
      </c>
      <c r="M29" s="90">
        <v>197.66260895524346</v>
      </c>
      <c r="N29" s="90">
        <v>187.90818493184855</v>
      </c>
      <c r="O29" s="90">
        <v>186.52460685104609</v>
      </c>
      <c r="P29" s="90">
        <v>177.74141163559935</v>
      </c>
      <c r="Q29" s="90">
        <v>186.39635280029745</v>
      </c>
      <c r="R29" s="90">
        <v>184.40079600399321</v>
      </c>
      <c r="S29" s="90">
        <v>172.32912575536875</v>
      </c>
      <c r="T29" s="90">
        <v>169.04039070016984</v>
      </c>
      <c r="U29" s="90">
        <v>168.36124294615192</v>
      </c>
      <c r="V29" s="90">
        <v>160.54900038706847</v>
      </c>
      <c r="W29" s="90">
        <v>160.22018848705676</v>
      </c>
      <c r="X29" s="92"/>
    </row>
    <row r="30" spans="2:24">
      <c r="B30" s="88"/>
      <c r="C30" s="90"/>
      <c r="D30" s="90"/>
      <c r="E30" s="90"/>
      <c r="F30" s="92"/>
      <c r="G30" s="90"/>
      <c r="H30" s="90"/>
      <c r="I30" s="90"/>
      <c r="J30" s="90"/>
      <c r="K30" s="90"/>
      <c r="L30" s="90"/>
      <c r="M30" s="90"/>
      <c r="N30" s="90"/>
      <c r="O30" s="90"/>
      <c r="P30" s="90"/>
      <c r="Q30" s="90"/>
      <c r="R30" s="90"/>
      <c r="S30" s="90"/>
      <c r="T30" s="90"/>
      <c r="U30" s="90"/>
      <c r="V30" s="90"/>
      <c r="W30" s="90"/>
      <c r="X30" s="92"/>
    </row>
    <row r="31" spans="2:24" ht="15.75">
      <c r="B31" s="93" t="s">
        <v>70</v>
      </c>
      <c r="F31" s="87"/>
      <c r="X31" s="87"/>
    </row>
    <row r="32" spans="2:24">
      <c r="B32" s="77" t="s">
        <v>65</v>
      </c>
      <c r="C32" s="79">
        <v>6015989.797896374</v>
      </c>
      <c r="D32" s="79">
        <v>6023396.5464169392</v>
      </c>
      <c r="E32" s="79">
        <v>6029412.841407082</v>
      </c>
      <c r="F32" s="89"/>
      <c r="G32" s="79">
        <v>6173892.5174857117</v>
      </c>
      <c r="H32" s="79">
        <v>5537570.4136921568</v>
      </c>
      <c r="I32" s="79">
        <v>5903005.5197336003</v>
      </c>
      <c r="J32" s="79">
        <v>5856550.6868504388</v>
      </c>
      <c r="K32" s="79">
        <v>5202844.7693726644</v>
      </c>
      <c r="L32" s="79">
        <v>5390709.8576434087</v>
      </c>
      <c r="M32" s="79">
        <v>5061902.3145107962</v>
      </c>
      <c r="N32" s="79">
        <v>4812103.2159269946</v>
      </c>
      <c r="O32" s="79">
        <v>4776671.4409112856</v>
      </c>
      <c r="P32" s="79">
        <v>4551744.3470878052</v>
      </c>
      <c r="Q32" s="79">
        <v>4773387.0085152872</v>
      </c>
      <c r="R32" s="79">
        <v>4722283.1926780837</v>
      </c>
      <c r="S32" s="79">
        <v>4413142.1978561468</v>
      </c>
      <c r="T32" s="79">
        <v>4328921.638005632</v>
      </c>
      <c r="U32" s="79">
        <v>4311529.4786785413</v>
      </c>
      <c r="V32" s="79">
        <v>4111467.3177045425</v>
      </c>
      <c r="W32" s="79">
        <v>4155461.759362658</v>
      </c>
      <c r="X32" s="89"/>
    </row>
    <row r="33" spans="2:24" ht="17.25">
      <c r="B33" s="77" t="s">
        <v>2</v>
      </c>
      <c r="C33" s="94">
        <v>1561957.4074425749</v>
      </c>
      <c r="D33" s="94">
        <v>1563880.4535422882</v>
      </c>
      <c r="E33" s="94">
        <v>1565442.4901881116</v>
      </c>
      <c r="F33" s="95"/>
      <c r="G33" s="94">
        <v>1202215.7792488001</v>
      </c>
      <c r="H33" s="94">
        <v>1078307.4877295063</v>
      </c>
      <c r="I33" s="94">
        <v>1149467.1085894753</v>
      </c>
      <c r="J33" s="94">
        <v>1140421.15695421</v>
      </c>
      <c r="K33" s="94">
        <v>1013127.7894791074</v>
      </c>
      <c r="L33" s="94">
        <v>1049709.9575115752</v>
      </c>
      <c r="M33" s="94">
        <v>985682.66588469723</v>
      </c>
      <c r="N33" s="94">
        <v>937040.3519621552</v>
      </c>
      <c r="O33" s="94">
        <v>930140.87340951827</v>
      </c>
      <c r="P33" s="94">
        <v>886341.77897933417</v>
      </c>
      <c r="Q33" s="94">
        <v>929501.30988599372</v>
      </c>
      <c r="R33" s="94">
        <v>919550.08161220909</v>
      </c>
      <c r="S33" s="94">
        <v>859352.37312684045</v>
      </c>
      <c r="T33" s="94">
        <v>842952.46242177172</v>
      </c>
      <c r="U33" s="94">
        <v>839565.76135449228</v>
      </c>
      <c r="V33" s="94">
        <v>800608.50933360611</v>
      </c>
      <c r="W33" s="94">
        <v>809175.35947082983</v>
      </c>
      <c r="X33" s="89"/>
    </row>
    <row r="34" spans="2:24">
      <c r="B34" s="77" t="s">
        <v>71</v>
      </c>
      <c r="C34" s="79">
        <v>7577947.2053389493</v>
      </c>
      <c r="D34" s="79">
        <v>7587276.9999592276</v>
      </c>
      <c r="E34" s="79">
        <v>7594855.3315951936</v>
      </c>
      <c r="F34" s="89">
        <v>22760079.536893371</v>
      </c>
      <c r="G34" s="79">
        <v>7376108.2967345119</v>
      </c>
      <c r="H34" s="79">
        <v>6615877.9014216634</v>
      </c>
      <c r="I34" s="79">
        <v>7052472.6283230754</v>
      </c>
      <c r="J34" s="79">
        <v>6996971.8438046491</v>
      </c>
      <c r="K34" s="79">
        <v>6215972.558851772</v>
      </c>
      <c r="L34" s="79">
        <v>6440419.8151549837</v>
      </c>
      <c r="M34" s="79">
        <v>6047584.9803954931</v>
      </c>
      <c r="N34" s="79">
        <v>5749143.5678891502</v>
      </c>
      <c r="O34" s="79">
        <v>5706812.3143208036</v>
      </c>
      <c r="P34" s="79">
        <v>5438086.1260671392</v>
      </c>
      <c r="Q34" s="79">
        <v>5702888.3184012808</v>
      </c>
      <c r="R34" s="79">
        <v>5641833.2742902925</v>
      </c>
      <c r="S34" s="79">
        <v>5272494.5709829871</v>
      </c>
      <c r="T34" s="79">
        <v>5171874.100427404</v>
      </c>
      <c r="U34" s="79">
        <v>5151095.2400330333</v>
      </c>
      <c r="V34" s="79">
        <v>4912075.8270381484</v>
      </c>
      <c r="W34" s="79">
        <v>4964637.1188334879</v>
      </c>
      <c r="X34" s="89">
        <v>123216428.01986325</v>
      </c>
    </row>
    <row r="35" spans="2:24">
      <c r="F35" s="87"/>
      <c r="X35" s="87"/>
    </row>
    <row r="36" spans="2:24">
      <c r="B36" s="77"/>
      <c r="C36" s="6">
        <v>2015</v>
      </c>
      <c r="D36" s="6">
        <v>2016</v>
      </c>
      <c r="E36" s="6">
        <v>2017</v>
      </c>
      <c r="F36" s="101"/>
      <c r="G36" s="6">
        <v>2018</v>
      </c>
      <c r="H36" s="6">
        <v>2019</v>
      </c>
      <c r="I36" s="6">
        <v>2020</v>
      </c>
      <c r="J36" s="6">
        <v>2021</v>
      </c>
      <c r="K36" s="6">
        <v>2022</v>
      </c>
      <c r="L36" s="6">
        <v>2023</v>
      </c>
      <c r="M36" s="6">
        <v>2024</v>
      </c>
      <c r="N36" s="6">
        <v>2025</v>
      </c>
      <c r="O36" s="6">
        <v>2026</v>
      </c>
      <c r="P36" s="6">
        <v>2027</v>
      </c>
      <c r="Q36" s="6">
        <v>2028</v>
      </c>
      <c r="R36" s="6">
        <v>2029</v>
      </c>
      <c r="S36" s="6">
        <v>2030</v>
      </c>
      <c r="T36" s="6">
        <v>2031</v>
      </c>
      <c r="U36" s="6">
        <v>2032</v>
      </c>
      <c r="V36" s="6">
        <v>2033</v>
      </c>
      <c r="W36" s="6">
        <v>2034</v>
      </c>
      <c r="X36" s="101" t="s">
        <v>4</v>
      </c>
    </row>
    <row r="37" spans="2:24">
      <c r="B37" s="102" t="s">
        <v>18</v>
      </c>
      <c r="F37" s="87"/>
      <c r="X37" s="87"/>
    </row>
    <row r="38" spans="2:24">
      <c r="B38" s="103" t="s">
        <v>2</v>
      </c>
      <c r="F38" s="87"/>
      <c r="X38" s="87"/>
    </row>
    <row r="39" spans="2:24">
      <c r="B39" s="104" t="s">
        <v>72</v>
      </c>
      <c r="C39" s="90">
        <v>67.690461860999989</v>
      </c>
      <c r="D39" s="90">
        <v>67.773800803566118</v>
      </c>
      <c r="E39" s="90">
        <v>67.841494699376454</v>
      </c>
      <c r="F39" s="92"/>
      <c r="G39" s="90">
        <v>52.100358797347781</v>
      </c>
      <c r="H39" s="90">
        <v>46.730552014279802</v>
      </c>
      <c r="I39" s="90">
        <v>49.814392571591561</v>
      </c>
      <c r="J39" s="90">
        <v>49.422368665404548</v>
      </c>
      <c r="K39" s="90">
        <v>43.905863032680706</v>
      </c>
      <c r="L39" s="90">
        <v>45.491222427370538</v>
      </c>
      <c r="M39" s="90">
        <v>42.716475227939206</v>
      </c>
      <c r="N39" s="90">
        <v>40.608465957189821</v>
      </c>
      <c r="O39" s="90">
        <v>40.309463636382155</v>
      </c>
      <c r="P39" s="90">
        <v>38.411344701162911</v>
      </c>
      <c r="Q39" s="90">
        <v>40.281746907302008</v>
      </c>
      <c r="R39" s="90">
        <v>39.850491077452183</v>
      </c>
      <c r="S39" s="90">
        <v>37.241706311022341</v>
      </c>
      <c r="T39" s="90">
        <v>36.530984286967353</v>
      </c>
      <c r="U39" s="90">
        <v>36.384215009945493</v>
      </c>
      <c r="V39" s="90">
        <v>34.695926731683905</v>
      </c>
      <c r="W39" s="90">
        <v>35.067187842722852</v>
      </c>
      <c r="X39" s="92"/>
    </row>
    <row r="40" spans="2:24">
      <c r="B40" s="105" t="s">
        <v>9</v>
      </c>
      <c r="C40" s="90">
        <v>1286.118775359</v>
      </c>
      <c r="D40" s="90">
        <v>1287.7022152677562</v>
      </c>
      <c r="E40" s="90">
        <v>1288.9883992881526</v>
      </c>
      <c r="F40" s="92"/>
      <c r="G40" s="90">
        <v>989.90681714960783</v>
      </c>
      <c r="H40" s="90">
        <v>887.88048827131627</v>
      </c>
      <c r="I40" s="90">
        <v>946.4734588602397</v>
      </c>
      <c r="J40" s="90">
        <v>939.02500464268644</v>
      </c>
      <c r="K40" s="90">
        <v>834.21139762093344</v>
      </c>
      <c r="L40" s="90">
        <v>864.33322612004031</v>
      </c>
      <c r="M40" s="90">
        <v>811.61302933084494</v>
      </c>
      <c r="N40" s="90">
        <v>771.56085318660666</v>
      </c>
      <c r="O40" s="90">
        <v>765.879809091261</v>
      </c>
      <c r="P40" s="90">
        <v>729.81554932209531</v>
      </c>
      <c r="Q40" s="90">
        <v>765.35319123873808</v>
      </c>
      <c r="R40" s="90">
        <v>757.15933047159137</v>
      </c>
      <c r="S40" s="90">
        <v>707.59241990942451</v>
      </c>
      <c r="T40" s="90">
        <v>694.08870145237972</v>
      </c>
      <c r="U40" s="90">
        <v>691.30008518896432</v>
      </c>
      <c r="V40" s="90">
        <v>659.22260790199414</v>
      </c>
      <c r="W40" s="90">
        <v>666.27656901173418</v>
      </c>
      <c r="X40" s="92"/>
    </row>
    <row r="41" spans="2:24">
      <c r="B41" s="105" t="s">
        <v>73</v>
      </c>
      <c r="C41" s="90">
        <v>253.83923197874998</v>
      </c>
      <c r="D41" s="90">
        <v>254.15175301337294</v>
      </c>
      <c r="E41" s="90">
        <v>254.40560512266168</v>
      </c>
      <c r="F41" s="92"/>
      <c r="G41" s="90">
        <v>195.37634549005418</v>
      </c>
      <c r="H41" s="90">
        <v>175.23957005354924</v>
      </c>
      <c r="I41" s="90">
        <v>186.80397214346834</v>
      </c>
      <c r="J41" s="90">
        <v>185.33388249526703</v>
      </c>
      <c r="K41" s="90">
        <v>164.64698637255265</v>
      </c>
      <c r="L41" s="90">
        <v>170.59208410263952</v>
      </c>
      <c r="M41" s="90">
        <v>160.18678210477202</v>
      </c>
      <c r="N41" s="90">
        <v>152.28174733946184</v>
      </c>
      <c r="O41" s="90">
        <v>151.16048863643309</v>
      </c>
      <c r="P41" s="90">
        <v>144.04254262936092</v>
      </c>
      <c r="Q41" s="90">
        <v>151.0565509023825</v>
      </c>
      <c r="R41" s="90">
        <v>149.43934154044567</v>
      </c>
      <c r="S41" s="90">
        <v>139.65639866633376</v>
      </c>
      <c r="T41" s="90">
        <v>136.99119107612756</v>
      </c>
      <c r="U41" s="90">
        <v>136.4408062872956</v>
      </c>
      <c r="V41" s="90">
        <v>130.10972524381464</v>
      </c>
      <c r="W41" s="90">
        <v>131.50195441021069</v>
      </c>
      <c r="X41" s="92"/>
    </row>
    <row r="42" spans="2:24" ht="17.25">
      <c r="B42" s="105" t="s">
        <v>74</v>
      </c>
      <c r="C42" s="97">
        <v>84.613077326249993</v>
      </c>
      <c r="D42" s="97">
        <v>84.717251004457651</v>
      </c>
      <c r="E42" s="97">
        <v>84.801868374220575</v>
      </c>
      <c r="F42" s="92"/>
      <c r="G42" s="97">
        <v>65.125448496684726</v>
      </c>
      <c r="H42" s="97">
        <v>58.413190017849757</v>
      </c>
      <c r="I42" s="97">
        <v>62.267990714489457</v>
      </c>
      <c r="J42" s="97">
        <v>61.777960831755685</v>
      </c>
      <c r="K42" s="97">
        <v>54.882328790850892</v>
      </c>
      <c r="L42" s="97">
        <v>56.864028034213177</v>
      </c>
      <c r="M42" s="97">
        <v>53.395594034924017</v>
      </c>
      <c r="N42" s="97">
        <v>50.760582446487284</v>
      </c>
      <c r="O42" s="97">
        <v>50.386829545477696</v>
      </c>
      <c r="P42" s="97">
        <v>48.014180876453644</v>
      </c>
      <c r="Q42" s="97">
        <v>50.352183634127506</v>
      </c>
      <c r="R42" s="97">
        <v>49.813113846815227</v>
      </c>
      <c r="S42" s="97">
        <v>46.552132888777926</v>
      </c>
      <c r="T42" s="97">
        <v>45.663730358709195</v>
      </c>
      <c r="U42" s="97">
        <v>45.480268762431869</v>
      </c>
      <c r="V42" s="97">
        <v>43.369908414604879</v>
      </c>
      <c r="W42" s="97">
        <v>43.833984803403567</v>
      </c>
      <c r="X42" s="92"/>
    </row>
    <row r="43" spans="2:24">
      <c r="B43" s="106" t="s">
        <v>15</v>
      </c>
      <c r="C43" s="90">
        <v>1692.2615465249999</v>
      </c>
      <c r="D43" s="90">
        <v>1694.3450200891527</v>
      </c>
      <c r="E43" s="90">
        <v>1696.0373674844111</v>
      </c>
      <c r="F43" s="92">
        <v>5082.6439340985635</v>
      </c>
      <c r="G43" s="90">
        <v>1302.5089699336945</v>
      </c>
      <c r="H43" s="90">
        <v>1168.263800356995</v>
      </c>
      <c r="I43" s="90">
        <v>1245.3598142897893</v>
      </c>
      <c r="J43" s="90">
        <v>1235.5592166351137</v>
      </c>
      <c r="K43" s="90">
        <v>1097.6465758170175</v>
      </c>
      <c r="L43" s="90">
        <v>1137.2805606842635</v>
      </c>
      <c r="M43" s="90">
        <v>1067.9118806984802</v>
      </c>
      <c r="N43" s="90">
        <v>1015.2116489297456</v>
      </c>
      <c r="O43" s="90">
        <v>1007.7365909095539</v>
      </c>
      <c r="P43" s="90">
        <v>960.28361752907279</v>
      </c>
      <c r="Q43" s="90">
        <v>1007.0436726825501</v>
      </c>
      <c r="R43" s="90">
        <v>996.26227693630437</v>
      </c>
      <c r="S43" s="90">
        <v>931.0426577755585</v>
      </c>
      <c r="T43" s="90">
        <v>913.27460717418398</v>
      </c>
      <c r="U43" s="90">
        <v>909.60537524863719</v>
      </c>
      <c r="V43" s="90">
        <v>867.39816829209758</v>
      </c>
      <c r="W43" s="90">
        <v>876.67969606807139</v>
      </c>
      <c r="X43" s="92"/>
    </row>
    <row r="44" spans="2:24">
      <c r="C44" s="90"/>
      <c r="D44" s="90"/>
      <c r="E44" s="90"/>
      <c r="F44" s="92"/>
      <c r="G44" s="90"/>
      <c r="H44" s="90"/>
      <c r="I44" s="90"/>
      <c r="J44" s="90"/>
      <c r="K44" s="90"/>
      <c r="L44" s="90"/>
      <c r="M44" s="90"/>
      <c r="N44" s="90"/>
      <c r="O44" s="90"/>
      <c r="P44" s="90"/>
      <c r="Q44" s="90"/>
      <c r="R44" s="90"/>
      <c r="S44" s="90"/>
      <c r="T44" s="90"/>
      <c r="U44" s="90"/>
      <c r="V44" s="90"/>
      <c r="W44" s="90"/>
      <c r="X44" s="92"/>
    </row>
    <row r="45" spans="2:24">
      <c r="B45" s="103" t="s">
        <v>65</v>
      </c>
      <c r="C45" s="90"/>
      <c r="D45" s="90"/>
      <c r="E45" s="90"/>
      <c r="F45" s="92"/>
      <c r="G45" s="90"/>
      <c r="H45" s="90"/>
      <c r="I45" s="90"/>
      <c r="J45" s="90"/>
      <c r="K45" s="90"/>
      <c r="L45" s="90"/>
      <c r="M45" s="90"/>
      <c r="N45" s="90"/>
      <c r="O45" s="90"/>
      <c r="P45" s="90"/>
      <c r="Q45" s="90"/>
      <c r="R45" s="90"/>
      <c r="S45" s="90"/>
      <c r="T45" s="90"/>
      <c r="U45" s="90"/>
      <c r="V45" s="90"/>
      <c r="W45" s="90"/>
      <c r="X45" s="92"/>
    </row>
    <row r="46" spans="2:24">
      <c r="B46" s="107" t="s">
        <v>7</v>
      </c>
      <c r="C46" s="90">
        <v>761.51769593624988</v>
      </c>
      <c r="D46" s="90">
        <v>762.45525904011879</v>
      </c>
      <c r="E46" s="90">
        <v>763.21681536798508</v>
      </c>
      <c r="F46" s="92"/>
      <c r="G46" s="90">
        <v>781.50538196021671</v>
      </c>
      <c r="H46" s="90">
        <v>700.95828021419698</v>
      </c>
      <c r="I46" s="90">
        <v>747.21588857387337</v>
      </c>
      <c r="J46" s="90">
        <v>741.33552998106813</v>
      </c>
      <c r="K46" s="90">
        <v>658.58794549021059</v>
      </c>
      <c r="L46" s="90">
        <v>682.36833641055807</v>
      </c>
      <c r="M46" s="90">
        <v>640.74712841908809</v>
      </c>
      <c r="N46" s="90">
        <v>609.12698935784738</v>
      </c>
      <c r="O46" s="90">
        <v>604.64195454573235</v>
      </c>
      <c r="P46" s="90">
        <v>576.17017051744369</v>
      </c>
      <c r="Q46" s="90">
        <v>604.22620360952999</v>
      </c>
      <c r="R46" s="90">
        <v>597.75736616178267</v>
      </c>
      <c r="S46" s="90">
        <v>558.62559466533503</v>
      </c>
      <c r="T46" s="90">
        <v>547.96476430451025</v>
      </c>
      <c r="U46" s="90">
        <v>545.7632251491824</v>
      </c>
      <c r="V46" s="90">
        <v>520.43890097525855</v>
      </c>
      <c r="W46" s="90">
        <v>526.00781764084275</v>
      </c>
      <c r="X46" s="92"/>
    </row>
    <row r="47" spans="2:24" ht="17.25">
      <c r="B47" s="107" t="s">
        <v>75</v>
      </c>
      <c r="C47" s="97">
        <v>4315.2669436387496</v>
      </c>
      <c r="D47" s="97">
        <v>4320.5798012273399</v>
      </c>
      <c r="E47" s="97">
        <v>4324.895287085249</v>
      </c>
      <c r="F47" s="92"/>
      <c r="G47" s="97">
        <v>4428.5304977745618</v>
      </c>
      <c r="H47" s="97">
        <v>3972.0969212137834</v>
      </c>
      <c r="I47" s="97">
        <v>4234.2233685852825</v>
      </c>
      <c r="J47" s="97">
        <v>4200.9013365593864</v>
      </c>
      <c r="K47" s="97">
        <v>3731.9983577778603</v>
      </c>
      <c r="L47" s="97">
        <v>3866.7539063264958</v>
      </c>
      <c r="M47" s="97">
        <v>3630.900394374833</v>
      </c>
      <c r="N47" s="97">
        <v>3451.719606361135</v>
      </c>
      <c r="O47" s="97">
        <v>3426.3044090924832</v>
      </c>
      <c r="P47" s="97">
        <v>3264.9642995988474</v>
      </c>
      <c r="Q47" s="97">
        <v>3423.9484871206705</v>
      </c>
      <c r="R47" s="97">
        <v>3387.2917415834354</v>
      </c>
      <c r="S47" s="97">
        <v>3165.545036436899</v>
      </c>
      <c r="T47" s="97">
        <v>3105.133664392225</v>
      </c>
      <c r="U47" s="97">
        <v>3092.6582758453669</v>
      </c>
      <c r="V47" s="97">
        <v>2949.1537721931318</v>
      </c>
      <c r="W47" s="97">
        <v>2980.7109666314423</v>
      </c>
      <c r="X47" s="92"/>
    </row>
    <row r="48" spans="2:24">
      <c r="B48" s="106" t="s">
        <v>76</v>
      </c>
      <c r="C48" s="90">
        <v>5076.7846395749993</v>
      </c>
      <c r="D48" s="90">
        <v>5083.0350602674589</v>
      </c>
      <c r="E48" s="90">
        <v>5088.112102453234</v>
      </c>
      <c r="F48" s="92">
        <v>15247.93180229569</v>
      </c>
      <c r="G48" s="90">
        <v>5210.0358797347781</v>
      </c>
      <c r="H48" s="90">
        <v>4673.0552014279801</v>
      </c>
      <c r="I48" s="90">
        <v>4981.4392571591561</v>
      </c>
      <c r="J48" s="90">
        <v>4942.2368665404547</v>
      </c>
      <c r="K48" s="90">
        <v>4390.5863032680709</v>
      </c>
      <c r="L48" s="90">
        <v>4549.122242737054</v>
      </c>
      <c r="M48" s="90">
        <v>4271.6475227939209</v>
      </c>
      <c r="N48" s="90">
        <v>4060.8465957189824</v>
      </c>
      <c r="O48" s="90">
        <v>4030.9463636382156</v>
      </c>
      <c r="P48" s="90">
        <v>3841.1344701162911</v>
      </c>
      <c r="Q48" s="90">
        <v>4028.1746907302004</v>
      </c>
      <c r="R48" s="90">
        <v>3985.049107745218</v>
      </c>
      <c r="S48" s="90">
        <v>3724.170631102234</v>
      </c>
      <c r="T48" s="90">
        <v>3653.098428696735</v>
      </c>
      <c r="U48" s="90">
        <v>3638.4215009945492</v>
      </c>
      <c r="V48" s="90">
        <v>3469.5926731683903</v>
      </c>
      <c r="W48" s="90">
        <v>3506.7187842722851</v>
      </c>
      <c r="X48" s="92"/>
    </row>
    <row r="49" spans="2:24">
      <c r="B49" s="108"/>
      <c r="C49" s="90"/>
      <c r="D49" s="90"/>
      <c r="E49" s="90"/>
      <c r="F49" s="92"/>
      <c r="G49" s="90"/>
      <c r="H49" s="90"/>
      <c r="I49" s="90"/>
      <c r="J49" s="90"/>
      <c r="K49" s="90"/>
      <c r="L49" s="90"/>
      <c r="M49" s="90"/>
      <c r="N49" s="90"/>
      <c r="O49" s="90"/>
      <c r="P49" s="90"/>
      <c r="Q49" s="90"/>
      <c r="R49" s="90"/>
      <c r="S49" s="90"/>
      <c r="T49" s="90"/>
      <c r="U49" s="90"/>
      <c r="V49" s="90"/>
      <c r="W49" s="90"/>
      <c r="X49" s="92"/>
    </row>
    <row r="50" spans="2:24">
      <c r="B50" s="109" t="s">
        <v>77</v>
      </c>
      <c r="C50" s="90">
        <v>6769.0461860999994</v>
      </c>
      <c r="D50" s="90">
        <v>6777.3800803566119</v>
      </c>
      <c r="E50" s="90">
        <v>6784.1494699376453</v>
      </c>
      <c r="F50" s="92">
        <v>20330.575736394258</v>
      </c>
      <c r="G50" s="90">
        <v>6512.544849668473</v>
      </c>
      <c r="H50" s="90">
        <v>5841.3190017849756</v>
      </c>
      <c r="I50" s="90">
        <v>6226.7990714489451</v>
      </c>
      <c r="J50" s="90">
        <v>6177.7960831755681</v>
      </c>
      <c r="K50" s="90">
        <v>5488.2328790850879</v>
      </c>
      <c r="L50" s="90">
        <v>5686.402803421317</v>
      </c>
      <c r="M50" s="90">
        <v>5339.5594034924015</v>
      </c>
      <c r="N50" s="90">
        <v>5076.0582446487279</v>
      </c>
      <c r="O50" s="90">
        <v>5038.6829545477694</v>
      </c>
      <c r="P50" s="90">
        <v>4801.4180876453638</v>
      </c>
      <c r="Q50" s="90">
        <v>5035.2183634127505</v>
      </c>
      <c r="R50" s="90">
        <v>4981.3113846815222</v>
      </c>
      <c r="S50" s="90">
        <v>4655.2132888777924</v>
      </c>
      <c r="T50" s="90">
        <v>4566.373035870919</v>
      </c>
      <c r="U50" s="90">
        <v>4548.0268762431861</v>
      </c>
      <c r="V50" s="90">
        <v>4336.9908414604879</v>
      </c>
      <c r="W50" s="90">
        <v>4383.3984803403564</v>
      </c>
      <c r="X50" s="92">
        <v>109025.9213861999</v>
      </c>
    </row>
    <row r="51" spans="2:24">
      <c r="B51" s="109"/>
      <c r="C51" s="90"/>
      <c r="D51" s="90"/>
      <c r="E51" s="90"/>
      <c r="F51" s="92"/>
      <c r="G51" s="90"/>
      <c r="H51" s="90"/>
      <c r="I51" s="90"/>
      <c r="J51" s="90"/>
      <c r="K51" s="90"/>
      <c r="L51" s="90"/>
      <c r="M51" s="90"/>
      <c r="N51" s="90"/>
      <c r="O51" s="90"/>
      <c r="P51" s="90"/>
      <c r="Q51" s="90"/>
      <c r="R51" s="90"/>
      <c r="S51" s="90"/>
      <c r="T51" s="90"/>
      <c r="U51" s="90"/>
      <c r="V51" s="90"/>
      <c r="W51" s="90"/>
      <c r="X51" s="92"/>
    </row>
    <row r="52" spans="2:24">
      <c r="B52" s="102" t="s">
        <v>78</v>
      </c>
      <c r="F52" s="87"/>
      <c r="X52" s="87"/>
    </row>
    <row r="53" spans="2:24">
      <c r="B53" s="103" t="s">
        <v>2</v>
      </c>
      <c r="F53" s="87"/>
      <c r="X53" s="87"/>
    </row>
    <row r="54" spans="2:24">
      <c r="B54" s="104" t="s">
        <v>72</v>
      </c>
      <c r="C54" s="90">
        <v>9.7243469999999999</v>
      </c>
      <c r="D54" s="90">
        <v>9.7243469999999999</v>
      </c>
      <c r="E54" s="90">
        <v>9.6898634999999995</v>
      </c>
      <c r="F54" s="92"/>
      <c r="G54" s="90">
        <v>9.230083500000001</v>
      </c>
      <c r="H54" s="90">
        <v>8.2645455000000005</v>
      </c>
      <c r="I54" s="90">
        <v>8.3679960000000015</v>
      </c>
      <c r="J54" s="90">
        <v>8.2645455000000005</v>
      </c>
      <c r="K54" s="90">
        <v>4.8851624999999999</v>
      </c>
      <c r="L54" s="90">
        <v>7.5288974999999994</v>
      </c>
      <c r="M54" s="90">
        <v>7.3794690000000003</v>
      </c>
      <c r="N54" s="90">
        <v>6.4943925</v>
      </c>
      <c r="O54" s="90">
        <v>6.4254255000000002</v>
      </c>
      <c r="P54" s="90">
        <v>6.2759970000000003</v>
      </c>
      <c r="Q54" s="90">
        <v>6.2530080000000003</v>
      </c>
      <c r="R54" s="90">
        <v>6.2185245000000009</v>
      </c>
      <c r="S54" s="90">
        <v>4.8161955000000001</v>
      </c>
      <c r="T54" s="90">
        <v>4.7817119999999997</v>
      </c>
      <c r="U54" s="90">
        <v>4.7472285000000003</v>
      </c>
      <c r="V54" s="90">
        <v>4.6092944999999999</v>
      </c>
      <c r="W54" s="90">
        <v>4.5863054999999999</v>
      </c>
      <c r="X54" s="87"/>
    </row>
    <row r="55" spans="2:24">
      <c r="B55" s="105" t="s">
        <v>9</v>
      </c>
      <c r="C55" s="90">
        <v>184.76259300000001</v>
      </c>
      <c r="D55" s="90">
        <v>184.76259300000001</v>
      </c>
      <c r="E55" s="90">
        <v>184.1074065</v>
      </c>
      <c r="F55" s="92"/>
      <c r="G55" s="90">
        <v>175.37158650000001</v>
      </c>
      <c r="H55" s="90">
        <v>157.0263645</v>
      </c>
      <c r="I55" s="90">
        <v>158.99192400000001</v>
      </c>
      <c r="J55" s="90">
        <v>157.0263645</v>
      </c>
      <c r="K55" s="90">
        <v>92.818087500000004</v>
      </c>
      <c r="L55" s="90">
        <v>143.04905249999999</v>
      </c>
      <c r="M55" s="90">
        <v>140.20991100000001</v>
      </c>
      <c r="N55" s="90">
        <v>123.39345750000001</v>
      </c>
      <c r="O55" s="90">
        <v>122.0830845</v>
      </c>
      <c r="P55" s="90">
        <v>119.243943</v>
      </c>
      <c r="Q55" s="90">
        <v>118.807152</v>
      </c>
      <c r="R55" s="90">
        <v>118.15196550000002</v>
      </c>
      <c r="S55" s="90">
        <v>91.507714500000006</v>
      </c>
      <c r="T55" s="90">
        <v>90.852528000000007</v>
      </c>
      <c r="U55" s="90">
        <v>90.197341499999993</v>
      </c>
      <c r="V55" s="90">
        <v>87.576595499999996</v>
      </c>
      <c r="W55" s="90">
        <v>87.139804499999997</v>
      </c>
      <c r="X55" s="87"/>
    </row>
    <row r="56" spans="2:24">
      <c r="B56" s="105" t="s">
        <v>73</v>
      </c>
      <c r="C56" s="90">
        <v>36.466301250000001</v>
      </c>
      <c r="D56" s="90">
        <v>36.466301250000001</v>
      </c>
      <c r="E56" s="90">
        <v>36.336988124999998</v>
      </c>
      <c r="F56" s="92"/>
      <c r="G56" s="90">
        <v>34.612813125000002</v>
      </c>
      <c r="H56" s="90">
        <v>30.992045624999999</v>
      </c>
      <c r="I56" s="90">
        <v>31.379985000000001</v>
      </c>
      <c r="J56" s="90">
        <v>30.992045624999999</v>
      </c>
      <c r="K56" s="90">
        <v>18.319359375000001</v>
      </c>
      <c r="L56" s="90">
        <v>28.233365624999998</v>
      </c>
      <c r="M56" s="90">
        <v>27.673008750000001</v>
      </c>
      <c r="N56" s="90">
        <v>24.353971874999999</v>
      </c>
      <c r="O56" s="90">
        <v>24.095345625</v>
      </c>
      <c r="P56" s="90">
        <v>23.53498875</v>
      </c>
      <c r="Q56" s="90">
        <v>23.448779999999999</v>
      </c>
      <c r="R56" s="90">
        <v>23.319466875000003</v>
      </c>
      <c r="S56" s="90">
        <v>18.060733124999999</v>
      </c>
      <c r="T56" s="90">
        <v>17.931419999999999</v>
      </c>
      <c r="U56" s="90">
        <v>17.802106875</v>
      </c>
      <c r="V56" s="90">
        <v>17.284854374999998</v>
      </c>
      <c r="W56" s="90">
        <v>17.198645624999997</v>
      </c>
      <c r="X56" s="87"/>
    </row>
    <row r="57" spans="2:24" ht="17.25">
      <c r="B57" s="105" t="s">
        <v>74</v>
      </c>
      <c r="C57" s="97">
        <v>12.15543375</v>
      </c>
      <c r="D57" s="97">
        <v>12.15543375</v>
      </c>
      <c r="E57" s="97">
        <v>12.112329375</v>
      </c>
      <c r="F57" s="98"/>
      <c r="G57" s="97">
        <v>11.537604375000001</v>
      </c>
      <c r="H57" s="97">
        <v>10.330681875000002</v>
      </c>
      <c r="I57" s="97">
        <v>10.459995000000001</v>
      </c>
      <c r="J57" s="97">
        <v>10.330681875000002</v>
      </c>
      <c r="K57" s="97">
        <v>6.1064531250000007</v>
      </c>
      <c r="L57" s="97">
        <v>9.4111218749999992</v>
      </c>
      <c r="M57" s="97">
        <v>9.2243362500000003</v>
      </c>
      <c r="N57" s="97">
        <v>8.1179906250000009</v>
      </c>
      <c r="O57" s="97">
        <v>8.0317818750000001</v>
      </c>
      <c r="P57" s="97">
        <v>7.8449962500000003</v>
      </c>
      <c r="Q57" s="97">
        <v>7.8162599999999998</v>
      </c>
      <c r="R57" s="97">
        <v>7.7731556250000011</v>
      </c>
      <c r="S57" s="97">
        <v>6.0202443750000008</v>
      </c>
      <c r="T57" s="97">
        <v>5.9771400000000003</v>
      </c>
      <c r="U57" s="97">
        <v>5.9340356249999999</v>
      </c>
      <c r="V57" s="97">
        <v>5.761618125</v>
      </c>
      <c r="W57" s="97">
        <v>5.7328818750000003</v>
      </c>
      <c r="X57" s="87"/>
    </row>
    <row r="58" spans="2:24">
      <c r="B58" s="106" t="s">
        <v>15</v>
      </c>
      <c r="C58" s="90">
        <v>243.10867500000001</v>
      </c>
      <c r="D58" s="90">
        <v>243.10867500000001</v>
      </c>
      <c r="E58" s="90">
        <v>242.2465875</v>
      </c>
      <c r="F58" s="92">
        <v>728.46393750000004</v>
      </c>
      <c r="G58" s="90">
        <v>230.75208750000002</v>
      </c>
      <c r="H58" s="90">
        <v>206.61363750000001</v>
      </c>
      <c r="I58" s="90">
        <v>209.19990000000001</v>
      </c>
      <c r="J58" s="90">
        <v>206.61363750000001</v>
      </c>
      <c r="K58" s="90">
        <v>122.1290625</v>
      </c>
      <c r="L58" s="90">
        <v>188.22243749999998</v>
      </c>
      <c r="M58" s="90">
        <v>184.48672500000001</v>
      </c>
      <c r="N58" s="90">
        <v>162.35981250000003</v>
      </c>
      <c r="O58" s="90">
        <v>160.6356375</v>
      </c>
      <c r="P58" s="90">
        <v>156.89992500000002</v>
      </c>
      <c r="Q58" s="90">
        <v>156.3252</v>
      </c>
      <c r="R58" s="90">
        <v>155.46311250000002</v>
      </c>
      <c r="S58" s="90">
        <v>120.40488750000002</v>
      </c>
      <c r="T58" s="90">
        <v>119.54280000000001</v>
      </c>
      <c r="U58" s="90">
        <v>118.6807125</v>
      </c>
      <c r="V58" s="90">
        <v>115.23236249999999</v>
      </c>
      <c r="W58" s="90">
        <v>114.65763749999999</v>
      </c>
      <c r="X58" s="87"/>
    </row>
    <row r="59" spans="2:24">
      <c r="F59" s="87"/>
      <c r="X59" s="87"/>
    </row>
    <row r="60" spans="2:24">
      <c r="B60" s="103" t="s">
        <v>65</v>
      </c>
      <c r="F60" s="87"/>
      <c r="X60" s="87"/>
    </row>
    <row r="61" spans="2:24">
      <c r="B61" s="107" t="s">
        <v>7</v>
      </c>
      <c r="C61" s="90">
        <v>109.39890375</v>
      </c>
      <c r="D61" s="90">
        <v>109.39890375</v>
      </c>
      <c r="E61" s="90">
        <v>109.01096437499997</v>
      </c>
      <c r="F61" s="92"/>
      <c r="G61" s="90">
        <v>103.83843937500001</v>
      </c>
      <c r="H61" s="90">
        <v>92.976136875000009</v>
      </c>
      <c r="I61" s="90">
        <v>94.139955</v>
      </c>
      <c r="J61" s="90">
        <v>92.976136875000009</v>
      </c>
      <c r="K61" s="90">
        <v>54.958078124999993</v>
      </c>
      <c r="L61" s="90">
        <v>84.700096875</v>
      </c>
      <c r="M61" s="90">
        <v>83.01902625000001</v>
      </c>
      <c r="N61" s="90">
        <v>73.061915624999997</v>
      </c>
      <c r="O61" s="90">
        <v>72.286036874999994</v>
      </c>
      <c r="P61" s="90">
        <v>70.60496624999999</v>
      </c>
      <c r="Q61" s="90">
        <v>70.346339999999998</v>
      </c>
      <c r="R61" s="90">
        <v>69.95840062500001</v>
      </c>
      <c r="S61" s="90">
        <v>54.182199375000003</v>
      </c>
      <c r="T61" s="90">
        <v>53.794260000000001</v>
      </c>
      <c r="U61" s="90">
        <v>53.406320624999992</v>
      </c>
      <c r="V61" s="90">
        <v>51.854563124999991</v>
      </c>
      <c r="W61" s="90">
        <v>51.595936875</v>
      </c>
      <c r="X61" s="87"/>
    </row>
    <row r="62" spans="2:24" ht="17.25">
      <c r="B62" s="107" t="s">
        <v>75</v>
      </c>
      <c r="C62" s="97">
        <v>619.92712125000003</v>
      </c>
      <c r="D62" s="97">
        <v>619.92712125000003</v>
      </c>
      <c r="E62" s="97">
        <v>617.72879812499991</v>
      </c>
      <c r="F62" s="98"/>
      <c r="G62" s="97">
        <v>588.41782312500004</v>
      </c>
      <c r="H62" s="97">
        <v>526.86477562499999</v>
      </c>
      <c r="I62" s="97">
        <v>533.459745</v>
      </c>
      <c r="J62" s="97">
        <v>526.86477562499999</v>
      </c>
      <c r="K62" s="97">
        <v>311.429109375</v>
      </c>
      <c r="L62" s="97">
        <v>479.96721562499999</v>
      </c>
      <c r="M62" s="97">
        <v>470.44114875000002</v>
      </c>
      <c r="N62" s="97">
        <v>414.01752187500006</v>
      </c>
      <c r="O62" s="97">
        <v>409.620875625</v>
      </c>
      <c r="P62" s="97">
        <v>400.09480874999997</v>
      </c>
      <c r="Q62" s="97">
        <v>398.62925999999999</v>
      </c>
      <c r="R62" s="97">
        <v>396.43093687500004</v>
      </c>
      <c r="S62" s="97">
        <v>307.03246312500005</v>
      </c>
      <c r="T62" s="97">
        <v>304.83413999999999</v>
      </c>
      <c r="U62" s="97">
        <v>302.63581687499999</v>
      </c>
      <c r="V62" s="97">
        <v>293.84252437499998</v>
      </c>
      <c r="W62" s="97">
        <v>292.376975625</v>
      </c>
      <c r="X62" s="110"/>
    </row>
    <row r="63" spans="2:24">
      <c r="B63" s="106" t="s">
        <v>76</v>
      </c>
      <c r="C63" s="90">
        <v>729.32602500000007</v>
      </c>
      <c r="D63" s="90">
        <v>729.32602500000007</v>
      </c>
      <c r="E63" s="90">
        <v>726.73976249999987</v>
      </c>
      <c r="F63" s="92">
        <v>2185.3918125</v>
      </c>
      <c r="G63" s="90">
        <v>692.25626250000005</v>
      </c>
      <c r="H63" s="90">
        <v>619.84091250000006</v>
      </c>
      <c r="I63" s="90">
        <v>627.59969999999998</v>
      </c>
      <c r="J63" s="90">
        <v>619.84091250000006</v>
      </c>
      <c r="K63" s="90">
        <v>366.38718749999998</v>
      </c>
      <c r="L63" s="90">
        <v>564.66731249999998</v>
      </c>
      <c r="M63" s="90">
        <v>553.46017500000005</v>
      </c>
      <c r="N63" s="90">
        <v>487.07943750000004</v>
      </c>
      <c r="O63" s="90">
        <v>481.90691249999998</v>
      </c>
      <c r="P63" s="90">
        <v>470.69977499999993</v>
      </c>
      <c r="Q63" s="90">
        <v>468.97559999999999</v>
      </c>
      <c r="R63" s="90">
        <v>466.38933750000007</v>
      </c>
      <c r="S63" s="90">
        <v>361.21466250000003</v>
      </c>
      <c r="T63" s="90">
        <v>358.6284</v>
      </c>
      <c r="U63" s="90">
        <v>356.04213749999997</v>
      </c>
      <c r="V63" s="90">
        <v>345.69708749999995</v>
      </c>
      <c r="W63" s="90">
        <v>343.97291250000001</v>
      </c>
      <c r="X63" s="87"/>
    </row>
    <row r="64" spans="2:24">
      <c r="B64" s="108"/>
      <c r="C64" s="90"/>
      <c r="D64" s="90"/>
      <c r="E64" s="90"/>
      <c r="F64" s="92"/>
      <c r="G64" s="90"/>
      <c r="H64" s="90"/>
      <c r="I64" s="90"/>
      <c r="J64" s="90"/>
      <c r="K64" s="90"/>
      <c r="L64" s="90"/>
      <c r="M64" s="90"/>
      <c r="N64" s="90"/>
      <c r="O64" s="90"/>
      <c r="P64" s="90"/>
      <c r="Q64" s="90"/>
      <c r="R64" s="90"/>
      <c r="S64" s="90"/>
      <c r="T64" s="90"/>
      <c r="U64" s="90"/>
      <c r="V64" s="90"/>
      <c r="W64" s="90"/>
      <c r="X64" s="87"/>
    </row>
    <row r="65" spans="2:24">
      <c r="B65" s="109" t="str">
        <f>+B50</f>
        <v>Total Res &amp; Com</v>
      </c>
      <c r="C65" s="90">
        <v>972.43470000000002</v>
      </c>
      <c r="D65" s="90">
        <v>972.43470000000002</v>
      </c>
      <c r="E65" s="90">
        <v>968.9863499999999</v>
      </c>
      <c r="F65" s="92">
        <v>2913.8557499999997</v>
      </c>
      <c r="G65" s="90">
        <v>923.00835000000006</v>
      </c>
      <c r="H65" s="90">
        <v>826.45455000000004</v>
      </c>
      <c r="I65" s="90">
        <v>836.79960000000005</v>
      </c>
      <c r="J65" s="90">
        <v>826.45455000000004</v>
      </c>
      <c r="K65" s="90">
        <v>488.51625000000001</v>
      </c>
      <c r="L65" s="90">
        <v>752.88974999999994</v>
      </c>
      <c r="M65" s="90">
        <v>737.94690000000003</v>
      </c>
      <c r="N65" s="90">
        <v>649.43925000000013</v>
      </c>
      <c r="O65" s="90">
        <v>642.54255000000001</v>
      </c>
      <c r="P65" s="90">
        <v>627.59969999999998</v>
      </c>
      <c r="Q65" s="90">
        <v>625.30079999999998</v>
      </c>
      <c r="R65" s="90">
        <v>621.85245000000009</v>
      </c>
      <c r="S65" s="90">
        <v>481.61955000000006</v>
      </c>
      <c r="T65" s="90">
        <v>478.1712</v>
      </c>
      <c r="U65" s="90">
        <v>474.72284999999999</v>
      </c>
      <c r="V65" s="90">
        <v>460.92944999999997</v>
      </c>
      <c r="W65" s="90">
        <v>458.63054999999997</v>
      </c>
      <c r="X65" s="92">
        <v>13826.734050000001</v>
      </c>
    </row>
    <row r="66" spans="2:24">
      <c r="B66" s="109"/>
      <c r="C66" s="90"/>
      <c r="D66" s="90"/>
      <c r="E66" s="90"/>
      <c r="F66" s="92"/>
      <c r="G66" s="90"/>
      <c r="H66" s="90"/>
      <c r="I66" s="90"/>
      <c r="J66" s="90"/>
      <c r="K66" s="90"/>
      <c r="L66" s="90"/>
      <c r="M66" s="90"/>
      <c r="N66" s="90"/>
      <c r="O66" s="90"/>
      <c r="P66" s="90"/>
      <c r="Q66" s="90"/>
      <c r="R66" s="90"/>
      <c r="S66" s="90"/>
      <c r="T66" s="90"/>
      <c r="U66" s="90"/>
      <c r="V66" s="90"/>
      <c r="W66" s="90"/>
      <c r="X66" s="87"/>
    </row>
    <row r="67" spans="2:24">
      <c r="B67" s="102" t="s">
        <v>79</v>
      </c>
      <c r="F67" s="87"/>
      <c r="X67" s="87"/>
    </row>
    <row r="68" spans="2:24">
      <c r="B68" s="103" t="s">
        <v>2</v>
      </c>
      <c r="F68" s="87"/>
      <c r="X68" s="87"/>
    </row>
    <row r="69" spans="2:24">
      <c r="B69" s="104" t="s">
        <v>72</v>
      </c>
      <c r="C69" s="90">
        <v>10.023204</v>
      </c>
      <c r="D69" s="90">
        <v>10.035544338646231</v>
      </c>
      <c r="E69" s="90">
        <v>10.045568051125178</v>
      </c>
      <c r="F69" s="92"/>
      <c r="G69" s="90">
        <v>9.6433919628764802</v>
      </c>
      <c r="H69" s="90">
        <v>8.649480351337381</v>
      </c>
      <c r="I69" s="90">
        <v>9.2202764827200028</v>
      </c>
      <c r="J69" s="90">
        <v>9.1477157504439752</v>
      </c>
      <c r="K69" s="90">
        <v>8.1266512643299187</v>
      </c>
      <c r="L69" s="90">
        <v>8.4200895898602397</v>
      </c>
      <c r="M69" s="90">
        <v>7.9065043582097383</v>
      </c>
      <c r="N69" s="90">
        <v>7.5163273972739422</v>
      </c>
      <c r="O69" s="90">
        <v>7.4609842740418433</v>
      </c>
      <c r="P69" s="90">
        <v>7.1096564654239742</v>
      </c>
      <c r="Q69" s="90">
        <v>7.455854112011898</v>
      </c>
      <c r="R69" s="90">
        <v>7.3760318401597287</v>
      </c>
      <c r="S69" s="90">
        <v>6.8931650302147505</v>
      </c>
      <c r="T69" s="90">
        <v>6.7616156280067941</v>
      </c>
      <c r="U69" s="90">
        <v>6.7344497178460765</v>
      </c>
      <c r="V69" s="90">
        <v>6.421960015482739</v>
      </c>
      <c r="W69" s="90">
        <v>6.4088075394822708</v>
      </c>
      <c r="X69" s="92"/>
    </row>
    <row r="70" spans="2:24">
      <c r="B70" s="105" t="s">
        <v>9</v>
      </c>
      <c r="C70" s="90">
        <v>190.440876</v>
      </c>
      <c r="D70" s="90">
        <v>190.67534243427838</v>
      </c>
      <c r="E70" s="90">
        <v>190.8657929713784</v>
      </c>
      <c r="F70" s="92"/>
      <c r="G70" s="90">
        <v>183.22444729465315</v>
      </c>
      <c r="H70" s="90">
        <v>164.34012667541023</v>
      </c>
      <c r="I70" s="90">
        <v>175.18525317168005</v>
      </c>
      <c r="J70" s="90">
        <v>173.80659925843554</v>
      </c>
      <c r="K70" s="90">
        <v>154.40637402226844</v>
      </c>
      <c r="L70" s="90">
        <v>159.98170220734454</v>
      </c>
      <c r="M70" s="90">
        <v>150.22358280598502</v>
      </c>
      <c r="N70" s="90">
        <v>142.81022054820491</v>
      </c>
      <c r="O70" s="90">
        <v>141.75870120679502</v>
      </c>
      <c r="P70" s="90">
        <v>135.08347284305552</v>
      </c>
      <c r="Q70" s="90">
        <v>141.66122812822607</v>
      </c>
      <c r="R70" s="90">
        <v>140.14460496303485</v>
      </c>
      <c r="S70" s="90">
        <v>130.97013557408025</v>
      </c>
      <c r="T70" s="90">
        <v>128.47069693212907</v>
      </c>
      <c r="U70" s="90">
        <v>127.95454463907546</v>
      </c>
      <c r="V70" s="90">
        <v>122.01724029417204</v>
      </c>
      <c r="W70" s="90">
        <v>121.76734325016314</v>
      </c>
      <c r="X70" s="92"/>
    </row>
    <row r="71" spans="2:24">
      <c r="B71" s="105" t="s">
        <v>73</v>
      </c>
      <c r="C71" s="90">
        <v>37.587014999999994</v>
      </c>
      <c r="D71" s="90">
        <v>37.633291269923362</v>
      </c>
      <c r="E71" s="90">
        <v>37.670880191719419</v>
      </c>
      <c r="F71" s="92"/>
      <c r="G71" s="90">
        <v>36.162719860786801</v>
      </c>
      <c r="H71" s="90">
        <v>32.435551317515177</v>
      </c>
      <c r="I71" s="90">
        <v>34.576036810200009</v>
      </c>
      <c r="J71" s="90">
        <v>34.303934064164906</v>
      </c>
      <c r="K71" s="90">
        <v>30.474942241237191</v>
      </c>
      <c r="L71" s="90">
        <v>31.575335961975895</v>
      </c>
      <c r="M71" s="90">
        <v>29.649391343286517</v>
      </c>
      <c r="N71" s="90">
        <v>28.186227739777284</v>
      </c>
      <c r="O71" s="90">
        <v>27.978691027656911</v>
      </c>
      <c r="P71" s="90">
        <v>26.661211745339902</v>
      </c>
      <c r="Q71" s="90">
        <v>27.959452920044615</v>
      </c>
      <c r="R71" s="90">
        <v>27.66011940059898</v>
      </c>
      <c r="S71" s="90">
        <v>25.849368863305312</v>
      </c>
      <c r="T71" s="90">
        <v>25.356058605025474</v>
      </c>
      <c r="U71" s="90">
        <v>25.254186441922787</v>
      </c>
      <c r="V71" s="90">
        <v>24.082350058060271</v>
      </c>
      <c r="W71" s="90">
        <v>24.033028273058513</v>
      </c>
      <c r="X71" s="92"/>
    </row>
    <row r="72" spans="2:24" ht="17.25">
      <c r="B72" s="105" t="s">
        <v>74</v>
      </c>
      <c r="C72" s="97">
        <v>12.529005</v>
      </c>
      <c r="D72" s="97">
        <v>12.544430423307787</v>
      </c>
      <c r="E72" s="97">
        <v>12.556960063906473</v>
      </c>
      <c r="F72" s="98"/>
      <c r="G72" s="97">
        <v>12.054239953595602</v>
      </c>
      <c r="H72" s="97">
        <v>10.811850439171726</v>
      </c>
      <c r="I72" s="97">
        <v>11.525345603400003</v>
      </c>
      <c r="J72" s="97">
        <v>11.43464468805497</v>
      </c>
      <c r="K72" s="97">
        <v>10.158314080412397</v>
      </c>
      <c r="L72" s="97">
        <v>10.5251119873253</v>
      </c>
      <c r="M72" s="97">
        <v>9.8831304477621735</v>
      </c>
      <c r="N72" s="97">
        <v>9.3954092465924273</v>
      </c>
      <c r="O72" s="97">
        <v>9.3262303425523054</v>
      </c>
      <c r="P72" s="97">
        <v>8.8870705817799678</v>
      </c>
      <c r="Q72" s="97">
        <v>9.3198176400148736</v>
      </c>
      <c r="R72" s="97">
        <v>9.2200398001996611</v>
      </c>
      <c r="S72" s="97">
        <v>8.6164562877684379</v>
      </c>
      <c r="T72" s="97">
        <v>8.4520195350084926</v>
      </c>
      <c r="U72" s="97">
        <v>8.4180621473075963</v>
      </c>
      <c r="V72" s="97">
        <v>8.0274500193534237</v>
      </c>
      <c r="W72" s="97">
        <v>8.0110094243528387</v>
      </c>
      <c r="X72" s="92"/>
    </row>
    <row r="73" spans="2:24">
      <c r="B73" s="106" t="s">
        <v>15</v>
      </c>
      <c r="C73" s="90">
        <v>250.58009999999999</v>
      </c>
      <c r="D73" s="90">
        <v>250.88860846615574</v>
      </c>
      <c r="E73" s="90">
        <v>251.13920127812946</v>
      </c>
      <c r="F73" s="92">
        <v>752.60790974428517</v>
      </c>
      <c r="G73" s="90">
        <v>241.08479907191204</v>
      </c>
      <c r="H73" s="90">
        <v>216.23700878343453</v>
      </c>
      <c r="I73" s="90">
        <v>230.50691206800008</v>
      </c>
      <c r="J73" s="90">
        <v>228.69289376109938</v>
      </c>
      <c r="K73" s="90">
        <v>203.16628160824794</v>
      </c>
      <c r="L73" s="90">
        <v>210.50223974650598</v>
      </c>
      <c r="M73" s="90">
        <v>197.66260895524343</v>
      </c>
      <c r="N73" s="90">
        <v>187.90818493184858</v>
      </c>
      <c r="O73" s="90">
        <v>186.52460685104606</v>
      </c>
      <c r="P73" s="90">
        <v>177.74141163559935</v>
      </c>
      <c r="Q73" s="90">
        <v>186.39635280029745</v>
      </c>
      <c r="R73" s="90">
        <v>184.40079600399321</v>
      </c>
      <c r="S73" s="90">
        <v>172.32912575536875</v>
      </c>
      <c r="T73" s="90">
        <v>169.04039070016987</v>
      </c>
      <c r="U73" s="90">
        <v>168.36124294615195</v>
      </c>
      <c r="V73" s="90">
        <v>160.54900038706847</v>
      </c>
      <c r="W73" s="90">
        <v>160.22018848705676</v>
      </c>
      <c r="X73" s="92"/>
    </row>
    <row r="74" spans="2:24">
      <c r="C74" s="90"/>
      <c r="D74" s="90"/>
      <c r="E74" s="90"/>
      <c r="F74" s="92"/>
      <c r="G74" s="90"/>
      <c r="H74" s="90"/>
      <c r="I74" s="90"/>
      <c r="J74" s="90"/>
      <c r="K74" s="90"/>
      <c r="L74" s="90"/>
      <c r="M74" s="90"/>
      <c r="N74" s="90"/>
      <c r="O74" s="90"/>
      <c r="P74" s="90"/>
      <c r="Q74" s="90"/>
      <c r="R74" s="90"/>
      <c r="S74" s="90"/>
      <c r="T74" s="90"/>
      <c r="U74" s="90"/>
      <c r="V74" s="90"/>
      <c r="W74" s="90"/>
      <c r="X74" s="92"/>
    </row>
    <row r="75" spans="2:24">
      <c r="B75" s="103" t="s">
        <v>65</v>
      </c>
      <c r="C75" s="90"/>
      <c r="D75" s="90"/>
      <c r="E75" s="90"/>
      <c r="F75" s="92"/>
      <c r="G75" s="90"/>
      <c r="H75" s="90"/>
      <c r="I75" s="90"/>
      <c r="J75" s="90"/>
      <c r="K75" s="90"/>
      <c r="L75" s="90"/>
      <c r="M75" s="90"/>
      <c r="N75" s="90"/>
      <c r="O75" s="90"/>
      <c r="P75" s="90"/>
      <c r="Q75" s="90"/>
      <c r="R75" s="90"/>
      <c r="S75" s="90"/>
      <c r="T75" s="90"/>
      <c r="U75" s="90"/>
      <c r="V75" s="90"/>
      <c r="W75" s="90"/>
      <c r="X75" s="92"/>
    </row>
    <row r="76" spans="2:24">
      <c r="B76" s="107" t="s">
        <v>7</v>
      </c>
      <c r="C76" s="90">
        <v>112.76104499999998</v>
      </c>
      <c r="D76" s="90">
        <v>112.89987380977007</v>
      </c>
      <c r="E76" s="90">
        <v>113.01264057515826</v>
      </c>
      <c r="F76" s="92"/>
      <c r="G76" s="90">
        <v>108.48815958236041</v>
      </c>
      <c r="H76" s="90">
        <v>97.306653952545531</v>
      </c>
      <c r="I76" s="90">
        <v>103.72811043060003</v>
      </c>
      <c r="J76" s="90">
        <v>102.91180219249472</v>
      </c>
      <c r="K76" s="90">
        <v>91.424826723711575</v>
      </c>
      <c r="L76" s="90">
        <v>94.726007885927686</v>
      </c>
      <c r="M76" s="90">
        <v>88.948174029859544</v>
      </c>
      <c r="N76" s="90">
        <v>84.55868321933184</v>
      </c>
      <c r="O76" s="90">
        <v>83.936073082970736</v>
      </c>
      <c r="P76" s="90">
        <v>79.983635236019708</v>
      </c>
      <c r="Q76" s="90">
        <v>83.87835876013385</v>
      </c>
      <c r="R76" s="90">
        <v>82.980358201796932</v>
      </c>
      <c r="S76" s="90">
        <v>77.548106589915932</v>
      </c>
      <c r="T76" s="90">
        <v>76.06817581507643</v>
      </c>
      <c r="U76" s="90">
        <v>75.762559325768351</v>
      </c>
      <c r="V76" s="90">
        <v>72.247050174180814</v>
      </c>
      <c r="W76" s="90">
        <v>72.099084819175545</v>
      </c>
      <c r="X76" s="92"/>
    </row>
    <row r="77" spans="2:24" ht="17.25">
      <c r="B77" s="107" t="s">
        <v>75</v>
      </c>
      <c r="C77" s="97">
        <v>638.97925499999997</v>
      </c>
      <c r="D77" s="97">
        <v>639.76595158869713</v>
      </c>
      <c r="E77" s="97">
        <v>640.40496325923016</v>
      </c>
      <c r="F77" s="98"/>
      <c r="G77" s="97">
        <v>614.76623763337568</v>
      </c>
      <c r="H77" s="97">
        <v>551.40437239775804</v>
      </c>
      <c r="I77" s="97">
        <v>587.79262577340012</v>
      </c>
      <c r="J77" s="97">
        <v>583.16687909080338</v>
      </c>
      <c r="K77" s="97">
        <v>518.07401810103227</v>
      </c>
      <c r="L77" s="97">
        <v>536.78071135359028</v>
      </c>
      <c r="M77" s="97">
        <v>504.03965283587075</v>
      </c>
      <c r="N77" s="97">
        <v>479.16587157621376</v>
      </c>
      <c r="O77" s="97">
        <v>475.63774747016754</v>
      </c>
      <c r="P77" s="97">
        <v>453.24059967077835</v>
      </c>
      <c r="Q77" s="97">
        <v>475.31069964075851</v>
      </c>
      <c r="R77" s="97">
        <v>470.22202981018262</v>
      </c>
      <c r="S77" s="97">
        <v>439.43927067619029</v>
      </c>
      <c r="T77" s="97">
        <v>431.0529962854331</v>
      </c>
      <c r="U77" s="97">
        <v>429.32116951268739</v>
      </c>
      <c r="V77" s="97">
        <v>409.39995098702462</v>
      </c>
      <c r="W77" s="97">
        <v>408.56148064199476</v>
      </c>
      <c r="X77" s="92"/>
    </row>
    <row r="78" spans="2:24">
      <c r="B78" s="106" t="s">
        <v>76</v>
      </c>
      <c r="C78" s="90">
        <v>751.74029999999993</v>
      </c>
      <c r="D78" s="90">
        <v>752.66582539846718</v>
      </c>
      <c r="E78" s="90">
        <v>753.41760383438839</v>
      </c>
      <c r="F78" s="92">
        <v>2257.8237292328554</v>
      </c>
      <c r="G78" s="90">
        <v>723.25439721573605</v>
      </c>
      <c r="H78" s="90">
        <v>648.71102635030354</v>
      </c>
      <c r="I78" s="90">
        <v>691.52073620400017</v>
      </c>
      <c r="J78" s="90">
        <v>686.07868128329812</v>
      </c>
      <c r="K78" s="90">
        <v>609.49884482474386</v>
      </c>
      <c r="L78" s="90">
        <v>631.50671923951791</v>
      </c>
      <c r="M78" s="90">
        <v>592.98782686573031</v>
      </c>
      <c r="N78" s="90">
        <v>563.7245547955456</v>
      </c>
      <c r="O78" s="90">
        <v>559.57382055313826</v>
      </c>
      <c r="P78" s="90">
        <v>533.22423490679807</v>
      </c>
      <c r="Q78" s="90">
        <v>559.18905840089235</v>
      </c>
      <c r="R78" s="90">
        <v>553.20238801197956</v>
      </c>
      <c r="S78" s="90">
        <v>516.98737726610625</v>
      </c>
      <c r="T78" s="90">
        <v>507.12117210050951</v>
      </c>
      <c r="U78" s="90">
        <v>505.08372883845573</v>
      </c>
      <c r="V78" s="90">
        <v>481.64700116120542</v>
      </c>
      <c r="W78" s="90">
        <v>480.66056546117034</v>
      </c>
      <c r="X78" s="92"/>
    </row>
    <row r="79" spans="2:24">
      <c r="B79" s="108"/>
      <c r="C79" s="90"/>
      <c r="D79" s="90"/>
      <c r="E79" s="90"/>
      <c r="F79" s="92"/>
      <c r="G79" s="90"/>
      <c r="H79" s="90"/>
      <c r="I79" s="90"/>
      <c r="J79" s="90"/>
      <c r="K79" s="90"/>
      <c r="L79" s="90"/>
      <c r="M79" s="90"/>
      <c r="N79" s="90"/>
      <c r="O79" s="90"/>
      <c r="P79" s="90"/>
      <c r="Q79" s="90"/>
      <c r="R79" s="90"/>
      <c r="S79" s="90"/>
      <c r="T79" s="90"/>
      <c r="U79" s="90"/>
      <c r="V79" s="90"/>
      <c r="W79" s="90"/>
      <c r="X79" s="92"/>
    </row>
    <row r="80" spans="2:24">
      <c r="B80" s="109" t="str">
        <f>+B65</f>
        <v>Total Res &amp; Com</v>
      </c>
      <c r="C80" s="90">
        <v>1002.3203999999999</v>
      </c>
      <c r="D80" s="90">
        <v>1003.554433864623</v>
      </c>
      <c r="E80" s="90">
        <v>1004.5568051125178</v>
      </c>
      <c r="F80" s="92">
        <v>3010.4316389771407</v>
      </c>
      <c r="G80" s="90">
        <v>964.33919628764806</v>
      </c>
      <c r="H80" s="90">
        <v>864.94803513373813</v>
      </c>
      <c r="I80" s="90">
        <v>922.02764827200031</v>
      </c>
      <c r="J80" s="90">
        <v>914.77157504439754</v>
      </c>
      <c r="K80" s="90">
        <v>812.66512643299177</v>
      </c>
      <c r="L80" s="90">
        <v>842.00895898602391</v>
      </c>
      <c r="M80" s="90">
        <v>790.65043582097371</v>
      </c>
      <c r="N80" s="90">
        <v>751.63273972739421</v>
      </c>
      <c r="O80" s="90">
        <v>746.09842740418435</v>
      </c>
      <c r="P80" s="90">
        <v>710.96564654239739</v>
      </c>
      <c r="Q80" s="90">
        <v>745.5854112011898</v>
      </c>
      <c r="R80" s="90">
        <v>737.60318401597283</v>
      </c>
      <c r="S80" s="90">
        <v>689.316503021475</v>
      </c>
      <c r="T80" s="90">
        <v>676.16156280067935</v>
      </c>
      <c r="U80" s="90">
        <v>673.44497178460767</v>
      </c>
      <c r="V80" s="90">
        <v>642.1960015482739</v>
      </c>
      <c r="W80" s="90">
        <v>640.88075394822704</v>
      </c>
      <c r="X80" s="92">
        <v>16135.727816949315</v>
      </c>
    </row>
    <row r="81" spans="2:24">
      <c r="F81" s="87"/>
      <c r="X81" s="87"/>
    </row>
    <row r="82" spans="2:24">
      <c r="B82" s="102" t="s">
        <v>80</v>
      </c>
      <c r="F82" s="87"/>
      <c r="X82" s="87"/>
    </row>
    <row r="83" spans="2:24">
      <c r="B83" s="103" t="s">
        <v>2</v>
      </c>
      <c r="F83" s="87"/>
      <c r="X83" s="87"/>
    </row>
    <row r="84" spans="2:24">
      <c r="B84" s="104" t="s">
        <v>72</v>
      </c>
      <c r="C84" s="79">
        <v>42077.988000000005</v>
      </c>
      <c r="D84" s="79">
        <v>45251.64</v>
      </c>
      <c r="E84" s="79">
        <v>48530.663999999997</v>
      </c>
      <c r="F84" s="89">
        <v>136701.85175999999</v>
      </c>
      <c r="G84" s="79">
        <v>50046.867176063381</v>
      </c>
      <c r="H84" s="79">
        <v>51637.916572192429</v>
      </c>
      <c r="I84" s="79">
        <v>53389.135897425018</v>
      </c>
      <c r="J84" s="79">
        <v>55025.429138645268</v>
      </c>
      <c r="K84" s="79">
        <v>56686.475382802149</v>
      </c>
      <c r="L84" s="79">
        <v>58379.671132123345</v>
      </c>
      <c r="M84" s="79">
        <v>60283.300330676677</v>
      </c>
      <c r="N84" s="79">
        <v>62163.149203577559</v>
      </c>
      <c r="O84" s="79">
        <v>64233.533947678974</v>
      </c>
      <c r="P84" s="79">
        <v>65665.990586452812</v>
      </c>
      <c r="Q84" s="79">
        <v>67764.076431000416</v>
      </c>
      <c r="R84" s="79">
        <v>69869.725914730676</v>
      </c>
      <c r="S84" s="79">
        <v>72075.045734661559</v>
      </c>
      <c r="T84" s="79">
        <v>74683.713354037638</v>
      </c>
      <c r="U84" s="79">
        <v>76924.224754658761</v>
      </c>
      <c r="V84" s="79">
        <v>79231.951497298534</v>
      </c>
      <c r="W84" s="79">
        <v>81608.910042217482</v>
      </c>
      <c r="X84" s="89"/>
    </row>
    <row r="85" spans="2:24">
      <c r="B85" s="105" t="s">
        <v>9</v>
      </c>
      <c r="C85" s="79">
        <v>167727.53549999997</v>
      </c>
      <c r="D85" s="79">
        <v>180378.06499999997</v>
      </c>
      <c r="E85" s="79">
        <v>193448.61899999998</v>
      </c>
      <c r="F85" s="89">
        <v>544908.77020999987</v>
      </c>
      <c r="G85" s="79">
        <v>199492.37332680816</v>
      </c>
      <c r="H85" s="79">
        <v>205834.47300304478</v>
      </c>
      <c r="I85" s="79">
        <v>212815.02781334691</v>
      </c>
      <c r="J85" s="79">
        <v>219337.47448321094</v>
      </c>
      <c r="K85" s="79">
        <v>225958.58937311411</v>
      </c>
      <c r="L85" s="79">
        <v>232707.85576276938</v>
      </c>
      <c r="M85" s="79">
        <v>240295.93326255839</v>
      </c>
      <c r="N85" s="79">
        <v>247789.21974203826</v>
      </c>
      <c r="O85" s="79">
        <v>256042.00337477584</v>
      </c>
      <c r="P85" s="79">
        <v>261751.9346987771</v>
      </c>
      <c r="Q85" s="79">
        <v>270115.13799579325</v>
      </c>
      <c r="R85" s="79">
        <v>278508.49079899583</v>
      </c>
      <c r="S85" s="79">
        <v>287299.14063677582</v>
      </c>
      <c r="T85" s="79">
        <v>297697.57961956662</v>
      </c>
      <c r="U85" s="79">
        <v>306628.50700815365</v>
      </c>
      <c r="V85" s="79">
        <v>315827.36221839825</v>
      </c>
      <c r="W85" s="79">
        <v>325302.1830849502</v>
      </c>
      <c r="X85" s="89"/>
    </row>
    <row r="86" spans="2:24">
      <c r="B86" s="105" t="s">
        <v>73</v>
      </c>
      <c r="C86" s="79">
        <v>71532.579599999997</v>
      </c>
      <c r="D86" s="79">
        <v>96536.831999999995</v>
      </c>
      <c r="E86" s="79">
        <v>103532.08319999999</v>
      </c>
      <c r="F86" s="89">
        <v>291630.617088</v>
      </c>
      <c r="G86" s="79">
        <v>106766.64997560187</v>
      </c>
      <c r="H86" s="79">
        <v>110160.88868734386</v>
      </c>
      <c r="I86" s="79">
        <v>113896.82324784003</v>
      </c>
      <c r="J86" s="79">
        <v>117387.58216244323</v>
      </c>
      <c r="K86" s="79">
        <v>120931.14748331124</v>
      </c>
      <c r="L86" s="79">
        <v>124543.29841519646</v>
      </c>
      <c r="M86" s="79">
        <v>128604.37403877692</v>
      </c>
      <c r="N86" s="79">
        <v>132614.71830096544</v>
      </c>
      <c r="O86" s="79">
        <v>137031.53908838177</v>
      </c>
      <c r="P86" s="79">
        <v>140087.44658443265</v>
      </c>
      <c r="Q86" s="79">
        <v>144563.36305280085</v>
      </c>
      <c r="R86" s="79">
        <v>149055.41528475875</v>
      </c>
      <c r="S86" s="79">
        <v>153760.09756727796</v>
      </c>
      <c r="T86" s="79">
        <v>159325.25515528029</v>
      </c>
      <c r="U86" s="79">
        <v>164105.01280993869</v>
      </c>
      <c r="V86" s="79">
        <v>169028.16319423687</v>
      </c>
      <c r="W86" s="79">
        <v>174099.00809006393</v>
      </c>
      <c r="X86" s="89"/>
    </row>
    <row r="87" spans="2:24" ht="17.25">
      <c r="B87" s="105" t="s">
        <v>74</v>
      </c>
      <c r="C87" s="94">
        <v>42545.521199999996</v>
      </c>
      <c r="D87" s="94">
        <v>11438.608999999999</v>
      </c>
      <c r="E87" s="94">
        <v>12267.473399999999</v>
      </c>
      <c r="F87" s="95">
        <v>34555.19030599999</v>
      </c>
      <c r="G87" s="94">
        <v>12650.735869504908</v>
      </c>
      <c r="H87" s="94">
        <v>13052.917800193085</v>
      </c>
      <c r="I87" s="94">
        <v>13495.587129626878</v>
      </c>
      <c r="J87" s="94">
        <v>13909.20569893533</v>
      </c>
      <c r="K87" s="94">
        <v>14329.081277319432</v>
      </c>
      <c r="L87" s="94">
        <v>14757.083536175622</v>
      </c>
      <c r="M87" s="94">
        <v>15238.278694698825</v>
      </c>
      <c r="N87" s="94">
        <v>15713.462715348767</v>
      </c>
      <c r="O87" s="94">
        <v>16236.809970107737</v>
      </c>
      <c r="P87" s="94">
        <v>16598.903176020012</v>
      </c>
      <c r="Q87" s="94">
        <v>17129.252653391766</v>
      </c>
      <c r="R87" s="94">
        <v>17661.514050668029</v>
      </c>
      <c r="S87" s="94">
        <v>18218.969894039445</v>
      </c>
      <c r="T87" s="94">
        <v>18878.383097826176</v>
      </c>
      <c r="U87" s="94">
        <v>19444.734590760963</v>
      </c>
      <c r="V87" s="94">
        <v>20028.076628483792</v>
      </c>
      <c r="W87" s="94">
        <v>20628.918927338305</v>
      </c>
      <c r="X87" s="89"/>
    </row>
    <row r="88" spans="2:24">
      <c r="B88" s="106" t="s">
        <v>15</v>
      </c>
      <c r="C88" s="79">
        <v>323883.62429999997</v>
      </c>
      <c r="D88" s="79">
        <v>333605.14599999995</v>
      </c>
      <c r="E88" s="79">
        <v>357778.83959999995</v>
      </c>
      <c r="F88" s="89">
        <v>1007796.4293639999</v>
      </c>
      <c r="G88" s="79">
        <v>368956.62634797831</v>
      </c>
      <c r="H88" s="79">
        <v>380686.19606277416</v>
      </c>
      <c r="I88" s="79">
        <v>393596.57408823888</v>
      </c>
      <c r="J88" s="79">
        <v>405659.69148323475</v>
      </c>
      <c r="K88" s="79">
        <v>417905.2935165469</v>
      </c>
      <c r="L88" s="79">
        <v>430387.90884626482</v>
      </c>
      <c r="M88" s="79">
        <v>444421.88632671081</v>
      </c>
      <c r="N88" s="79">
        <v>458280.54996193002</v>
      </c>
      <c r="O88" s="79">
        <v>473543.88638094428</v>
      </c>
      <c r="P88" s="79">
        <v>484104.27504568256</v>
      </c>
      <c r="Q88" s="79">
        <v>499571.83013298624</v>
      </c>
      <c r="R88" s="79">
        <v>515095.14604915335</v>
      </c>
      <c r="S88" s="79">
        <v>531353.2538327548</v>
      </c>
      <c r="T88" s="79">
        <v>550584.93122671067</v>
      </c>
      <c r="U88" s="79">
        <v>567102.47916351212</v>
      </c>
      <c r="V88" s="79">
        <v>584115.55353841744</v>
      </c>
      <c r="W88" s="79">
        <v>601639.02014456992</v>
      </c>
      <c r="X88" s="89"/>
    </row>
    <row r="89" spans="2:24">
      <c r="C89" s="79"/>
      <c r="D89" s="79"/>
      <c r="E89" s="79"/>
      <c r="F89" s="89"/>
      <c r="G89" s="79"/>
      <c r="H89" s="79"/>
      <c r="I89" s="79"/>
      <c r="J89" s="79"/>
      <c r="K89" s="79"/>
      <c r="L89" s="79"/>
      <c r="M89" s="79"/>
      <c r="N89" s="79"/>
      <c r="O89" s="79"/>
      <c r="P89" s="79"/>
      <c r="Q89" s="79"/>
      <c r="R89" s="79"/>
      <c r="S89" s="79"/>
      <c r="T89" s="79"/>
      <c r="U89" s="79"/>
      <c r="V89" s="79"/>
      <c r="W89" s="79"/>
      <c r="X89" s="89"/>
    </row>
    <row r="90" spans="2:24">
      <c r="B90" s="103" t="s">
        <v>3</v>
      </c>
      <c r="C90" s="79"/>
      <c r="D90" s="79"/>
      <c r="E90" s="79"/>
      <c r="F90" s="89"/>
      <c r="G90" s="79"/>
      <c r="H90" s="79"/>
      <c r="I90" s="79"/>
      <c r="J90" s="79"/>
      <c r="K90" s="79"/>
      <c r="L90" s="79"/>
      <c r="M90" s="79"/>
      <c r="N90" s="79"/>
      <c r="O90" s="79"/>
      <c r="P90" s="79"/>
      <c r="Q90" s="79"/>
      <c r="R90" s="79"/>
      <c r="S90" s="79"/>
      <c r="T90" s="79"/>
      <c r="U90" s="79"/>
      <c r="V90" s="79"/>
      <c r="W90" s="79"/>
      <c r="X90" s="89"/>
    </row>
    <row r="91" spans="2:24">
      <c r="B91" s="107" t="s">
        <v>7</v>
      </c>
      <c r="C91" s="79">
        <v>157792.45499999999</v>
      </c>
      <c r="D91" s="79">
        <v>169693.65</v>
      </c>
      <c r="E91" s="79">
        <v>181989.98999999996</v>
      </c>
      <c r="F91" s="89">
        <v>512631.94409999996</v>
      </c>
      <c r="G91" s="79">
        <v>187675.75191023762</v>
      </c>
      <c r="H91" s="79">
        <v>193642.18714572157</v>
      </c>
      <c r="I91" s="79">
        <v>200209.25961534379</v>
      </c>
      <c r="J91" s="79">
        <v>206345.35926991972</v>
      </c>
      <c r="K91" s="79">
        <v>212574.28268550811</v>
      </c>
      <c r="L91" s="79">
        <v>218923.76674546252</v>
      </c>
      <c r="M91" s="79">
        <v>226062.37624003753</v>
      </c>
      <c r="N91" s="79">
        <v>233111.80951341582</v>
      </c>
      <c r="O91" s="79">
        <v>240875.75230379609</v>
      </c>
      <c r="P91" s="79">
        <v>246247.464699198</v>
      </c>
      <c r="Q91" s="79">
        <v>254115.28661625151</v>
      </c>
      <c r="R91" s="79">
        <v>262011.47218023997</v>
      </c>
      <c r="S91" s="79">
        <v>270281.42150498077</v>
      </c>
      <c r="T91" s="79">
        <v>280063.92507764109</v>
      </c>
      <c r="U91" s="79">
        <v>288465.84282997035</v>
      </c>
      <c r="V91" s="79">
        <v>297119.81811486941</v>
      </c>
      <c r="W91" s="79">
        <v>306033.4126583155</v>
      </c>
      <c r="X91" s="89"/>
    </row>
    <row r="92" spans="2:24" ht="17.25">
      <c r="B92" s="107" t="s">
        <v>75</v>
      </c>
      <c r="C92" s="94">
        <v>968670.34875</v>
      </c>
      <c r="D92" s="94">
        <v>1041730.4625</v>
      </c>
      <c r="E92" s="94">
        <v>1117216.3274999999</v>
      </c>
      <c r="F92" s="95">
        <v>3146990.5457250001</v>
      </c>
      <c r="G92" s="94">
        <v>1152120.5881156255</v>
      </c>
      <c r="H92" s="94">
        <v>1188747.8710890131</v>
      </c>
      <c r="I92" s="94">
        <v>1229062.399305305</v>
      </c>
      <c r="J92" s="94">
        <v>1266731.2332958963</v>
      </c>
      <c r="K92" s="94">
        <v>1304969.9020415915</v>
      </c>
      <c r="L92" s="94">
        <v>1343948.6791874229</v>
      </c>
      <c r="M92" s="94">
        <v>1387771.8096957863</v>
      </c>
      <c r="N92" s="94">
        <v>1431047.4972906916</v>
      </c>
      <c r="O92" s="94">
        <v>1478709.4794205262</v>
      </c>
      <c r="P92" s="94">
        <v>1511685.8249589656</v>
      </c>
      <c r="Q92" s="94">
        <v>1559985.509505322</v>
      </c>
      <c r="R92" s="94">
        <v>1608459.3153286958</v>
      </c>
      <c r="S92" s="94">
        <v>1659227.615350021</v>
      </c>
      <c r="T92" s="94">
        <v>1719281.3178377415</v>
      </c>
      <c r="U92" s="94">
        <v>1770859.7573728738</v>
      </c>
      <c r="V92" s="94">
        <v>1823985.5500940597</v>
      </c>
      <c r="W92" s="94">
        <v>1878705.1165968813</v>
      </c>
      <c r="X92" s="89"/>
    </row>
    <row r="93" spans="2:24">
      <c r="B93" s="106" t="s">
        <v>76</v>
      </c>
      <c r="C93" s="79">
        <v>1126462.80375</v>
      </c>
      <c r="D93" s="79">
        <v>1211424.1125</v>
      </c>
      <c r="E93" s="79">
        <v>1299206.3174999999</v>
      </c>
      <c r="F93" s="89">
        <v>3659622.4898250001</v>
      </c>
      <c r="G93" s="79">
        <v>1339796.3400258631</v>
      </c>
      <c r="H93" s="79">
        <v>1382390.0582347347</v>
      </c>
      <c r="I93" s="79">
        <v>1429271.6589206487</v>
      </c>
      <c r="J93" s="79">
        <v>1473076.5925658161</v>
      </c>
      <c r="K93" s="79">
        <v>1517544.1847270995</v>
      </c>
      <c r="L93" s="79">
        <v>1562872.4459328854</v>
      </c>
      <c r="M93" s="79">
        <v>1613834.1859358239</v>
      </c>
      <c r="N93" s="79">
        <v>1664159.3068041075</v>
      </c>
      <c r="O93" s="79">
        <v>1719585.2317243223</v>
      </c>
      <c r="P93" s="79">
        <v>1757933.2896581637</v>
      </c>
      <c r="Q93" s="79">
        <v>1814100.7961215735</v>
      </c>
      <c r="R93" s="79">
        <v>1870470.7875089357</v>
      </c>
      <c r="S93" s="79">
        <v>1929509.0368550019</v>
      </c>
      <c r="T93" s="79">
        <v>1999345.2429153826</v>
      </c>
      <c r="U93" s="79">
        <v>2059325.6002028442</v>
      </c>
      <c r="V93" s="79">
        <v>2121105.368208929</v>
      </c>
      <c r="W93" s="79">
        <v>2184738.5292551969</v>
      </c>
      <c r="X93" s="89"/>
    </row>
    <row r="94" spans="2:24">
      <c r="B94" s="106"/>
      <c r="C94" s="79"/>
      <c r="D94" s="79"/>
      <c r="E94" s="79"/>
      <c r="F94" s="89"/>
      <c r="G94" s="79"/>
      <c r="H94" s="79"/>
      <c r="I94" s="79"/>
      <c r="J94" s="79"/>
      <c r="K94" s="79"/>
      <c r="L94" s="79"/>
      <c r="M94" s="79"/>
      <c r="N94" s="79"/>
      <c r="O94" s="79"/>
      <c r="P94" s="79"/>
      <c r="Q94" s="79"/>
      <c r="R94" s="79"/>
      <c r="S94" s="79"/>
      <c r="T94" s="79"/>
      <c r="U94" s="79"/>
      <c r="V94" s="79"/>
      <c r="W94" s="79"/>
      <c r="X94" s="89"/>
    </row>
    <row r="95" spans="2:24">
      <c r="B95" s="109" t="s">
        <v>81</v>
      </c>
      <c r="C95" s="79">
        <v>1450346.42805</v>
      </c>
      <c r="D95" s="79">
        <v>1545029.2585</v>
      </c>
      <c r="E95" s="79">
        <v>1656985.1571</v>
      </c>
      <c r="F95" s="89">
        <v>4667418.9191890005</v>
      </c>
      <c r="G95" s="79">
        <v>1708752.9663738415</v>
      </c>
      <c r="H95" s="79">
        <v>1763076.2542975089</v>
      </c>
      <c r="I95" s="79">
        <v>1822868.2330088876</v>
      </c>
      <c r="J95" s="79">
        <v>1878736.2840490509</v>
      </c>
      <c r="K95" s="79">
        <v>1935449.4782436464</v>
      </c>
      <c r="L95" s="79">
        <v>1993260.3547791503</v>
      </c>
      <c r="M95" s="79">
        <v>2058256.0722625349</v>
      </c>
      <c r="N95" s="79">
        <v>2122439.8567660376</v>
      </c>
      <c r="O95" s="79">
        <v>2193129.1181052667</v>
      </c>
      <c r="P95" s="79">
        <v>2242037.5647038464</v>
      </c>
      <c r="Q95" s="79">
        <v>2313672.62625456</v>
      </c>
      <c r="R95" s="79">
        <v>2385565.9335580892</v>
      </c>
      <c r="S95" s="79">
        <v>2460862.2906877566</v>
      </c>
      <c r="T95" s="79">
        <v>2549930.1741420934</v>
      </c>
      <c r="U95" s="79">
        <v>2626428.0793663561</v>
      </c>
      <c r="V95" s="79">
        <v>2705220.9217473464</v>
      </c>
      <c r="W95" s="79">
        <v>2786377.5493997671</v>
      </c>
      <c r="X95" s="89"/>
    </row>
    <row r="96" spans="2:24">
      <c r="C96" s="79"/>
      <c r="D96" s="79"/>
      <c r="E96" s="79"/>
      <c r="F96" s="89"/>
      <c r="G96" s="79"/>
      <c r="H96" s="79"/>
      <c r="I96" s="79"/>
      <c r="J96" s="79"/>
      <c r="K96" s="79"/>
      <c r="L96" s="79"/>
      <c r="M96" s="79"/>
      <c r="N96" s="79"/>
      <c r="O96" s="79"/>
      <c r="P96" s="79"/>
      <c r="Q96" s="79"/>
      <c r="R96" s="79"/>
      <c r="S96" s="79"/>
      <c r="T96" s="79"/>
      <c r="U96" s="79"/>
      <c r="V96" s="79"/>
      <c r="W96" s="79"/>
      <c r="X96" s="89"/>
    </row>
    <row r="97" spans="2:24">
      <c r="B97" s="102" t="s">
        <v>82</v>
      </c>
      <c r="C97" s="79"/>
      <c r="D97" s="79"/>
      <c r="E97" s="79"/>
      <c r="F97" s="89"/>
      <c r="G97" s="79"/>
      <c r="H97" s="79"/>
      <c r="I97" s="79"/>
      <c r="J97" s="79"/>
      <c r="K97" s="79"/>
      <c r="L97" s="79"/>
      <c r="M97" s="79"/>
      <c r="N97" s="79"/>
      <c r="O97" s="79"/>
      <c r="P97" s="79"/>
      <c r="Q97" s="79"/>
      <c r="R97" s="79"/>
      <c r="S97" s="79"/>
      <c r="T97" s="79"/>
      <c r="U97" s="79"/>
      <c r="V97" s="79"/>
      <c r="W97" s="79"/>
      <c r="X97" s="89"/>
    </row>
    <row r="98" spans="2:24">
      <c r="B98" s="103" t="s">
        <v>2</v>
      </c>
      <c r="C98" s="79"/>
      <c r="D98" s="79"/>
      <c r="E98" s="79"/>
      <c r="F98" s="89"/>
      <c r="G98" s="79"/>
      <c r="H98" s="79"/>
      <c r="I98" s="79"/>
      <c r="J98" s="79"/>
      <c r="K98" s="79"/>
      <c r="L98" s="79"/>
      <c r="M98" s="79"/>
      <c r="N98" s="79"/>
      <c r="O98" s="79"/>
      <c r="P98" s="79"/>
      <c r="Q98" s="79"/>
      <c r="R98" s="79"/>
      <c r="S98" s="79"/>
      <c r="T98" s="79"/>
      <c r="U98" s="79"/>
      <c r="V98" s="79"/>
      <c r="W98" s="79"/>
      <c r="X98" s="89"/>
    </row>
    <row r="99" spans="2:24">
      <c r="B99" s="104" t="s">
        <v>72</v>
      </c>
      <c r="C99" s="79">
        <v>63116.981999999996</v>
      </c>
      <c r="D99" s="79">
        <v>67877.459999999992</v>
      </c>
      <c r="E99" s="79">
        <v>72795.995999999985</v>
      </c>
      <c r="F99" s="89">
        <v>205052.77763999996</v>
      </c>
      <c r="G99" s="79">
        <v>75070.300764095067</v>
      </c>
      <c r="H99" s="79">
        <v>77456.874858288633</v>
      </c>
      <c r="I99" s="79">
        <v>80083.70384613752</v>
      </c>
      <c r="J99" s="79">
        <v>82538.143707967887</v>
      </c>
      <c r="K99" s="79">
        <v>85029.713074203217</v>
      </c>
      <c r="L99" s="79">
        <v>87569.50669818501</v>
      </c>
      <c r="M99" s="79">
        <v>90424.950496015008</v>
      </c>
      <c r="N99" s="79">
        <v>93244.723805366331</v>
      </c>
      <c r="O99" s="79">
        <v>96350.300921518457</v>
      </c>
      <c r="P99" s="79">
        <v>98498.985879679196</v>
      </c>
      <c r="Q99" s="79">
        <v>101646.1146465006</v>
      </c>
      <c r="R99" s="79">
        <v>104804.58887209599</v>
      </c>
      <c r="S99" s="79">
        <v>108112.56860199232</v>
      </c>
      <c r="T99" s="79">
        <v>112025.57003105644</v>
      </c>
      <c r="U99" s="79">
        <v>115386.33713198814</v>
      </c>
      <c r="V99" s="79">
        <v>118847.92724594778</v>
      </c>
      <c r="W99" s="79">
        <v>122413.36506332622</v>
      </c>
      <c r="X99" s="89"/>
    </row>
    <row r="100" spans="2:24">
      <c r="B100" s="105" t="s">
        <v>9</v>
      </c>
      <c r="C100" s="79">
        <v>71883.229499999987</v>
      </c>
      <c r="D100" s="79">
        <v>77304.884999999995</v>
      </c>
      <c r="E100" s="79">
        <v>82906.550999999992</v>
      </c>
      <c r="F100" s="89">
        <v>233532.33008999994</v>
      </c>
      <c r="G100" s="79">
        <v>85496.731425774924</v>
      </c>
      <c r="H100" s="79">
        <v>88214.77414416206</v>
      </c>
      <c r="I100" s="79">
        <v>91206.44049143439</v>
      </c>
      <c r="J100" s="79">
        <v>94001.774778518986</v>
      </c>
      <c r="K100" s="79">
        <v>96839.395445620336</v>
      </c>
      <c r="L100" s="79">
        <v>99731.938184044033</v>
      </c>
      <c r="M100" s="79">
        <v>102983.97139823932</v>
      </c>
      <c r="N100" s="79">
        <v>106195.37988944497</v>
      </c>
      <c r="O100" s="79">
        <v>109732.28716061823</v>
      </c>
      <c r="P100" s="79">
        <v>112179.40058519019</v>
      </c>
      <c r="Q100" s="79">
        <v>115763.63056962569</v>
      </c>
      <c r="R100" s="79">
        <v>119360.78177099822</v>
      </c>
      <c r="S100" s="79">
        <v>123128.20313004679</v>
      </c>
      <c r="T100" s="79">
        <v>127584.67697981428</v>
      </c>
      <c r="U100" s="79">
        <v>131412.2172892087</v>
      </c>
      <c r="V100" s="79">
        <v>135354.58380788498</v>
      </c>
      <c r="W100" s="79">
        <v>139415.22132212151</v>
      </c>
      <c r="X100" s="89"/>
    </row>
    <row r="101" spans="2:24">
      <c r="B101" s="105" t="s">
        <v>73</v>
      </c>
      <c r="C101" s="79">
        <v>107298.8694</v>
      </c>
      <c r="D101" s="79">
        <v>144805.24799999999</v>
      </c>
      <c r="E101" s="79">
        <v>155298.12479999999</v>
      </c>
      <c r="F101" s="89">
        <v>437445.92563199997</v>
      </c>
      <c r="G101" s="79">
        <v>160149.97496340278</v>
      </c>
      <c r="H101" s="79">
        <v>165241.33303101576</v>
      </c>
      <c r="I101" s="79">
        <v>170845.23487176004</v>
      </c>
      <c r="J101" s="79">
        <v>176081.37324366483</v>
      </c>
      <c r="K101" s="79">
        <v>181396.72122496687</v>
      </c>
      <c r="L101" s="79">
        <v>186814.94762279469</v>
      </c>
      <c r="M101" s="79">
        <v>192906.56105816536</v>
      </c>
      <c r="N101" s="79">
        <v>198922.07745144813</v>
      </c>
      <c r="O101" s="79">
        <v>205547.30863257268</v>
      </c>
      <c r="P101" s="79">
        <v>210131.16987664896</v>
      </c>
      <c r="Q101" s="79">
        <v>216845.04457920129</v>
      </c>
      <c r="R101" s="79">
        <v>223583.12292713815</v>
      </c>
      <c r="S101" s="79">
        <v>230640.14635091694</v>
      </c>
      <c r="T101" s="79">
        <v>238987.88273292041</v>
      </c>
      <c r="U101" s="79">
        <v>246157.51921490801</v>
      </c>
      <c r="V101" s="79">
        <v>253542.24479135528</v>
      </c>
      <c r="W101" s="79">
        <v>261148.51213509589</v>
      </c>
      <c r="X101" s="89"/>
    </row>
    <row r="102" spans="2:24" ht="17.25">
      <c r="B102" s="105" t="s">
        <v>74</v>
      </c>
      <c r="C102" s="94">
        <v>18233.7948</v>
      </c>
      <c r="D102" s="94">
        <v>4902.2609999999995</v>
      </c>
      <c r="E102" s="94">
        <v>5257.4885999999997</v>
      </c>
      <c r="F102" s="95">
        <v>14809.367274</v>
      </c>
      <c r="G102" s="94">
        <v>5421.7439440735316</v>
      </c>
      <c r="H102" s="94">
        <v>5594.1076286541793</v>
      </c>
      <c r="I102" s="94">
        <v>5783.8230555543769</v>
      </c>
      <c r="J102" s="94">
        <v>5961.0881566865701</v>
      </c>
      <c r="K102" s="94">
        <v>6141.0348331368996</v>
      </c>
      <c r="L102" s="94">
        <v>6324.4643726466957</v>
      </c>
      <c r="M102" s="94">
        <v>6530.6908691566396</v>
      </c>
      <c r="N102" s="94">
        <v>6734.341163720901</v>
      </c>
      <c r="O102" s="94">
        <v>6958.632844331888</v>
      </c>
      <c r="P102" s="94">
        <v>7113.8156468657198</v>
      </c>
      <c r="Q102" s="94">
        <v>7341.1082800250433</v>
      </c>
      <c r="R102" s="94">
        <v>7569.2203074291556</v>
      </c>
      <c r="S102" s="94">
        <v>7808.129954588333</v>
      </c>
      <c r="T102" s="94">
        <v>8090.7356133540761</v>
      </c>
      <c r="U102" s="94">
        <v>8333.4576817546986</v>
      </c>
      <c r="V102" s="94">
        <v>8583.4614122073399</v>
      </c>
      <c r="W102" s="94">
        <v>8840.9652545735589</v>
      </c>
      <c r="X102" s="89"/>
    </row>
    <row r="103" spans="2:24">
      <c r="B103" s="106" t="s">
        <v>15</v>
      </c>
      <c r="C103" s="79">
        <v>260532.87569999998</v>
      </c>
      <c r="D103" s="79">
        <v>294889.85399999999</v>
      </c>
      <c r="E103" s="79">
        <v>316258.16039999994</v>
      </c>
      <c r="F103" s="89">
        <v>890840.40063599986</v>
      </c>
      <c r="G103" s="79">
        <v>326138.75109734625</v>
      </c>
      <c r="H103" s="79">
        <v>336507.08966212062</v>
      </c>
      <c r="I103" s="79">
        <v>347919.20226488629</v>
      </c>
      <c r="J103" s="79">
        <v>358582.37988683832</v>
      </c>
      <c r="K103" s="79">
        <v>369406.86457792734</v>
      </c>
      <c r="L103" s="79">
        <v>380440.85687767045</v>
      </c>
      <c r="M103" s="79">
        <v>392846.17382157629</v>
      </c>
      <c r="N103" s="79">
        <v>405096.5223099803</v>
      </c>
      <c r="O103" s="79">
        <v>418588.52955904126</v>
      </c>
      <c r="P103" s="79">
        <v>427923.37198838399</v>
      </c>
      <c r="Q103" s="79">
        <v>441595.8980753526</v>
      </c>
      <c r="R103" s="79">
        <v>455317.7138776615</v>
      </c>
      <c r="S103" s="79">
        <v>469689.04803754436</v>
      </c>
      <c r="T103" s="79">
        <v>486688.8653571452</v>
      </c>
      <c r="U103" s="79">
        <v>501289.53131785954</v>
      </c>
      <c r="V103" s="79">
        <v>516328.21725739539</v>
      </c>
      <c r="W103" s="79">
        <v>531818.06377511716</v>
      </c>
      <c r="X103" s="89"/>
    </row>
    <row r="104" spans="2:24">
      <c r="C104" s="79"/>
      <c r="D104" s="79"/>
      <c r="E104" s="79"/>
      <c r="F104" s="89"/>
      <c r="G104" s="79"/>
      <c r="H104" s="79"/>
      <c r="I104" s="79"/>
      <c r="J104" s="79"/>
      <c r="K104" s="79"/>
      <c r="L104" s="79"/>
      <c r="M104" s="79"/>
      <c r="N104" s="79"/>
      <c r="O104" s="79"/>
      <c r="P104" s="79"/>
      <c r="Q104" s="79"/>
      <c r="R104" s="79"/>
      <c r="S104" s="79"/>
      <c r="T104" s="79"/>
      <c r="U104" s="79"/>
      <c r="V104" s="79"/>
      <c r="W104" s="79"/>
      <c r="X104" s="89"/>
    </row>
    <row r="105" spans="2:24">
      <c r="B105" s="103" t="s">
        <v>3</v>
      </c>
      <c r="C105" s="79"/>
      <c r="D105" s="79"/>
      <c r="E105" s="79"/>
      <c r="F105" s="89"/>
      <c r="G105" s="79"/>
      <c r="H105" s="79"/>
      <c r="I105" s="79"/>
      <c r="J105" s="79"/>
      <c r="K105" s="79"/>
      <c r="L105" s="79"/>
      <c r="M105" s="79"/>
      <c r="N105" s="79"/>
      <c r="O105" s="79"/>
      <c r="P105" s="79"/>
      <c r="Q105" s="79"/>
      <c r="R105" s="79"/>
      <c r="S105" s="79"/>
      <c r="T105" s="79"/>
      <c r="U105" s="79"/>
      <c r="V105" s="79"/>
      <c r="W105" s="79"/>
      <c r="X105" s="89"/>
    </row>
    <row r="106" spans="2:24">
      <c r="B106" s="107" t="s">
        <v>7</v>
      </c>
      <c r="C106" s="79">
        <v>105194.97</v>
      </c>
      <c r="D106" s="79">
        <v>113129.1</v>
      </c>
      <c r="E106" s="79">
        <v>121326.65999999999</v>
      </c>
      <c r="F106" s="89">
        <v>341754.62939999998</v>
      </c>
      <c r="G106" s="79">
        <v>125117.16794015843</v>
      </c>
      <c r="H106" s="79">
        <v>129094.79143048107</v>
      </c>
      <c r="I106" s="79">
        <v>133472.83974356254</v>
      </c>
      <c r="J106" s="79">
        <v>137563.57284661315</v>
      </c>
      <c r="K106" s="79">
        <v>141716.1884570054</v>
      </c>
      <c r="L106" s="79">
        <v>145949.17783030836</v>
      </c>
      <c r="M106" s="79">
        <v>150708.25082669171</v>
      </c>
      <c r="N106" s="79">
        <v>155407.87300894389</v>
      </c>
      <c r="O106" s="79">
        <v>160583.83486919742</v>
      </c>
      <c r="P106" s="79">
        <v>164164.97646613201</v>
      </c>
      <c r="Q106" s="79">
        <v>169410.19107750105</v>
      </c>
      <c r="R106" s="79">
        <v>174674.31478682667</v>
      </c>
      <c r="S106" s="79">
        <v>180187.61433665385</v>
      </c>
      <c r="T106" s="79">
        <v>186709.28338509408</v>
      </c>
      <c r="U106" s="79">
        <v>192310.56188664693</v>
      </c>
      <c r="V106" s="79">
        <v>198079.87874324631</v>
      </c>
      <c r="W106" s="79">
        <v>204022.2751055437</v>
      </c>
      <c r="X106" s="89"/>
    </row>
    <row r="107" spans="2:24" ht="17.25">
      <c r="B107" s="107" t="s">
        <v>75</v>
      </c>
      <c r="C107" s="94">
        <v>521591.72624999995</v>
      </c>
      <c r="D107" s="94">
        <v>560931.78749999998</v>
      </c>
      <c r="E107" s="94">
        <v>601578.02249999996</v>
      </c>
      <c r="F107" s="95">
        <v>1694533.3707749997</v>
      </c>
      <c r="G107" s="94">
        <v>620372.62436995213</v>
      </c>
      <c r="H107" s="94">
        <v>640095.00750946859</v>
      </c>
      <c r="I107" s="94">
        <v>661802.8303951642</v>
      </c>
      <c r="J107" s="94">
        <v>682086.04869779025</v>
      </c>
      <c r="K107" s="94">
        <v>702676.10109931836</v>
      </c>
      <c r="L107" s="94">
        <v>723664.67340861226</v>
      </c>
      <c r="M107" s="94">
        <v>747261.74368234642</v>
      </c>
      <c r="N107" s="94">
        <v>770564.03700268001</v>
      </c>
      <c r="O107" s="94">
        <v>796228.1812264371</v>
      </c>
      <c r="P107" s="94">
        <v>813984.67497790453</v>
      </c>
      <c r="Q107" s="94">
        <v>839992.19742594252</v>
      </c>
      <c r="R107" s="94">
        <v>866093.47748468223</v>
      </c>
      <c r="S107" s="94">
        <v>893430.25441924203</v>
      </c>
      <c r="T107" s="94">
        <v>925766.86345109146</v>
      </c>
      <c r="U107" s="94">
        <v>953539.8693546243</v>
      </c>
      <c r="V107" s="94">
        <v>982146.06543526286</v>
      </c>
      <c r="W107" s="94">
        <v>1011610.4473983207</v>
      </c>
      <c r="X107" s="89"/>
    </row>
    <row r="108" spans="2:24">
      <c r="B108" s="106" t="s">
        <v>76</v>
      </c>
      <c r="C108" s="79">
        <v>626786.69624999992</v>
      </c>
      <c r="D108" s="79">
        <v>674060.88749999995</v>
      </c>
      <c r="E108" s="79">
        <v>722904.6825</v>
      </c>
      <c r="F108" s="89">
        <v>2036288.0001749997</v>
      </c>
      <c r="G108" s="79">
        <v>745489.79231011053</v>
      </c>
      <c r="H108" s="79">
        <v>769189.7989399496</v>
      </c>
      <c r="I108" s="79">
        <v>795275.67013872671</v>
      </c>
      <c r="J108" s="79">
        <v>819649.62154440337</v>
      </c>
      <c r="K108" s="79">
        <v>844392.28955632378</v>
      </c>
      <c r="L108" s="79">
        <v>869613.85123892059</v>
      </c>
      <c r="M108" s="79">
        <v>897969.99450903817</v>
      </c>
      <c r="N108" s="79">
        <v>925971.91001162387</v>
      </c>
      <c r="O108" s="79">
        <v>956812.01609563455</v>
      </c>
      <c r="P108" s="79">
        <v>978149.65144403651</v>
      </c>
      <c r="Q108" s="79">
        <v>1009402.3885034436</v>
      </c>
      <c r="R108" s="79">
        <v>1040767.7922715088</v>
      </c>
      <c r="S108" s="79">
        <v>1073617.8687558959</v>
      </c>
      <c r="T108" s="79">
        <v>1112476.1468361856</v>
      </c>
      <c r="U108" s="79">
        <v>1145850.4312412713</v>
      </c>
      <c r="V108" s="79">
        <v>1180225.9441785091</v>
      </c>
      <c r="W108" s="79">
        <v>1215632.7225038644</v>
      </c>
      <c r="X108" s="89"/>
    </row>
    <row r="109" spans="2:24">
      <c r="B109" s="106"/>
      <c r="C109" s="79"/>
      <c r="D109" s="79"/>
      <c r="E109" s="79"/>
      <c r="F109" s="89"/>
      <c r="G109" s="79"/>
      <c r="H109" s="79"/>
      <c r="I109" s="79"/>
      <c r="J109" s="79"/>
      <c r="K109" s="79"/>
      <c r="L109" s="79"/>
      <c r="M109" s="79"/>
      <c r="N109" s="79"/>
      <c r="O109" s="79"/>
      <c r="P109" s="79"/>
      <c r="Q109" s="79"/>
      <c r="R109" s="79"/>
      <c r="S109" s="79"/>
      <c r="T109" s="79"/>
      <c r="U109" s="79"/>
      <c r="V109" s="79"/>
      <c r="W109" s="79"/>
      <c r="X109" s="89"/>
    </row>
    <row r="110" spans="2:24">
      <c r="B110" s="109" t="s">
        <v>83</v>
      </c>
      <c r="C110" s="79">
        <v>887319.5719499999</v>
      </c>
      <c r="D110" s="79">
        <v>968950.7415</v>
      </c>
      <c r="E110" s="79">
        <v>1039162.8428999999</v>
      </c>
      <c r="F110" s="89">
        <v>2927128.4008109998</v>
      </c>
      <c r="G110" s="79">
        <v>1071628.5434074567</v>
      </c>
      <c r="H110" s="79">
        <v>1105696.8886020703</v>
      </c>
      <c r="I110" s="79">
        <v>1143194.8724036131</v>
      </c>
      <c r="J110" s="79">
        <v>1178232.0014312416</v>
      </c>
      <c r="K110" s="79">
        <v>1213799.1541342512</v>
      </c>
      <c r="L110" s="79">
        <v>1250054.708116591</v>
      </c>
      <c r="M110" s="79">
        <v>1290816.1683306145</v>
      </c>
      <c r="N110" s="79">
        <v>1331068.4323216041</v>
      </c>
      <c r="O110" s="79">
        <v>1375400.5456546759</v>
      </c>
      <c r="P110" s="79">
        <v>1406073.0234324206</v>
      </c>
      <c r="Q110" s="79">
        <v>1450998.2865787961</v>
      </c>
      <c r="R110" s="79">
        <v>1496085.5061491705</v>
      </c>
      <c r="S110" s="79">
        <v>1543306.9167934402</v>
      </c>
      <c r="T110" s="79">
        <v>1599165.0121933308</v>
      </c>
      <c r="U110" s="79">
        <v>1647139.962559131</v>
      </c>
      <c r="V110" s="79">
        <v>1696554.1614359044</v>
      </c>
      <c r="W110" s="79">
        <v>1747450.7862789817</v>
      </c>
      <c r="X110" s="89"/>
    </row>
    <row r="111" spans="2:24">
      <c r="C111" s="79"/>
      <c r="D111" s="79"/>
      <c r="E111" s="79"/>
      <c r="F111" s="89"/>
      <c r="G111" s="79"/>
      <c r="H111" s="79"/>
      <c r="I111" s="79"/>
      <c r="J111" s="79"/>
      <c r="K111" s="79"/>
      <c r="L111" s="79"/>
      <c r="M111" s="79"/>
      <c r="N111" s="79"/>
      <c r="O111" s="79"/>
      <c r="P111" s="79"/>
      <c r="Q111" s="79"/>
      <c r="R111" s="79"/>
      <c r="S111" s="79"/>
      <c r="T111" s="79"/>
      <c r="U111" s="79"/>
      <c r="V111" s="79"/>
      <c r="W111" s="79"/>
      <c r="X111" s="89"/>
    </row>
    <row r="112" spans="2:24">
      <c r="B112" s="102" t="s">
        <v>84</v>
      </c>
      <c r="C112" s="79"/>
      <c r="D112" s="79"/>
      <c r="E112" s="79"/>
      <c r="F112" s="89"/>
      <c r="G112" s="79"/>
      <c r="H112" s="79"/>
      <c r="I112" s="79"/>
      <c r="J112" s="79"/>
      <c r="K112" s="79"/>
      <c r="L112" s="79"/>
      <c r="M112" s="79"/>
      <c r="N112" s="79"/>
      <c r="O112" s="79"/>
      <c r="P112" s="79"/>
      <c r="Q112" s="79"/>
      <c r="R112" s="79"/>
      <c r="S112" s="79"/>
      <c r="T112" s="79"/>
      <c r="U112" s="79"/>
      <c r="V112" s="79"/>
      <c r="W112" s="79"/>
      <c r="X112" s="89"/>
    </row>
    <row r="113" spans="2:24">
      <c r="B113" s="103" t="s">
        <v>2</v>
      </c>
      <c r="C113" s="79"/>
      <c r="D113" s="79"/>
      <c r="E113" s="79"/>
      <c r="F113" s="89"/>
      <c r="G113" s="79"/>
      <c r="H113" s="79"/>
      <c r="I113" s="79"/>
      <c r="J113" s="79"/>
      <c r="K113" s="79"/>
      <c r="L113" s="79"/>
      <c r="M113" s="79"/>
      <c r="N113" s="79"/>
      <c r="O113" s="79"/>
      <c r="P113" s="79"/>
      <c r="Q113" s="79"/>
      <c r="R113" s="79"/>
      <c r="S113" s="79"/>
      <c r="T113" s="79"/>
      <c r="U113" s="79"/>
      <c r="V113" s="79"/>
      <c r="W113" s="79"/>
      <c r="X113" s="89"/>
    </row>
    <row r="114" spans="2:24">
      <c r="B114" s="104" t="s">
        <v>72</v>
      </c>
      <c r="C114" s="79">
        <v>105194.97</v>
      </c>
      <c r="D114" s="79">
        <v>113129.09999999999</v>
      </c>
      <c r="E114" s="79">
        <v>121326.65999999999</v>
      </c>
      <c r="F114" s="89">
        <v>341754.62939999998</v>
      </c>
      <c r="G114" s="79">
        <v>125117.16794015844</v>
      </c>
      <c r="H114" s="79">
        <v>129094.79143048107</v>
      </c>
      <c r="I114" s="79">
        <v>133472.83974356254</v>
      </c>
      <c r="J114" s="79">
        <v>137563.57284661315</v>
      </c>
      <c r="K114" s="79">
        <v>141716.18845700537</v>
      </c>
      <c r="L114" s="79">
        <v>145949.17783030836</v>
      </c>
      <c r="M114" s="79">
        <v>150708.25082669168</v>
      </c>
      <c r="N114" s="79">
        <v>155407.87300894389</v>
      </c>
      <c r="O114" s="79">
        <v>160583.83486919742</v>
      </c>
      <c r="P114" s="79">
        <v>164164.97646613201</v>
      </c>
      <c r="Q114" s="79">
        <v>169410.19107750102</v>
      </c>
      <c r="R114" s="79">
        <v>174674.31478682667</v>
      </c>
      <c r="S114" s="79">
        <v>180187.61433665387</v>
      </c>
      <c r="T114" s="79">
        <v>186709.28338509408</v>
      </c>
      <c r="U114" s="79">
        <v>192310.5618866469</v>
      </c>
      <c r="V114" s="79">
        <v>198079.87874324631</v>
      </c>
      <c r="W114" s="79">
        <v>204022.2751055437</v>
      </c>
      <c r="X114" s="89"/>
    </row>
    <row r="115" spans="2:24">
      <c r="B115" s="105" t="s">
        <v>9</v>
      </c>
      <c r="C115" s="79">
        <v>239610.76499999998</v>
      </c>
      <c r="D115" s="79">
        <v>257682.94999999998</v>
      </c>
      <c r="E115" s="79">
        <v>276355.17</v>
      </c>
      <c r="F115" s="89">
        <v>778441.10029999993</v>
      </c>
      <c r="G115" s="79">
        <v>284989.10475258308</v>
      </c>
      <c r="H115" s="79">
        <v>294049.24714720686</v>
      </c>
      <c r="I115" s="79">
        <v>304021.4683047813</v>
      </c>
      <c r="J115" s="79">
        <v>313339.24926172994</v>
      </c>
      <c r="K115" s="79">
        <v>322797.98481873446</v>
      </c>
      <c r="L115" s="79">
        <v>332439.79394681344</v>
      </c>
      <c r="M115" s="79">
        <v>343279.90466079774</v>
      </c>
      <c r="N115" s="79">
        <v>353984.59963148326</v>
      </c>
      <c r="O115" s="79">
        <v>365774.2905353941</v>
      </c>
      <c r="P115" s="79">
        <v>373931.33528396732</v>
      </c>
      <c r="Q115" s="79">
        <v>385878.76856541896</v>
      </c>
      <c r="R115" s="79">
        <v>397869.27256999409</v>
      </c>
      <c r="S115" s="79">
        <v>410427.34376682265</v>
      </c>
      <c r="T115" s="79">
        <v>425282.25659938093</v>
      </c>
      <c r="U115" s="79">
        <v>438040.72429736238</v>
      </c>
      <c r="V115" s="79">
        <v>451181.94602628326</v>
      </c>
      <c r="W115" s="79">
        <v>464717.40440707171</v>
      </c>
      <c r="X115" s="89"/>
    </row>
    <row r="116" spans="2:24">
      <c r="B116" s="105" t="s">
        <v>73</v>
      </c>
      <c r="C116" s="79">
        <v>178831.44899999999</v>
      </c>
      <c r="D116" s="79">
        <v>192319.46999999997</v>
      </c>
      <c r="E116" s="79">
        <v>206255.32199999999</v>
      </c>
      <c r="F116" s="89">
        <v>580982.86997999996</v>
      </c>
      <c r="G116" s="79">
        <v>212699.18549826933</v>
      </c>
      <c r="H116" s="79">
        <v>219461.1454318178</v>
      </c>
      <c r="I116" s="79">
        <v>226903.82756405626</v>
      </c>
      <c r="J116" s="79">
        <v>233858.07383924234</v>
      </c>
      <c r="K116" s="79">
        <v>240917.52037690912</v>
      </c>
      <c r="L116" s="79">
        <v>248113.60231152416</v>
      </c>
      <c r="M116" s="79">
        <v>256204.02640537586</v>
      </c>
      <c r="N116" s="79">
        <v>264193.38411520456</v>
      </c>
      <c r="O116" s="79">
        <v>272992.51927763561</v>
      </c>
      <c r="P116" s="79">
        <v>279080.45999242435</v>
      </c>
      <c r="Q116" s="79">
        <v>287997.3248317517</v>
      </c>
      <c r="R116" s="79">
        <v>296946.33513760532</v>
      </c>
      <c r="S116" s="79">
        <v>306318.94437231153</v>
      </c>
      <c r="T116" s="79">
        <v>317405.7817546599</v>
      </c>
      <c r="U116" s="79">
        <v>326927.95520729973</v>
      </c>
      <c r="V116" s="79">
        <v>336735.79386351875</v>
      </c>
      <c r="W116" s="79">
        <v>346837.86767942423</v>
      </c>
      <c r="X116" s="89"/>
    </row>
    <row r="117" spans="2:24" ht="17.25">
      <c r="B117" s="105" t="s">
        <v>74</v>
      </c>
      <c r="C117" s="94">
        <v>60779.315999999999</v>
      </c>
      <c r="D117" s="94">
        <v>65363.479999999996</v>
      </c>
      <c r="E117" s="94">
        <v>70099.847999999998</v>
      </c>
      <c r="F117" s="95">
        <v>197458.23031999997</v>
      </c>
      <c r="G117" s="94">
        <v>72289.919254313761</v>
      </c>
      <c r="H117" s="94">
        <v>74588.101715389057</v>
      </c>
      <c r="I117" s="94">
        <v>77117.640740725023</v>
      </c>
      <c r="J117" s="94">
        <v>79481.175422487606</v>
      </c>
      <c r="K117" s="94">
        <v>81880.46444182533</v>
      </c>
      <c r="L117" s="94">
        <v>84326.191635289273</v>
      </c>
      <c r="M117" s="94">
        <v>87075.878255421863</v>
      </c>
      <c r="N117" s="94">
        <v>89791.21551627868</v>
      </c>
      <c r="O117" s="94">
        <v>92781.771257758504</v>
      </c>
      <c r="P117" s="94">
        <v>94850.875291542936</v>
      </c>
      <c r="Q117" s="94">
        <v>97881.443733667242</v>
      </c>
      <c r="R117" s="94">
        <v>100922.93743238875</v>
      </c>
      <c r="S117" s="94">
        <v>104108.39939451111</v>
      </c>
      <c r="T117" s="94">
        <v>107876.47484472101</v>
      </c>
      <c r="U117" s="94">
        <v>111112.76909006266</v>
      </c>
      <c r="V117" s="94">
        <v>114446.15216276453</v>
      </c>
      <c r="W117" s="94">
        <v>117879.53672764746</v>
      </c>
      <c r="X117" s="89"/>
    </row>
    <row r="118" spans="2:24">
      <c r="B118" s="106" t="s">
        <v>15</v>
      </c>
      <c r="C118" s="79">
        <v>584416.5</v>
      </c>
      <c r="D118" s="79">
        <v>628495</v>
      </c>
      <c r="E118" s="79">
        <v>674037</v>
      </c>
      <c r="F118" s="89">
        <v>1898636.83</v>
      </c>
      <c r="G118" s="79">
        <v>695095.37744532467</v>
      </c>
      <c r="H118" s="79">
        <v>717193.28572489473</v>
      </c>
      <c r="I118" s="79">
        <v>741515.77635312511</v>
      </c>
      <c r="J118" s="79">
        <v>764242.07137007313</v>
      </c>
      <c r="K118" s="79">
        <v>787312.15809447423</v>
      </c>
      <c r="L118" s="79">
        <v>810828.7657239351</v>
      </c>
      <c r="M118" s="79">
        <v>837268.06014828722</v>
      </c>
      <c r="N118" s="79">
        <v>863377.07227191038</v>
      </c>
      <c r="O118" s="79">
        <v>892132.41593998566</v>
      </c>
      <c r="P118" s="79">
        <v>912027.64703406661</v>
      </c>
      <c r="Q118" s="79">
        <v>941167.72820833884</v>
      </c>
      <c r="R118" s="79">
        <v>970412.8599268148</v>
      </c>
      <c r="S118" s="79">
        <v>1001042.3018702992</v>
      </c>
      <c r="T118" s="79">
        <v>1037273.7965838559</v>
      </c>
      <c r="U118" s="79">
        <v>1068392.0104813718</v>
      </c>
      <c r="V118" s="79">
        <v>1100443.7707958128</v>
      </c>
      <c r="W118" s="79">
        <v>1133457.0839196872</v>
      </c>
      <c r="X118" s="89"/>
    </row>
    <row r="119" spans="2:24">
      <c r="C119" s="79"/>
      <c r="D119" s="79"/>
      <c r="E119" s="79"/>
      <c r="F119" s="89"/>
      <c r="G119" s="79"/>
      <c r="H119" s="79"/>
      <c r="I119" s="79"/>
      <c r="J119" s="79"/>
      <c r="K119" s="79"/>
      <c r="L119" s="79"/>
      <c r="M119" s="79"/>
      <c r="N119" s="79"/>
      <c r="O119" s="79"/>
      <c r="P119" s="79"/>
      <c r="Q119" s="79"/>
      <c r="R119" s="79"/>
      <c r="S119" s="79"/>
      <c r="T119" s="79"/>
      <c r="U119" s="79"/>
      <c r="V119" s="79"/>
      <c r="W119" s="79"/>
      <c r="X119" s="89"/>
    </row>
    <row r="120" spans="2:24">
      <c r="B120" s="103" t="s">
        <v>3</v>
      </c>
      <c r="C120" s="79"/>
      <c r="D120" s="79"/>
      <c r="E120" s="79"/>
      <c r="F120" s="89"/>
      <c r="G120" s="79"/>
      <c r="H120" s="79"/>
      <c r="I120" s="79"/>
      <c r="J120" s="79"/>
      <c r="K120" s="79"/>
      <c r="L120" s="79"/>
      <c r="M120" s="79"/>
      <c r="N120" s="79"/>
      <c r="O120" s="79"/>
      <c r="P120" s="79"/>
      <c r="Q120" s="79"/>
      <c r="R120" s="79"/>
      <c r="S120" s="79"/>
      <c r="T120" s="79"/>
      <c r="U120" s="79"/>
      <c r="V120" s="79"/>
      <c r="W120" s="79"/>
      <c r="X120" s="89"/>
    </row>
    <row r="121" spans="2:24">
      <c r="B121" s="107" t="s">
        <v>7</v>
      </c>
      <c r="C121" s="79">
        <v>262987.42499999999</v>
      </c>
      <c r="D121" s="79">
        <v>282822.75</v>
      </c>
      <c r="E121" s="79">
        <v>303316.64999999997</v>
      </c>
      <c r="F121" s="89">
        <v>854386.57349999994</v>
      </c>
      <c r="G121" s="79">
        <v>312792.91985039605</v>
      </c>
      <c r="H121" s="79">
        <v>322736.97857620264</v>
      </c>
      <c r="I121" s="79">
        <v>333682.09935890633</v>
      </c>
      <c r="J121" s="79">
        <v>343908.93211653287</v>
      </c>
      <c r="K121" s="79">
        <v>354290.4711425135</v>
      </c>
      <c r="L121" s="79">
        <v>364872.94457577087</v>
      </c>
      <c r="M121" s="79">
        <v>376770.62706672924</v>
      </c>
      <c r="N121" s="79">
        <v>388519.68252235971</v>
      </c>
      <c r="O121" s="79">
        <v>401459.58717299352</v>
      </c>
      <c r="P121" s="79">
        <v>410412.44116533</v>
      </c>
      <c r="Q121" s="79">
        <v>423525.47769375256</v>
      </c>
      <c r="R121" s="79">
        <v>436685.78696706664</v>
      </c>
      <c r="S121" s="79">
        <v>450469.03584163461</v>
      </c>
      <c r="T121" s="79">
        <v>466773.20846273517</v>
      </c>
      <c r="U121" s="79">
        <v>480776.40471661731</v>
      </c>
      <c r="V121" s="79">
        <v>495199.69685811573</v>
      </c>
      <c r="W121" s="79">
        <v>510055.68776385923</v>
      </c>
      <c r="X121" s="89"/>
    </row>
    <row r="122" spans="2:24" ht="17.25">
      <c r="B122" s="107" t="s">
        <v>75</v>
      </c>
      <c r="C122" s="94">
        <v>1490262.075</v>
      </c>
      <c r="D122" s="94">
        <v>1602662.25</v>
      </c>
      <c r="E122" s="94">
        <v>1718794.3499999999</v>
      </c>
      <c r="F122" s="95">
        <v>4841523.9164999994</v>
      </c>
      <c r="G122" s="94">
        <v>1772493.2124855777</v>
      </c>
      <c r="H122" s="94">
        <v>1828842.8785984816</v>
      </c>
      <c r="I122" s="94">
        <v>1890865.2297004692</v>
      </c>
      <c r="J122" s="94">
        <v>1948817.2819936865</v>
      </c>
      <c r="K122" s="94">
        <v>2007646.0031409098</v>
      </c>
      <c r="L122" s="94">
        <v>2067613.352596035</v>
      </c>
      <c r="M122" s="94">
        <v>2135033.5533781326</v>
      </c>
      <c r="N122" s="94">
        <v>2201611.5342933717</v>
      </c>
      <c r="O122" s="94">
        <v>2274937.6606469634</v>
      </c>
      <c r="P122" s="94">
        <v>2325670.4999368703</v>
      </c>
      <c r="Q122" s="94">
        <v>2399977.7069312646</v>
      </c>
      <c r="R122" s="94">
        <v>2474552.7928133779</v>
      </c>
      <c r="S122" s="94">
        <v>2552657.8697692631</v>
      </c>
      <c r="T122" s="94">
        <v>2645048.1812888328</v>
      </c>
      <c r="U122" s="94">
        <v>2724399.6267274981</v>
      </c>
      <c r="V122" s="94">
        <v>2806131.6155293225</v>
      </c>
      <c r="W122" s="94">
        <v>2890315.5639952021</v>
      </c>
      <c r="X122" s="89"/>
    </row>
    <row r="123" spans="2:24">
      <c r="B123" s="106" t="s">
        <v>76</v>
      </c>
      <c r="C123" s="79">
        <v>1753249.5</v>
      </c>
      <c r="D123" s="79">
        <v>1885485</v>
      </c>
      <c r="E123" s="79">
        <v>2022110.9999999998</v>
      </c>
      <c r="F123" s="89">
        <v>5695910.4899999993</v>
      </c>
      <c r="G123" s="79">
        <v>2085286.1323359737</v>
      </c>
      <c r="H123" s="79">
        <v>2151579.8571746843</v>
      </c>
      <c r="I123" s="79">
        <v>2224547.3290593755</v>
      </c>
      <c r="J123" s="79">
        <v>2292726.2141102194</v>
      </c>
      <c r="K123" s="79">
        <v>2361936.4742834233</v>
      </c>
      <c r="L123" s="79">
        <v>2432486.297171806</v>
      </c>
      <c r="M123" s="79">
        <v>2511804.1804448618</v>
      </c>
      <c r="N123" s="79">
        <v>2590131.2168157315</v>
      </c>
      <c r="O123" s="79">
        <v>2676397.2478199569</v>
      </c>
      <c r="P123" s="79">
        <v>2736082.9411022002</v>
      </c>
      <c r="Q123" s="79">
        <v>2823503.184625017</v>
      </c>
      <c r="R123" s="79">
        <v>2911238.5797804445</v>
      </c>
      <c r="S123" s="79">
        <v>3003126.9056108976</v>
      </c>
      <c r="T123" s="79">
        <v>3111821.389751568</v>
      </c>
      <c r="U123" s="79">
        <v>3205176.0314441156</v>
      </c>
      <c r="V123" s="79">
        <v>3301331.3123874385</v>
      </c>
      <c r="W123" s="79">
        <v>3400371.2517590611</v>
      </c>
      <c r="X123" s="89"/>
    </row>
    <row r="124" spans="2:24">
      <c r="B124" s="106"/>
      <c r="C124" s="79"/>
      <c r="D124" s="79"/>
      <c r="E124" s="79"/>
      <c r="F124" s="89"/>
      <c r="G124" s="79"/>
      <c r="H124" s="79"/>
      <c r="I124" s="79"/>
      <c r="J124" s="79"/>
      <c r="K124" s="79"/>
      <c r="L124" s="79"/>
      <c r="M124" s="79"/>
      <c r="N124" s="79"/>
      <c r="O124" s="79"/>
      <c r="P124" s="79"/>
      <c r="Q124" s="79"/>
      <c r="R124" s="79"/>
      <c r="S124" s="79"/>
      <c r="T124" s="79"/>
      <c r="U124" s="79"/>
      <c r="V124" s="79"/>
      <c r="W124" s="79"/>
      <c r="X124" s="89"/>
    </row>
    <row r="125" spans="2:24">
      <c r="B125" s="109" t="s">
        <v>85</v>
      </c>
      <c r="C125" s="79">
        <v>2337666</v>
      </c>
      <c r="D125" s="79">
        <v>2513980</v>
      </c>
      <c r="E125" s="79">
        <v>2696148</v>
      </c>
      <c r="F125" s="89">
        <v>7594547.3199999994</v>
      </c>
      <c r="G125" s="79">
        <v>2780381.5097812982</v>
      </c>
      <c r="H125" s="79">
        <v>2868773.1428995794</v>
      </c>
      <c r="I125" s="79">
        <v>2966063.1054125009</v>
      </c>
      <c r="J125" s="79">
        <v>3056968.2854802925</v>
      </c>
      <c r="K125" s="79">
        <v>3149248.6323778974</v>
      </c>
      <c r="L125" s="79">
        <v>3243315.0628957413</v>
      </c>
      <c r="M125" s="79">
        <v>3349072.2405931489</v>
      </c>
      <c r="N125" s="79">
        <v>3453508.289087642</v>
      </c>
      <c r="O125" s="79">
        <v>3568529.6637599426</v>
      </c>
      <c r="P125" s="79">
        <v>3648110.5881362669</v>
      </c>
      <c r="Q125" s="79">
        <v>3764670.9128333558</v>
      </c>
      <c r="R125" s="79">
        <v>3881651.4397072592</v>
      </c>
      <c r="S125" s="79">
        <v>4004169.2074811971</v>
      </c>
      <c r="T125" s="79">
        <v>4149095.186335424</v>
      </c>
      <c r="U125" s="79">
        <v>4273568.0419254871</v>
      </c>
      <c r="V125" s="79">
        <v>4401775.0831832513</v>
      </c>
      <c r="W125" s="79">
        <v>4533828.3356787479</v>
      </c>
      <c r="X125" s="89">
        <v>68687276.047569036</v>
      </c>
    </row>
  </sheetData>
  <dataConsolidate/>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B2:X23"/>
  <sheetViews>
    <sheetView workbookViewId="0">
      <selection activeCell="C6" sqref="C6"/>
    </sheetView>
  </sheetViews>
  <sheetFormatPr defaultRowHeight="15"/>
  <cols>
    <col min="2" max="2" width="8.85546875" style="311"/>
    <col min="3" max="3" width="13.7109375" bestFit="1" customWidth="1"/>
    <col min="4" max="4" width="12.7109375" style="311" customWidth="1"/>
    <col min="5" max="5" width="11.7109375" customWidth="1"/>
    <col min="6" max="6" width="9.7109375" customWidth="1"/>
    <col min="8" max="24" width="9.140625" bestFit="1" customWidth="1"/>
  </cols>
  <sheetData>
    <row r="2" spans="2:24">
      <c r="B2" s="805" t="s">
        <v>446</v>
      </c>
      <c r="C2" s="806"/>
      <c r="D2" s="806"/>
      <c r="E2" s="806"/>
      <c r="F2" s="807"/>
    </row>
    <row r="3" spans="2:24">
      <c r="B3" s="313"/>
      <c r="C3" s="313" t="s">
        <v>195</v>
      </c>
      <c r="D3" s="313" t="s">
        <v>406</v>
      </c>
      <c r="E3" s="313" t="s">
        <v>194</v>
      </c>
      <c r="F3" s="313" t="s">
        <v>196</v>
      </c>
      <c r="H3" s="366"/>
      <c r="I3" s="366"/>
      <c r="J3" s="366"/>
    </row>
    <row r="4" spans="2:24">
      <c r="B4" s="313">
        <v>2015</v>
      </c>
      <c r="C4" s="369">
        <f>'BED Scen 2'!C7+'DPS Recommendation'!C10</f>
        <v>2419484.31</v>
      </c>
      <c r="D4" s="367">
        <v>6769.0461860999994</v>
      </c>
      <c r="E4" s="368">
        <f>'BED Scen 2'!C23</f>
        <v>972.43470000000002</v>
      </c>
      <c r="F4" s="368">
        <f>'BED Scen 2'!C27</f>
        <v>1002.3203999999999</v>
      </c>
      <c r="H4" s="90"/>
      <c r="I4" s="90"/>
      <c r="J4" s="90"/>
      <c r="K4" s="90"/>
      <c r="L4" s="90"/>
      <c r="M4" s="90"/>
      <c r="N4" s="90"/>
      <c r="O4" s="90"/>
      <c r="P4" s="90"/>
      <c r="Q4" s="90"/>
      <c r="R4" s="90"/>
      <c r="S4" s="90"/>
      <c r="T4" s="90"/>
      <c r="U4" s="90"/>
      <c r="V4" s="90"/>
      <c r="W4" s="90"/>
      <c r="X4" s="90"/>
    </row>
    <row r="5" spans="2:24">
      <c r="B5" s="313">
        <v>2016</v>
      </c>
      <c r="C5" s="369">
        <f>'BED Scen 2'!D7+'DPS Recommendation'!D10</f>
        <v>2620824.15</v>
      </c>
      <c r="D5" s="367">
        <v>6777.3800803566119</v>
      </c>
      <c r="E5" s="368">
        <f>'BED Scen 2'!D23</f>
        <v>972.43470000000002</v>
      </c>
      <c r="F5" s="368">
        <f>'BED Scen 2'!D27</f>
        <v>1003.554433864623</v>
      </c>
    </row>
    <row r="6" spans="2:24">
      <c r="B6" s="313">
        <v>2017</v>
      </c>
      <c r="C6" s="369">
        <f>'BED Scen 2'!E7+'DPS Recommendation'!E10</f>
        <v>2803993.92</v>
      </c>
      <c r="D6" s="367">
        <v>6784.1494699376453</v>
      </c>
      <c r="E6" s="368">
        <f>'BED Scen 2'!E23</f>
        <v>968.9863499999999</v>
      </c>
      <c r="F6" s="368">
        <f>'BED Scen 2'!E27</f>
        <v>1004.5568051125178</v>
      </c>
    </row>
    <row r="7" spans="2:24">
      <c r="B7" s="313">
        <v>2018</v>
      </c>
      <c r="C7" s="369">
        <f>'BED Scen 2'!G7</f>
        <v>2780381.5097812987</v>
      </c>
      <c r="D7" s="367">
        <v>6512.5448496684703</v>
      </c>
      <c r="E7" s="368">
        <f>'BED Scen 2'!G23</f>
        <v>923.00835000000006</v>
      </c>
      <c r="F7" s="368">
        <f>'BED Scen 2'!G27</f>
        <v>964.33919628764806</v>
      </c>
    </row>
    <row r="8" spans="2:24">
      <c r="B8" s="313">
        <v>2019</v>
      </c>
      <c r="C8" s="369">
        <f>'BED Scen 2'!H7</f>
        <v>2868773.1428995794</v>
      </c>
      <c r="D8" s="367">
        <v>5841.3190017849747</v>
      </c>
      <c r="E8" s="368">
        <f>'BED Scen 2'!H23</f>
        <v>826.45455000000004</v>
      </c>
      <c r="F8" s="368">
        <f>'BED Scen 2'!H27</f>
        <v>864.94803513373802</v>
      </c>
    </row>
    <row r="9" spans="2:24">
      <c r="B9" s="313">
        <v>2020</v>
      </c>
      <c r="C9" s="369">
        <f>'BED Scen 2'!I7</f>
        <v>2966063.1054125009</v>
      </c>
      <c r="D9" s="367">
        <v>6226.7990714489442</v>
      </c>
      <c r="E9" s="368">
        <f>'BED Scen 2'!I23</f>
        <v>836.79960000000005</v>
      </c>
      <c r="F9" s="368">
        <f>'BED Scen 2'!I27</f>
        <v>922.02764827200019</v>
      </c>
    </row>
    <row r="10" spans="2:24">
      <c r="B10" s="313">
        <v>2021</v>
      </c>
      <c r="C10" s="369">
        <f>'BED Scen 2'!J7</f>
        <v>3056968.2854802925</v>
      </c>
      <c r="D10" s="367">
        <v>6177.7960831755681</v>
      </c>
      <c r="E10" s="368">
        <f>'BED Scen 2'!J23</f>
        <v>826.45455000000004</v>
      </c>
      <c r="F10" s="368">
        <f>'BED Scen 2'!J27</f>
        <v>914.77157504439754</v>
      </c>
    </row>
    <row r="11" spans="2:24">
      <c r="B11" s="313">
        <v>2022</v>
      </c>
      <c r="C11" s="369">
        <f>'BED Scen 2'!K7</f>
        <v>3149248.6323778974</v>
      </c>
      <c r="D11" s="367">
        <v>5488.2328790850879</v>
      </c>
      <c r="E11" s="368">
        <f>'BED Scen 2'!K23</f>
        <v>660</v>
      </c>
      <c r="F11" s="368">
        <f>'BED Scen 2'!K27</f>
        <v>812.66512643299177</v>
      </c>
    </row>
    <row r="12" spans="2:24">
      <c r="B12" s="313">
        <v>2023</v>
      </c>
      <c r="C12" s="369">
        <f>'BED Scen 2'!L7</f>
        <v>3243315.0628957413</v>
      </c>
      <c r="D12" s="367">
        <v>5686.402803421317</v>
      </c>
      <c r="E12" s="368">
        <f>'BED Scen 2'!L23</f>
        <v>752.88974999999994</v>
      </c>
      <c r="F12" s="368">
        <f>'BED Scen 2'!L27</f>
        <v>842.00895898602391</v>
      </c>
    </row>
    <row r="13" spans="2:24">
      <c r="B13" s="313">
        <v>2024</v>
      </c>
      <c r="C13" s="369">
        <f>'BED Scen 2'!M7</f>
        <v>3349072.2405931489</v>
      </c>
      <c r="D13" s="367">
        <v>5339.5594034924006</v>
      </c>
      <c r="E13" s="368">
        <f>'BED Scen 2'!M23</f>
        <v>737.94690000000003</v>
      </c>
      <c r="F13" s="368">
        <f>'BED Scen 2'!M27</f>
        <v>790.65043582097383</v>
      </c>
    </row>
    <row r="14" spans="2:24">
      <c r="B14" s="313">
        <v>2025</v>
      </c>
      <c r="C14" s="369">
        <f>'BED Scen 2'!N7</f>
        <v>3453508.289087642</v>
      </c>
      <c r="D14" s="367">
        <v>5076.0582446487279</v>
      </c>
      <c r="E14" s="368">
        <f>'BED Scen 2'!N23</f>
        <v>649.43925000000002</v>
      </c>
      <c r="F14" s="368">
        <f>'BED Scen 2'!N27</f>
        <v>751.63273972739421</v>
      </c>
    </row>
    <row r="15" spans="2:24">
      <c r="B15" s="313">
        <v>2026</v>
      </c>
      <c r="C15" s="369">
        <f>'BED Scen 2'!O7</f>
        <v>3568529.6637599426</v>
      </c>
      <c r="D15" s="367">
        <v>5038.6829545477694</v>
      </c>
      <c r="E15" s="368">
        <f>'BED Scen 2'!O23</f>
        <v>642.54255000000001</v>
      </c>
      <c r="F15" s="368">
        <f>'BED Scen 2'!O27</f>
        <v>746.09842740418435</v>
      </c>
    </row>
    <row r="16" spans="2:24">
      <c r="B16" s="313">
        <v>2027</v>
      </c>
      <c r="C16" s="369">
        <f>'BED Scen 2'!P7</f>
        <v>3648110.5881362669</v>
      </c>
      <c r="D16" s="367">
        <v>4801.4180876453638</v>
      </c>
      <c r="E16" s="368">
        <f>'BED Scen 2'!P23</f>
        <v>627.59969999999998</v>
      </c>
      <c r="F16" s="368">
        <f>'BED Scen 2'!P27</f>
        <v>710.96564654239739</v>
      </c>
    </row>
    <row r="17" spans="2:6">
      <c r="B17" s="313">
        <v>2028</v>
      </c>
      <c r="C17" s="369">
        <f>'BED Scen 2'!Q7</f>
        <v>3764670.9128333558</v>
      </c>
      <c r="D17" s="367">
        <v>5035.2183634127505</v>
      </c>
      <c r="E17" s="368">
        <f>'BED Scen 2'!Q23</f>
        <v>625.30079999999998</v>
      </c>
      <c r="F17" s="368">
        <f>'BED Scen 2'!Q27</f>
        <v>745.5854112011898</v>
      </c>
    </row>
    <row r="18" spans="2:6">
      <c r="B18" s="313">
        <v>2029</v>
      </c>
      <c r="C18" s="369">
        <f>'BED Scen 2'!R7</f>
        <v>3881651.4397072596</v>
      </c>
      <c r="D18" s="367">
        <v>4981.3113846815222</v>
      </c>
      <c r="E18" s="368">
        <f>'BED Scen 2'!R23</f>
        <v>621.85245000000009</v>
      </c>
      <c r="F18" s="368">
        <f>'BED Scen 2'!R27</f>
        <v>737.60318401597283</v>
      </c>
    </row>
    <row r="19" spans="2:6">
      <c r="B19" s="313">
        <v>2030</v>
      </c>
      <c r="C19" s="369">
        <f>'BED Scen 2'!S7</f>
        <v>4004169.2074811971</v>
      </c>
      <c r="D19" s="367">
        <v>4655.2132888777924</v>
      </c>
      <c r="E19" s="368">
        <f>'BED Scen 2'!S23</f>
        <v>481.61955</v>
      </c>
      <c r="F19" s="368">
        <f>'BED Scen 2'!S27</f>
        <v>689.316503021475</v>
      </c>
    </row>
    <row r="20" spans="2:6">
      <c r="B20" s="313">
        <v>2031</v>
      </c>
      <c r="C20" s="369">
        <f>'BED Scen 2'!T7</f>
        <v>4149095.186335424</v>
      </c>
      <c r="D20" s="367">
        <v>4566.373035870919</v>
      </c>
      <c r="E20" s="368">
        <f>'BED Scen 2'!T23</f>
        <v>478.1712</v>
      </c>
      <c r="F20" s="368">
        <f>'BED Scen 2'!T27</f>
        <v>676.16156280067935</v>
      </c>
    </row>
    <row r="21" spans="2:6">
      <c r="B21" s="313">
        <v>2032</v>
      </c>
      <c r="C21" s="369">
        <f>'BED Scen 2'!U7</f>
        <v>4273568.0419254871</v>
      </c>
      <c r="D21" s="367">
        <v>4548.0268762431861</v>
      </c>
      <c r="E21" s="368">
        <f>'BED Scen 2'!U23</f>
        <v>474.72284999999999</v>
      </c>
      <c r="F21" s="368">
        <f>'BED Scen 2'!U27</f>
        <v>673.44497178460767</v>
      </c>
    </row>
    <row r="22" spans="2:6">
      <c r="B22" s="313">
        <v>2033</v>
      </c>
      <c r="C22" s="369">
        <f>'BED Scen 2'!V7</f>
        <v>4401775.0831832513</v>
      </c>
      <c r="D22" s="367">
        <v>4336.9908414604879</v>
      </c>
      <c r="E22" s="368">
        <f>'BED Scen 2'!V23</f>
        <v>460.92944999999997</v>
      </c>
      <c r="F22" s="368">
        <f>'BED Scen 2'!V27</f>
        <v>642.1960015482739</v>
      </c>
    </row>
    <row r="23" spans="2:6">
      <c r="B23" s="313">
        <v>2034</v>
      </c>
      <c r="C23" s="369">
        <f>'BED Scen 2'!W7</f>
        <v>4533828.3356787488</v>
      </c>
      <c r="D23" s="367">
        <v>4383.3984803403564</v>
      </c>
      <c r="E23" s="368">
        <f>'BED Scen 2'!W23</f>
        <v>458.63054999999997</v>
      </c>
      <c r="F23" s="368">
        <f>'BED Scen 2'!W27</f>
        <v>640.88075394822704</v>
      </c>
    </row>
  </sheetData>
  <mergeCells count="1">
    <mergeCell ref="B2:F2"/>
  </mergeCells>
  <pageMargins left="0.7" right="0.7" top="0.75" bottom="0.75" header="0.3" footer="0.3"/>
  <pageSetup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2:L68"/>
  <sheetViews>
    <sheetView topLeftCell="A4" workbookViewId="0">
      <selection activeCell="E10" sqref="E10"/>
    </sheetView>
  </sheetViews>
  <sheetFormatPr defaultColWidth="9.140625" defaultRowHeight="15.75"/>
  <cols>
    <col min="1" max="1" width="63.85546875" style="500" customWidth="1"/>
    <col min="2" max="4" width="14" style="500" bestFit="1" customWidth="1"/>
    <col min="5" max="5" width="12.85546875" style="500" customWidth="1"/>
    <col min="6" max="6" width="12.42578125" style="500" customWidth="1"/>
    <col min="7" max="7" width="11.7109375" style="500" customWidth="1"/>
    <col min="8" max="8" width="13.7109375" style="500" customWidth="1"/>
    <col min="9" max="9" width="11.85546875" style="500" customWidth="1"/>
    <col min="10" max="10" width="11" style="500" customWidth="1"/>
    <col min="11" max="11" width="10.7109375" style="500" customWidth="1"/>
    <col min="12" max="12" width="11.7109375" style="500" customWidth="1"/>
    <col min="13" max="13" width="10.85546875" style="500" customWidth="1"/>
    <col min="14" max="14" width="11.7109375" style="500" customWidth="1"/>
    <col min="15" max="15" width="14.85546875" style="500" customWidth="1"/>
    <col min="16" max="16384" width="9.140625" style="500"/>
  </cols>
  <sheetData>
    <row r="2" spans="1:12">
      <c r="A2" s="499" t="s">
        <v>264</v>
      </c>
    </row>
    <row r="3" spans="1:12">
      <c r="A3" s="500" t="s">
        <v>265</v>
      </c>
    </row>
    <row r="5" spans="1:12">
      <c r="A5" s="501" t="s">
        <v>266</v>
      </c>
      <c r="B5" s="502">
        <v>2015</v>
      </c>
      <c r="C5" s="502">
        <v>2016</v>
      </c>
      <c r="D5" s="502">
        <v>2017</v>
      </c>
      <c r="E5" s="503" t="s">
        <v>267</v>
      </c>
      <c r="F5" s="504">
        <v>2018</v>
      </c>
      <c r="G5" s="504">
        <v>2019</v>
      </c>
      <c r="H5" s="504">
        <v>2020</v>
      </c>
      <c r="I5" s="504">
        <v>2021</v>
      </c>
      <c r="J5" s="504">
        <v>2022</v>
      </c>
      <c r="K5" s="504">
        <v>2023</v>
      </c>
      <c r="L5" s="504">
        <v>2024</v>
      </c>
    </row>
    <row r="6" spans="1:12">
      <c r="A6" s="505" t="s">
        <v>268</v>
      </c>
      <c r="B6" s="506">
        <v>107100</v>
      </c>
      <c r="C6" s="506">
        <v>109242</v>
      </c>
      <c r="D6" s="506">
        <v>111426.84</v>
      </c>
      <c r="E6" s="507">
        <v>327768.83999999997</v>
      </c>
      <c r="F6" s="508">
        <v>113655.3768</v>
      </c>
      <c r="G6" s="508">
        <v>115928.48433599999</v>
      </c>
      <c r="H6" s="508">
        <v>118247.05402272</v>
      </c>
      <c r="I6" s="508">
        <v>120611.9951031744</v>
      </c>
      <c r="J6" s="508">
        <v>123024.23500523789</v>
      </c>
      <c r="K6" s="508">
        <v>125484.71970534265</v>
      </c>
      <c r="L6" s="508">
        <v>127994.41409944951</v>
      </c>
    </row>
    <row r="7" spans="1:12">
      <c r="A7" s="509"/>
      <c r="B7" s="510"/>
      <c r="C7" s="510"/>
      <c r="D7" s="510"/>
      <c r="E7" s="511"/>
      <c r="F7" s="512"/>
      <c r="G7" s="512"/>
      <c r="H7" s="512"/>
      <c r="I7" s="512"/>
      <c r="J7" s="512"/>
      <c r="K7" s="512"/>
      <c r="L7" s="512"/>
    </row>
    <row r="8" spans="1:12" ht="20.25">
      <c r="A8" s="513" t="s">
        <v>269</v>
      </c>
      <c r="B8" s="514">
        <v>96390</v>
      </c>
      <c r="C8" s="514">
        <v>98317.8</v>
      </c>
      <c r="D8" s="514">
        <v>100284.15599999999</v>
      </c>
      <c r="E8" s="515">
        <v>294991.95600000001</v>
      </c>
      <c r="F8" s="516">
        <v>102289.83911999999</v>
      </c>
      <c r="G8" s="516">
        <v>104335.6359024</v>
      </c>
      <c r="H8" s="516">
        <v>106422.348620448</v>
      </c>
      <c r="I8" s="516">
        <v>108550.79559285696</v>
      </c>
      <c r="J8" s="516">
        <v>110721.8115047141</v>
      </c>
      <c r="K8" s="516">
        <v>112936.24773480839</v>
      </c>
      <c r="L8" s="516">
        <v>115194.97268950456</v>
      </c>
    </row>
    <row r="9" spans="1:12">
      <c r="A9" s="501" t="s">
        <v>270</v>
      </c>
      <c r="B9" s="506">
        <v>91570.5</v>
      </c>
      <c r="C9" s="506">
        <v>93401.91</v>
      </c>
      <c r="D9" s="506">
        <v>95269.948199999984</v>
      </c>
      <c r="E9" s="507">
        <v>280242.35820000002</v>
      </c>
      <c r="F9" s="508">
        <v>97175.347163999992</v>
      </c>
      <c r="G9" s="508">
        <v>99118.85410728</v>
      </c>
      <c r="H9" s="508">
        <v>101101.2311894256</v>
      </c>
      <c r="I9" s="508">
        <v>103123.2558132141</v>
      </c>
      <c r="J9" s="508">
        <v>105185.7209294784</v>
      </c>
      <c r="K9" s="508">
        <v>107289.43534806797</v>
      </c>
      <c r="L9" s="508">
        <v>109435.22405502932</v>
      </c>
    </row>
    <row r="10" spans="1:12">
      <c r="A10" s="501" t="s">
        <v>271</v>
      </c>
      <c r="B10" s="506">
        <v>4819.5</v>
      </c>
      <c r="C10" s="506">
        <v>4915.8900000000003</v>
      </c>
      <c r="D10" s="506">
        <v>5014.2078000000001</v>
      </c>
      <c r="E10" s="507">
        <v>14749.5978</v>
      </c>
      <c r="F10" s="508">
        <v>5114.4919559999998</v>
      </c>
      <c r="G10" s="508">
        <v>5216.7817951200004</v>
      </c>
      <c r="H10" s="508">
        <v>5321.1174310224005</v>
      </c>
      <c r="I10" s="508">
        <v>5427.5397796428479</v>
      </c>
      <c r="J10" s="508">
        <v>5536.0905752357057</v>
      </c>
      <c r="K10" s="508">
        <v>5646.8123867404202</v>
      </c>
      <c r="L10" s="508">
        <v>5759.7486344752288</v>
      </c>
    </row>
    <row r="11" spans="1:12">
      <c r="B11" s="517"/>
      <c r="C11" s="517"/>
      <c r="D11" s="517"/>
      <c r="E11" s="518"/>
      <c r="F11" s="519"/>
      <c r="G11" s="519"/>
      <c r="H11" s="519"/>
      <c r="I11" s="519"/>
      <c r="J11" s="519"/>
      <c r="K11" s="519"/>
      <c r="L11" s="519"/>
    </row>
    <row r="12" spans="1:12">
      <c r="A12" s="520" t="s">
        <v>272</v>
      </c>
      <c r="B12" s="521"/>
      <c r="C12" s="521"/>
      <c r="D12" s="521"/>
      <c r="E12" s="522"/>
      <c r="F12" s="519"/>
      <c r="G12" s="519"/>
      <c r="H12" s="519"/>
      <c r="I12" s="519"/>
      <c r="J12" s="519"/>
      <c r="K12" s="519"/>
      <c r="L12" s="519"/>
    </row>
    <row r="13" spans="1:12">
      <c r="A13" s="523" t="s">
        <v>273</v>
      </c>
      <c r="B13" s="517"/>
      <c r="C13" s="524"/>
      <c r="D13" s="524"/>
      <c r="E13" s="522"/>
      <c r="F13" s="519"/>
      <c r="G13" s="519"/>
      <c r="H13" s="519"/>
      <c r="I13" s="519"/>
      <c r="J13" s="519"/>
      <c r="K13" s="519"/>
      <c r="L13" s="519"/>
    </row>
    <row r="14" spans="1:12">
      <c r="A14" s="525" t="s">
        <v>274</v>
      </c>
      <c r="B14" s="526">
        <v>20</v>
      </c>
      <c r="C14" s="526">
        <v>18</v>
      </c>
      <c r="D14" s="526">
        <v>16</v>
      </c>
      <c r="E14" s="527">
        <f>SUM(B14:D14)</f>
        <v>54</v>
      </c>
      <c r="F14" s="528">
        <v>15</v>
      </c>
      <c r="G14" s="528">
        <v>15</v>
      </c>
      <c r="H14" s="528">
        <v>15</v>
      </c>
      <c r="I14" s="528">
        <v>15</v>
      </c>
      <c r="J14" s="528">
        <v>15</v>
      </c>
      <c r="K14" s="528">
        <v>15</v>
      </c>
      <c r="L14" s="528">
        <v>15</v>
      </c>
    </row>
    <row r="15" spans="1:12">
      <c r="A15" s="529"/>
      <c r="B15" s="524"/>
      <c r="C15" s="524"/>
      <c r="D15" s="524"/>
      <c r="E15" s="522"/>
      <c r="F15" s="519"/>
      <c r="G15" s="519"/>
      <c r="H15" s="519"/>
      <c r="I15" s="519"/>
      <c r="J15" s="519"/>
      <c r="K15" s="519"/>
      <c r="L15" s="519"/>
    </row>
    <row r="16" spans="1:12">
      <c r="A16" s="523" t="s">
        <v>275</v>
      </c>
      <c r="B16" s="524"/>
      <c r="C16" s="524"/>
      <c r="D16" s="524"/>
      <c r="E16" s="522"/>
      <c r="F16" s="519"/>
      <c r="G16" s="519"/>
      <c r="H16" s="519"/>
      <c r="I16" s="519"/>
      <c r="J16" s="519"/>
      <c r="K16" s="519"/>
      <c r="L16" s="519"/>
    </row>
    <row r="17" spans="1:12">
      <c r="A17" s="525" t="s">
        <v>274</v>
      </c>
      <c r="B17" s="526">
        <v>25</v>
      </c>
      <c r="C17" s="526">
        <v>25</v>
      </c>
      <c r="D17" s="526">
        <v>25</v>
      </c>
      <c r="E17" s="527"/>
      <c r="F17" s="528">
        <v>25</v>
      </c>
      <c r="G17" s="528">
        <v>25</v>
      </c>
      <c r="H17" s="528">
        <v>25</v>
      </c>
      <c r="I17" s="528">
        <v>25</v>
      </c>
      <c r="J17" s="528">
        <v>25</v>
      </c>
      <c r="K17" s="528">
        <v>25</v>
      </c>
      <c r="L17" s="528">
        <v>25</v>
      </c>
    </row>
    <row r="18" spans="1:12">
      <c r="A18" s="529"/>
      <c r="B18" s="524"/>
      <c r="C18" s="524"/>
      <c r="D18" s="524"/>
      <c r="E18" s="522"/>
      <c r="F18" s="519"/>
      <c r="G18" s="519"/>
      <c r="H18" s="519"/>
      <c r="I18" s="519"/>
      <c r="J18" s="519"/>
      <c r="K18" s="519"/>
      <c r="L18" s="519"/>
    </row>
    <row r="19" spans="1:12">
      <c r="A19" s="523" t="s">
        <v>276</v>
      </c>
      <c r="B19" s="517"/>
      <c r="C19" s="517"/>
      <c r="D19" s="517"/>
      <c r="E19" s="518"/>
      <c r="F19" s="519"/>
      <c r="G19" s="519"/>
      <c r="H19" s="519"/>
      <c r="I19" s="519"/>
      <c r="J19" s="519"/>
      <c r="K19" s="519"/>
      <c r="L19" s="519"/>
    </row>
    <row r="20" spans="1:12">
      <c r="A20" s="530" t="s">
        <v>277</v>
      </c>
      <c r="B20" s="528">
        <v>500</v>
      </c>
      <c r="C20" s="526">
        <v>450</v>
      </c>
      <c r="D20" s="526">
        <v>400</v>
      </c>
      <c r="E20" s="531">
        <f>SUM(B20:D20)</f>
        <v>1350</v>
      </c>
      <c r="F20" s="528">
        <v>375</v>
      </c>
      <c r="G20" s="528">
        <v>375</v>
      </c>
      <c r="H20" s="528">
        <v>375</v>
      </c>
      <c r="I20" s="528">
        <v>375</v>
      </c>
      <c r="J20" s="528">
        <v>375</v>
      </c>
      <c r="K20" s="528">
        <v>375</v>
      </c>
      <c r="L20" s="528">
        <v>375</v>
      </c>
    </row>
    <row r="21" spans="1:12">
      <c r="A21" s="529"/>
      <c r="B21" s="524"/>
      <c r="C21" s="524"/>
      <c r="D21" s="524"/>
      <c r="E21" s="522"/>
      <c r="F21" s="519"/>
      <c r="G21" s="519"/>
      <c r="H21" s="519"/>
      <c r="I21" s="519"/>
      <c r="J21" s="519"/>
      <c r="K21" s="519"/>
      <c r="L21" s="519"/>
    </row>
    <row r="22" spans="1:12">
      <c r="A22" s="523" t="s">
        <v>278</v>
      </c>
      <c r="B22" s="524"/>
      <c r="C22" s="524"/>
      <c r="D22" s="524"/>
      <c r="E22" s="532"/>
      <c r="F22" s="519"/>
      <c r="G22" s="519"/>
      <c r="H22" s="519"/>
      <c r="I22" s="519"/>
      <c r="J22" s="519"/>
      <c r="K22" s="519"/>
      <c r="L22" s="519"/>
    </row>
    <row r="23" spans="1:12">
      <c r="A23" s="525" t="s">
        <v>279</v>
      </c>
      <c r="B23" s="533">
        <v>5.4602737781272355</v>
      </c>
      <c r="C23" s="528">
        <v>4.8178886277593254</v>
      </c>
      <c r="D23" s="528">
        <v>4.1985957540386281</v>
      </c>
      <c r="E23" s="534">
        <v>4.8294347660829313</v>
      </c>
      <c r="F23" s="528">
        <v>3.8590034504031507</v>
      </c>
      <c r="G23" s="528">
        <v>3.7833367160815201</v>
      </c>
      <c r="H23" s="528">
        <v>3.7091536432171766</v>
      </c>
      <c r="I23" s="528">
        <v>3.6364251404089969</v>
      </c>
      <c r="J23" s="528">
        <v>3.5651226866754864</v>
      </c>
      <c r="K23" s="528">
        <v>3.4952183202700851</v>
      </c>
      <c r="L23" s="528">
        <v>3.4266846277157699</v>
      </c>
    </row>
    <row r="25" spans="1:12">
      <c r="B25" s="535"/>
      <c r="E25" s="535"/>
    </row>
    <row r="26" spans="1:12">
      <c r="A26" s="520" t="s">
        <v>280</v>
      </c>
      <c r="B26" s="535"/>
      <c r="E26" s="535"/>
    </row>
    <row r="27" spans="1:12">
      <c r="A27" s="523" t="s">
        <v>273</v>
      </c>
      <c r="B27" s="535"/>
      <c r="C27" s="535"/>
      <c r="D27" s="535"/>
      <c r="E27" s="535"/>
    </row>
    <row r="28" spans="1:12">
      <c r="A28" s="525" t="s">
        <v>281</v>
      </c>
      <c r="B28" s="526">
        <v>1</v>
      </c>
      <c r="C28" s="526">
        <v>0</v>
      </c>
      <c r="D28" s="526">
        <v>1</v>
      </c>
      <c r="E28" s="536">
        <v>2</v>
      </c>
      <c r="F28" s="526">
        <v>0</v>
      </c>
      <c r="G28" s="526">
        <v>1</v>
      </c>
      <c r="H28" s="526">
        <v>0</v>
      </c>
      <c r="I28" s="526">
        <v>1</v>
      </c>
      <c r="J28" s="526">
        <v>0</v>
      </c>
      <c r="K28" s="526">
        <v>1</v>
      </c>
      <c r="L28" s="526">
        <v>0</v>
      </c>
    </row>
    <row r="29" spans="1:12">
      <c r="A29" s="525" t="s">
        <v>282</v>
      </c>
      <c r="B29" s="537">
        <v>0</v>
      </c>
      <c r="C29" s="537">
        <v>1</v>
      </c>
      <c r="D29" s="537">
        <v>0</v>
      </c>
      <c r="E29" s="538">
        <v>1</v>
      </c>
      <c r="F29" s="537">
        <v>1</v>
      </c>
      <c r="G29" s="537">
        <v>0</v>
      </c>
      <c r="H29" s="537">
        <v>1</v>
      </c>
      <c r="I29" s="537">
        <v>0</v>
      </c>
      <c r="J29" s="537">
        <v>1</v>
      </c>
      <c r="K29" s="537">
        <v>0</v>
      </c>
      <c r="L29" s="537">
        <v>1</v>
      </c>
    </row>
    <row r="30" spans="1:12">
      <c r="A30" s="530" t="s">
        <v>283</v>
      </c>
      <c r="B30" s="519">
        <v>1</v>
      </c>
      <c r="C30" s="539">
        <v>1</v>
      </c>
      <c r="D30" s="539">
        <v>1</v>
      </c>
      <c r="E30" s="540">
        <v>3</v>
      </c>
      <c r="F30" s="539">
        <v>1</v>
      </c>
      <c r="G30" s="539">
        <v>1</v>
      </c>
      <c r="H30" s="539">
        <v>1</v>
      </c>
      <c r="I30" s="539">
        <v>1</v>
      </c>
      <c r="J30" s="539">
        <v>1</v>
      </c>
      <c r="K30" s="539">
        <v>1</v>
      </c>
      <c r="L30" s="539">
        <v>1</v>
      </c>
    </row>
    <row r="31" spans="1:12">
      <c r="A31" s="529"/>
      <c r="B31" s="535"/>
      <c r="E31" s="541"/>
    </row>
    <row r="32" spans="1:12">
      <c r="A32" s="523" t="s">
        <v>275</v>
      </c>
      <c r="E32" s="541"/>
    </row>
    <row r="33" spans="1:12">
      <c r="A33" s="525" t="s">
        <v>281</v>
      </c>
      <c r="B33" s="526">
        <v>42</v>
      </c>
      <c r="C33" s="526">
        <v>42</v>
      </c>
      <c r="D33" s="526">
        <v>42</v>
      </c>
      <c r="E33" s="541"/>
      <c r="F33" s="526">
        <v>42</v>
      </c>
      <c r="G33" s="526">
        <v>42</v>
      </c>
      <c r="H33" s="526">
        <v>42</v>
      </c>
      <c r="I33" s="526">
        <v>42</v>
      </c>
      <c r="J33" s="526">
        <v>42</v>
      </c>
      <c r="K33" s="526">
        <v>42</v>
      </c>
      <c r="L33" s="526">
        <v>42</v>
      </c>
    </row>
    <row r="34" spans="1:12">
      <c r="A34" s="525" t="s">
        <v>282</v>
      </c>
      <c r="B34" s="526">
        <v>36</v>
      </c>
      <c r="C34" s="526">
        <v>36</v>
      </c>
      <c r="D34" s="526">
        <v>36</v>
      </c>
      <c r="E34" s="541"/>
      <c r="F34" s="526">
        <v>36</v>
      </c>
      <c r="G34" s="526">
        <v>36</v>
      </c>
      <c r="H34" s="526">
        <v>36</v>
      </c>
      <c r="I34" s="526">
        <v>36</v>
      </c>
      <c r="J34" s="526">
        <v>36</v>
      </c>
      <c r="K34" s="526">
        <v>36</v>
      </c>
      <c r="L34" s="526">
        <v>36</v>
      </c>
    </row>
    <row r="35" spans="1:12">
      <c r="A35" s="529"/>
      <c r="E35" s="541"/>
    </row>
    <row r="36" spans="1:12">
      <c r="A36" s="523" t="s">
        <v>276</v>
      </c>
      <c r="E36" s="541"/>
    </row>
    <row r="37" spans="1:12">
      <c r="A37" s="525" t="s">
        <v>281</v>
      </c>
      <c r="B37" s="526">
        <v>42</v>
      </c>
      <c r="C37" s="526">
        <v>0</v>
      </c>
      <c r="D37" s="526">
        <v>42</v>
      </c>
      <c r="E37" s="536">
        <v>84</v>
      </c>
      <c r="F37" s="526">
        <v>0</v>
      </c>
      <c r="G37" s="526">
        <v>42</v>
      </c>
      <c r="H37" s="526">
        <v>0</v>
      </c>
      <c r="I37" s="526">
        <v>42</v>
      </c>
      <c r="J37" s="526">
        <v>0</v>
      </c>
      <c r="K37" s="526">
        <v>42</v>
      </c>
      <c r="L37" s="526">
        <v>0</v>
      </c>
    </row>
    <row r="38" spans="1:12">
      <c r="A38" s="525" t="s">
        <v>282</v>
      </c>
      <c r="B38" s="537">
        <v>0</v>
      </c>
      <c r="C38" s="537">
        <v>36</v>
      </c>
      <c r="D38" s="537">
        <v>0</v>
      </c>
      <c r="E38" s="538">
        <v>36</v>
      </c>
      <c r="F38" s="537">
        <v>36</v>
      </c>
      <c r="G38" s="537">
        <v>0</v>
      </c>
      <c r="H38" s="537">
        <v>36</v>
      </c>
      <c r="I38" s="537">
        <v>0</v>
      </c>
      <c r="J38" s="537">
        <v>36</v>
      </c>
      <c r="K38" s="537">
        <v>0</v>
      </c>
      <c r="L38" s="537">
        <v>36</v>
      </c>
    </row>
    <row r="39" spans="1:12">
      <c r="A39" s="530" t="s">
        <v>284</v>
      </c>
      <c r="B39" s="519">
        <v>42</v>
      </c>
      <c r="C39" s="519">
        <v>36</v>
      </c>
      <c r="D39" s="519">
        <v>42</v>
      </c>
      <c r="E39" s="542">
        <v>120</v>
      </c>
      <c r="F39" s="519">
        <v>36</v>
      </c>
      <c r="G39" s="519">
        <v>42</v>
      </c>
      <c r="H39" s="519">
        <v>36</v>
      </c>
      <c r="I39" s="519">
        <v>42</v>
      </c>
      <c r="J39" s="519">
        <v>36</v>
      </c>
      <c r="K39" s="519">
        <v>42</v>
      </c>
      <c r="L39" s="519">
        <v>36</v>
      </c>
    </row>
    <row r="40" spans="1:12">
      <c r="A40" s="529"/>
      <c r="B40" s="535"/>
      <c r="C40" s="535"/>
      <c r="D40" s="535"/>
      <c r="E40" s="543"/>
      <c r="F40" s="535"/>
      <c r="G40" s="535"/>
      <c r="H40" s="535"/>
      <c r="I40" s="535"/>
      <c r="J40" s="535"/>
      <c r="K40" s="535"/>
      <c r="L40" s="535"/>
    </row>
    <row r="41" spans="1:12">
      <c r="A41" s="523" t="s">
        <v>278</v>
      </c>
      <c r="E41" s="541"/>
    </row>
    <row r="42" spans="1:12">
      <c r="A42" s="525" t="s">
        <v>281</v>
      </c>
      <c r="B42" s="528">
        <v>31.111111111111111</v>
      </c>
      <c r="C42" s="528">
        <v>31.111111111111111</v>
      </c>
      <c r="D42" s="528">
        <v>31.111111111111111</v>
      </c>
      <c r="E42" s="544">
        <v>31.111111111111111</v>
      </c>
      <c r="F42" s="528">
        <v>31.111111111111111</v>
      </c>
      <c r="G42" s="528">
        <v>31.111111111111111</v>
      </c>
      <c r="H42" s="528">
        <v>31.111111111111111</v>
      </c>
      <c r="I42" s="528">
        <v>31.111111111111111</v>
      </c>
      <c r="J42" s="528">
        <v>31.111111111111111</v>
      </c>
      <c r="K42" s="528">
        <v>31.111111111111111</v>
      </c>
      <c r="L42" s="528">
        <v>31.111111111111111</v>
      </c>
    </row>
    <row r="43" spans="1:12">
      <c r="A43" s="525" t="s">
        <v>282</v>
      </c>
      <c r="B43" s="526">
        <v>8</v>
      </c>
      <c r="C43" s="526">
        <v>8</v>
      </c>
      <c r="D43" s="526">
        <v>8</v>
      </c>
      <c r="E43" s="536">
        <v>8</v>
      </c>
      <c r="F43" s="526">
        <v>8</v>
      </c>
      <c r="G43" s="526">
        <v>8</v>
      </c>
      <c r="H43" s="526">
        <v>8</v>
      </c>
      <c r="I43" s="526">
        <v>8</v>
      </c>
      <c r="J43" s="526">
        <v>8</v>
      </c>
      <c r="K43" s="526">
        <v>8</v>
      </c>
      <c r="L43" s="526">
        <v>8</v>
      </c>
    </row>
    <row r="44" spans="1:12">
      <c r="C44" s="535"/>
      <c r="E44" s="545"/>
      <c r="F44" s="535"/>
      <c r="G44" s="535"/>
      <c r="H44" s="535"/>
      <c r="I44" s="535"/>
      <c r="J44" s="535"/>
      <c r="K44" s="535"/>
      <c r="L44" s="535"/>
    </row>
    <row r="45" spans="1:12">
      <c r="C45" s="535"/>
      <c r="E45" s="545"/>
      <c r="F45" s="535"/>
      <c r="G45" s="535"/>
      <c r="H45" s="535"/>
      <c r="I45" s="535"/>
      <c r="J45" s="535"/>
      <c r="K45" s="535"/>
      <c r="L45" s="535"/>
    </row>
    <row r="46" spans="1:12">
      <c r="E46" s="529"/>
    </row>
    <row r="47" spans="1:12">
      <c r="A47" s="530" t="s">
        <v>285</v>
      </c>
      <c r="B47" s="528">
        <v>542</v>
      </c>
      <c r="C47" s="528">
        <v>486</v>
      </c>
      <c r="D47" s="528">
        <v>442</v>
      </c>
      <c r="E47" s="544">
        <v>1470</v>
      </c>
      <c r="F47" s="528">
        <v>411</v>
      </c>
      <c r="G47" s="528">
        <v>417</v>
      </c>
      <c r="H47" s="528">
        <v>411</v>
      </c>
      <c r="I47" s="528">
        <v>417</v>
      </c>
      <c r="J47" s="528">
        <v>411</v>
      </c>
      <c r="K47" s="528">
        <v>417</v>
      </c>
      <c r="L47" s="528">
        <v>411</v>
      </c>
    </row>
    <row r="48" spans="1:12">
      <c r="A48" s="530"/>
      <c r="B48" s="546"/>
      <c r="C48" s="546"/>
      <c r="D48" s="546"/>
      <c r="E48" s="546"/>
    </row>
    <row r="49" spans="1:12">
      <c r="A49" s="547" t="s">
        <v>286</v>
      </c>
      <c r="B49" s="546"/>
      <c r="C49" s="546"/>
      <c r="D49" s="546"/>
      <c r="E49" s="546"/>
    </row>
    <row r="50" spans="1:12">
      <c r="A50" s="548" t="s">
        <v>287</v>
      </c>
      <c r="B50" s="506">
        <v>82413.45</v>
      </c>
      <c r="C50" s="506">
        <v>84061.718999999997</v>
      </c>
      <c r="D50" s="506">
        <v>85742.953379999992</v>
      </c>
      <c r="E50" s="549">
        <v>252218.12237999999</v>
      </c>
      <c r="F50" s="506">
        <v>87457.812447599994</v>
      </c>
      <c r="G50" s="506">
        <v>89206.968696551994</v>
      </c>
      <c r="H50" s="506">
        <v>90991.108070483038</v>
      </c>
      <c r="I50" s="506">
        <v>92810.930231892693</v>
      </c>
      <c r="J50" s="506">
        <v>94667.148836530556</v>
      </c>
      <c r="K50" s="506">
        <v>96560.491813261178</v>
      </c>
      <c r="L50" s="506">
        <v>98491.701649526396</v>
      </c>
    </row>
    <row r="51" spans="1:12" ht="18">
      <c r="A51" s="548" t="s">
        <v>288</v>
      </c>
      <c r="B51" s="514">
        <v>9157.0500000000011</v>
      </c>
      <c r="C51" s="514">
        <v>9340.1910000000007</v>
      </c>
      <c r="D51" s="514">
        <v>9526.9948199999981</v>
      </c>
      <c r="E51" s="550">
        <v>28024.235820000002</v>
      </c>
      <c r="F51" s="514">
        <v>9717.5347163999995</v>
      </c>
      <c r="G51" s="514">
        <v>9911.8854107280004</v>
      </c>
      <c r="H51" s="514">
        <v>10110.12311894256</v>
      </c>
      <c r="I51" s="514">
        <v>10312.325581321411</v>
      </c>
      <c r="J51" s="514">
        <v>10518.572092947841</v>
      </c>
      <c r="K51" s="514">
        <v>10728.943534806798</v>
      </c>
      <c r="L51" s="514">
        <v>10943.522405502932</v>
      </c>
    </row>
    <row r="52" spans="1:12">
      <c r="A52" s="548" t="s">
        <v>289</v>
      </c>
      <c r="B52" s="551">
        <v>91570.5</v>
      </c>
      <c r="C52" s="551">
        <v>93401.91</v>
      </c>
      <c r="D52" s="551">
        <v>95269.948199999984</v>
      </c>
      <c r="E52" s="552">
        <v>280242.35820000002</v>
      </c>
      <c r="F52" s="551">
        <v>97175.347163999992</v>
      </c>
      <c r="G52" s="551">
        <v>99118.85410728</v>
      </c>
      <c r="H52" s="551">
        <v>101101.2311894256</v>
      </c>
      <c r="I52" s="551">
        <v>103123.2558132141</v>
      </c>
      <c r="J52" s="551">
        <v>105185.7209294784</v>
      </c>
      <c r="K52" s="551">
        <v>107289.43534806797</v>
      </c>
      <c r="L52" s="551">
        <v>109435.22405502934</v>
      </c>
    </row>
    <row r="53" spans="1:12">
      <c r="A53" s="548"/>
      <c r="B53" s="553"/>
      <c r="C53" s="553"/>
      <c r="D53" s="553"/>
      <c r="E53" s="554"/>
      <c r="F53" s="539"/>
      <c r="G53" s="539"/>
      <c r="H53" s="539"/>
      <c r="I53" s="539"/>
      <c r="J53" s="539"/>
      <c r="K53" s="539"/>
      <c r="L53" s="539"/>
    </row>
    <row r="54" spans="1:12">
      <c r="A54" s="548" t="s">
        <v>290</v>
      </c>
      <c r="B54" s="506">
        <v>4337.55</v>
      </c>
      <c r="C54" s="506">
        <v>4424.3010000000004</v>
      </c>
      <c r="D54" s="506">
        <v>4512.7870199999998</v>
      </c>
      <c r="E54" s="549">
        <v>13274.63802</v>
      </c>
      <c r="F54" s="506">
        <v>4603.0427603999997</v>
      </c>
      <c r="G54" s="506">
        <v>4695.1036156080008</v>
      </c>
      <c r="H54" s="506">
        <v>4789.0056879201602</v>
      </c>
      <c r="I54" s="506">
        <v>4884.7858016785631</v>
      </c>
      <c r="J54" s="506">
        <v>4982.4815177121354</v>
      </c>
      <c r="K54" s="506">
        <v>5082.131148066378</v>
      </c>
      <c r="L54" s="506">
        <v>5183.7737710277061</v>
      </c>
    </row>
    <row r="55" spans="1:12" ht="18">
      <c r="A55" s="548" t="s">
        <v>291</v>
      </c>
      <c r="B55" s="514">
        <v>481.95000000000005</v>
      </c>
      <c r="C55" s="514">
        <v>491.58900000000006</v>
      </c>
      <c r="D55" s="514">
        <v>501.42078000000004</v>
      </c>
      <c r="E55" s="550">
        <v>1474.9597800000001</v>
      </c>
      <c r="F55" s="514">
        <v>511.4491956</v>
      </c>
      <c r="G55" s="514">
        <v>521.67817951200004</v>
      </c>
      <c r="H55" s="514">
        <v>532.1117431022401</v>
      </c>
      <c r="I55" s="514">
        <v>542.75397796428479</v>
      </c>
      <c r="J55" s="514">
        <v>553.60905752357064</v>
      </c>
      <c r="K55" s="514">
        <v>564.68123867404199</v>
      </c>
      <c r="L55" s="514">
        <v>575.97486344752292</v>
      </c>
    </row>
    <row r="56" spans="1:12">
      <c r="A56" s="548" t="s">
        <v>292</v>
      </c>
      <c r="B56" s="555">
        <v>4819.5</v>
      </c>
      <c r="C56" s="555">
        <v>4915.8900000000003</v>
      </c>
      <c r="D56" s="555">
        <v>5014.2078000000001</v>
      </c>
      <c r="E56" s="556">
        <v>14749.5978</v>
      </c>
      <c r="F56" s="555">
        <v>5114.4919559999998</v>
      </c>
      <c r="G56" s="555">
        <v>5216.7817951200013</v>
      </c>
      <c r="H56" s="555">
        <v>5321.1174310224005</v>
      </c>
      <c r="I56" s="555">
        <v>5427.5397796428479</v>
      </c>
      <c r="J56" s="555">
        <v>5536.0905752357057</v>
      </c>
      <c r="K56" s="555">
        <v>5646.8123867404202</v>
      </c>
      <c r="L56" s="555">
        <v>5759.7486344752288</v>
      </c>
    </row>
    <row r="57" spans="1:12">
      <c r="A57" s="548"/>
      <c r="B57" s="539"/>
      <c r="C57" s="539"/>
      <c r="D57" s="539"/>
      <c r="E57" s="540"/>
      <c r="F57" s="539"/>
      <c r="G57" s="539"/>
      <c r="H57" s="539"/>
      <c r="I57" s="539"/>
      <c r="J57" s="539"/>
      <c r="K57" s="539"/>
      <c r="L57" s="539"/>
    </row>
    <row r="58" spans="1:12">
      <c r="A58" s="557" t="s">
        <v>293</v>
      </c>
      <c r="B58" s="558">
        <v>96390</v>
      </c>
      <c r="C58" s="558">
        <v>98317.8</v>
      </c>
      <c r="D58" s="558">
        <v>100284.15599999999</v>
      </c>
      <c r="E58" s="507">
        <f>SUM(B58:D58)</f>
        <v>294991.95600000001</v>
      </c>
      <c r="F58" s="558">
        <v>102289.83911999999</v>
      </c>
      <c r="G58" s="558">
        <v>104335.6359024</v>
      </c>
      <c r="H58" s="558">
        <v>106422.348620448</v>
      </c>
      <c r="I58" s="558">
        <v>108550.79559285694</v>
      </c>
      <c r="J58" s="558">
        <v>110721.8115047141</v>
      </c>
      <c r="K58" s="558">
        <v>112936.24773480839</v>
      </c>
      <c r="L58" s="558">
        <v>115194.97268950456</v>
      </c>
    </row>
    <row r="60" spans="1:12">
      <c r="E60" s="546"/>
    </row>
    <row r="62" spans="1:12">
      <c r="E62" s="546"/>
    </row>
    <row r="64" spans="1:12">
      <c r="E64" s="546"/>
    </row>
    <row r="68" spans="5:5">
      <c r="E68" s="546"/>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B3:F14"/>
  <sheetViews>
    <sheetView workbookViewId="0">
      <selection activeCell="F6" sqref="F6"/>
    </sheetView>
  </sheetViews>
  <sheetFormatPr defaultRowHeight="15"/>
  <cols>
    <col min="2" max="2" width="10.42578125" customWidth="1"/>
    <col min="3" max="3" width="13.28515625" customWidth="1"/>
    <col min="4" max="4" width="10.7109375" customWidth="1"/>
  </cols>
  <sheetData>
    <row r="3" spans="2:6">
      <c r="B3" s="804" t="s">
        <v>452</v>
      </c>
      <c r="C3" s="804"/>
      <c r="D3" s="804"/>
    </row>
    <row r="4" spans="2:6">
      <c r="B4" s="748"/>
      <c r="C4" s="748" t="s">
        <v>195</v>
      </c>
      <c r="D4" s="748" t="s">
        <v>257</v>
      </c>
    </row>
    <row r="5" spans="2:6">
      <c r="B5" s="748">
        <v>2015</v>
      </c>
      <c r="C5" s="369">
        <f>'BED TEPF RA'!B8</f>
        <v>96390</v>
      </c>
      <c r="D5" s="367">
        <f>'BED TEPF RA'!B47</f>
        <v>542</v>
      </c>
      <c r="F5" s="749"/>
    </row>
    <row r="6" spans="2:6">
      <c r="B6" s="748">
        <v>2016</v>
      </c>
      <c r="C6" s="369">
        <f>'BED TEPF RA'!C8</f>
        <v>98317.8</v>
      </c>
      <c r="D6" s="367">
        <f>'BED TEPF RA'!C47</f>
        <v>486</v>
      </c>
    </row>
    <row r="7" spans="2:6">
      <c r="B7" s="748">
        <v>2017</v>
      </c>
      <c r="C7" s="369">
        <f>'BED TEPF RA'!D8</f>
        <v>100284.15599999999</v>
      </c>
      <c r="D7" s="367">
        <f>'BED TEPF RA'!D47</f>
        <v>442</v>
      </c>
    </row>
    <row r="8" spans="2:6">
      <c r="B8" s="748">
        <v>2018</v>
      </c>
      <c r="C8" s="369">
        <f>'BED TEPF RA'!F8</f>
        <v>102289.83911999999</v>
      </c>
      <c r="D8" s="367">
        <f>'BED TEPF RA'!F47</f>
        <v>411</v>
      </c>
    </row>
    <row r="9" spans="2:6">
      <c r="B9" s="748">
        <v>2019</v>
      </c>
      <c r="C9" s="369">
        <f>'BED TEPF RA'!G8</f>
        <v>104335.6359024</v>
      </c>
      <c r="D9" s="367">
        <f>'BED TEPF RA'!G47</f>
        <v>417</v>
      </c>
    </row>
    <row r="10" spans="2:6">
      <c r="B10" s="748">
        <v>2020</v>
      </c>
      <c r="C10" s="369">
        <f>'BED TEPF RA'!H8</f>
        <v>106422.348620448</v>
      </c>
      <c r="D10" s="367">
        <f>'BED TEPF RA'!H47</f>
        <v>411</v>
      </c>
    </row>
    <row r="11" spans="2:6">
      <c r="B11" s="748">
        <v>2021</v>
      </c>
      <c r="C11" s="369">
        <f>'BED TEPF RA'!I8</f>
        <v>108550.79559285696</v>
      </c>
      <c r="D11" s="367">
        <f>'BED TEPF RA'!I47</f>
        <v>417</v>
      </c>
    </row>
    <row r="12" spans="2:6">
      <c r="B12" s="748">
        <v>2022</v>
      </c>
      <c r="C12" s="369">
        <f>'BED TEPF RA'!J8</f>
        <v>110721.8115047141</v>
      </c>
      <c r="D12" s="367">
        <f>'BED TEPF RA'!J47</f>
        <v>411</v>
      </c>
    </row>
    <row r="13" spans="2:6">
      <c r="B13" s="748">
        <v>2023</v>
      </c>
      <c r="C13" s="369">
        <f>'BED TEPF RA'!K8</f>
        <v>112936.24773480839</v>
      </c>
      <c r="D13" s="367">
        <f>'BED TEPF RA'!K47</f>
        <v>417</v>
      </c>
    </row>
    <row r="14" spans="2:6">
      <c r="B14" s="748">
        <v>2024</v>
      </c>
      <c r="C14" s="369">
        <f>'BED TEPF RA'!L8</f>
        <v>115194.97268950456</v>
      </c>
      <c r="D14" s="367">
        <f>'BED TEPF RA'!L47</f>
        <v>411</v>
      </c>
    </row>
  </sheetData>
  <mergeCells count="1">
    <mergeCell ref="B3:D3"/>
  </mergeCells>
  <pageMargins left="0.7" right="0.7" top="0.75" bottom="0.75" header="0.3" footer="0.3"/>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92D050"/>
  </sheetPr>
  <dimension ref="A1:AB135"/>
  <sheetViews>
    <sheetView topLeftCell="B33" workbookViewId="0">
      <selection activeCell="F54" sqref="F54"/>
    </sheetView>
  </sheetViews>
  <sheetFormatPr defaultRowHeight="15"/>
  <cols>
    <col min="1" max="1" width="37" style="559" customWidth="1"/>
    <col min="2" max="2" width="65" style="559" customWidth="1"/>
    <col min="3" max="3" width="14.28515625" style="559" customWidth="1"/>
    <col min="4" max="4" width="11.5703125" style="559" customWidth="1"/>
    <col min="5" max="5" width="12.140625" style="559" customWidth="1"/>
    <col min="6" max="6" width="12.140625" style="559" bestFit="1" customWidth="1"/>
    <col min="7" max="7" width="13.140625" style="559" customWidth="1"/>
    <col min="8" max="8" width="12.28515625" style="559" customWidth="1"/>
    <col min="9" max="9" width="11.28515625" style="559" customWidth="1"/>
    <col min="10" max="10" width="12" style="559" customWidth="1"/>
    <col min="11" max="11" width="11.7109375" style="559" customWidth="1"/>
    <col min="12" max="13" width="11.28515625" style="559" customWidth="1"/>
    <col min="14" max="14" width="11.7109375" style="559" customWidth="1"/>
    <col min="15" max="23" width="14.28515625" style="559" bestFit="1" customWidth="1"/>
    <col min="24" max="255" width="8.85546875" style="559"/>
    <col min="256" max="256" width="29.85546875" style="559" customWidth="1"/>
    <col min="257" max="257" width="67.140625" style="559" customWidth="1"/>
    <col min="258" max="258" width="14.28515625" style="559" customWidth="1"/>
    <col min="259" max="259" width="11.5703125" style="559" customWidth="1"/>
    <col min="260" max="260" width="12.140625" style="559" customWidth="1"/>
    <col min="261" max="261" width="12.140625" style="559" bestFit="1" customWidth="1"/>
    <col min="262" max="262" width="3.5703125" style="559" customWidth="1"/>
    <col min="263" max="268" width="8.85546875" style="559"/>
    <col min="269" max="269" width="11.28515625" style="559" customWidth="1"/>
    <col min="270" max="511" width="8.85546875" style="559"/>
    <col min="512" max="512" width="29.85546875" style="559" customWidth="1"/>
    <col min="513" max="513" width="67.140625" style="559" customWidth="1"/>
    <col min="514" max="514" width="14.28515625" style="559" customWidth="1"/>
    <col min="515" max="515" width="11.5703125" style="559" customWidth="1"/>
    <col min="516" max="516" width="12.140625" style="559" customWidth="1"/>
    <col min="517" max="517" width="12.140625" style="559" bestFit="1" customWidth="1"/>
    <col min="518" max="518" width="3.5703125" style="559" customWidth="1"/>
    <col min="519" max="524" width="8.85546875" style="559"/>
    <col min="525" max="525" width="11.28515625" style="559" customWidth="1"/>
    <col min="526" max="767" width="8.85546875" style="559"/>
    <col min="768" max="768" width="29.85546875" style="559" customWidth="1"/>
    <col min="769" max="769" width="67.140625" style="559" customWidth="1"/>
    <col min="770" max="770" width="14.28515625" style="559" customWidth="1"/>
    <col min="771" max="771" width="11.5703125" style="559" customWidth="1"/>
    <col min="772" max="772" width="12.140625" style="559" customWidth="1"/>
    <col min="773" max="773" width="12.140625" style="559" bestFit="1" customWidth="1"/>
    <col min="774" max="774" width="3.5703125" style="559" customWidth="1"/>
    <col min="775" max="780" width="8.85546875" style="559"/>
    <col min="781" max="781" width="11.28515625" style="559" customWidth="1"/>
    <col min="782" max="1023" width="8.85546875" style="559"/>
    <col min="1024" max="1024" width="29.85546875" style="559" customWidth="1"/>
    <col min="1025" max="1025" width="67.140625" style="559" customWidth="1"/>
    <col min="1026" max="1026" width="14.28515625" style="559" customWidth="1"/>
    <col min="1027" max="1027" width="11.5703125" style="559" customWidth="1"/>
    <col min="1028" max="1028" width="12.140625" style="559" customWidth="1"/>
    <col min="1029" max="1029" width="12.140625" style="559" bestFit="1" customWidth="1"/>
    <col min="1030" max="1030" width="3.5703125" style="559" customWidth="1"/>
    <col min="1031" max="1036" width="8.85546875" style="559"/>
    <col min="1037" max="1037" width="11.28515625" style="559" customWidth="1"/>
    <col min="1038" max="1279" width="8.85546875" style="559"/>
    <col min="1280" max="1280" width="29.85546875" style="559" customWidth="1"/>
    <col min="1281" max="1281" width="67.140625" style="559" customWidth="1"/>
    <col min="1282" max="1282" width="14.28515625" style="559" customWidth="1"/>
    <col min="1283" max="1283" width="11.5703125" style="559" customWidth="1"/>
    <col min="1284" max="1284" width="12.140625" style="559" customWidth="1"/>
    <col min="1285" max="1285" width="12.140625" style="559" bestFit="1" customWidth="1"/>
    <col min="1286" max="1286" width="3.5703125" style="559" customWidth="1"/>
    <col min="1287" max="1292" width="8.85546875" style="559"/>
    <col min="1293" max="1293" width="11.28515625" style="559" customWidth="1"/>
    <col min="1294" max="1535" width="8.85546875" style="559"/>
    <col min="1536" max="1536" width="29.85546875" style="559" customWidth="1"/>
    <col min="1537" max="1537" width="67.140625" style="559" customWidth="1"/>
    <col min="1538" max="1538" width="14.28515625" style="559" customWidth="1"/>
    <col min="1539" max="1539" width="11.5703125" style="559" customWidth="1"/>
    <col min="1540" max="1540" width="12.140625" style="559" customWidth="1"/>
    <col min="1541" max="1541" width="12.140625" style="559" bestFit="1" customWidth="1"/>
    <col min="1542" max="1542" width="3.5703125" style="559" customWidth="1"/>
    <col min="1543" max="1548" width="8.85546875" style="559"/>
    <col min="1549" max="1549" width="11.28515625" style="559" customWidth="1"/>
    <col min="1550" max="1791" width="8.85546875" style="559"/>
    <col min="1792" max="1792" width="29.85546875" style="559" customWidth="1"/>
    <col min="1793" max="1793" width="67.140625" style="559" customWidth="1"/>
    <col min="1794" max="1794" width="14.28515625" style="559" customWidth="1"/>
    <col min="1795" max="1795" width="11.5703125" style="559" customWidth="1"/>
    <col min="1796" max="1796" width="12.140625" style="559" customWidth="1"/>
    <col min="1797" max="1797" width="12.140625" style="559" bestFit="1" customWidth="1"/>
    <col min="1798" max="1798" width="3.5703125" style="559" customWidth="1"/>
    <col min="1799" max="1804" width="8.85546875" style="559"/>
    <col min="1805" max="1805" width="11.28515625" style="559" customWidth="1"/>
    <col min="1806" max="2047" width="8.85546875" style="559"/>
    <col min="2048" max="2048" width="29.85546875" style="559" customWidth="1"/>
    <col min="2049" max="2049" width="67.140625" style="559" customWidth="1"/>
    <col min="2050" max="2050" width="14.28515625" style="559" customWidth="1"/>
    <col min="2051" max="2051" width="11.5703125" style="559" customWidth="1"/>
    <col min="2052" max="2052" width="12.140625" style="559" customWidth="1"/>
    <col min="2053" max="2053" width="12.140625" style="559" bestFit="1" customWidth="1"/>
    <col min="2054" max="2054" width="3.5703125" style="559" customWidth="1"/>
    <col min="2055" max="2060" width="8.85546875" style="559"/>
    <col min="2061" max="2061" width="11.28515625" style="559" customWidth="1"/>
    <col min="2062" max="2303" width="8.85546875" style="559"/>
    <col min="2304" max="2304" width="29.85546875" style="559" customWidth="1"/>
    <col min="2305" max="2305" width="67.140625" style="559" customWidth="1"/>
    <col min="2306" max="2306" width="14.28515625" style="559" customWidth="1"/>
    <col min="2307" max="2307" width="11.5703125" style="559" customWidth="1"/>
    <col min="2308" max="2308" width="12.140625" style="559" customWidth="1"/>
    <col min="2309" max="2309" width="12.140625" style="559" bestFit="1" customWidth="1"/>
    <col min="2310" max="2310" width="3.5703125" style="559" customWidth="1"/>
    <col min="2311" max="2316" width="8.85546875" style="559"/>
    <col min="2317" max="2317" width="11.28515625" style="559" customWidth="1"/>
    <col min="2318" max="2559" width="8.85546875" style="559"/>
    <col min="2560" max="2560" width="29.85546875" style="559" customWidth="1"/>
    <col min="2561" max="2561" width="67.140625" style="559" customWidth="1"/>
    <col min="2562" max="2562" width="14.28515625" style="559" customWidth="1"/>
    <col min="2563" max="2563" width="11.5703125" style="559" customWidth="1"/>
    <col min="2564" max="2564" width="12.140625" style="559" customWidth="1"/>
    <col min="2565" max="2565" width="12.140625" style="559" bestFit="1" customWidth="1"/>
    <col min="2566" max="2566" width="3.5703125" style="559" customWidth="1"/>
    <col min="2567" max="2572" width="8.85546875" style="559"/>
    <col min="2573" max="2573" width="11.28515625" style="559" customWidth="1"/>
    <col min="2574" max="2815" width="8.85546875" style="559"/>
    <col min="2816" max="2816" width="29.85546875" style="559" customWidth="1"/>
    <col min="2817" max="2817" width="67.140625" style="559" customWidth="1"/>
    <col min="2818" max="2818" width="14.28515625" style="559" customWidth="1"/>
    <col min="2819" max="2819" width="11.5703125" style="559" customWidth="1"/>
    <col min="2820" max="2820" width="12.140625" style="559" customWidth="1"/>
    <col min="2821" max="2821" width="12.140625" style="559" bestFit="1" customWidth="1"/>
    <col min="2822" max="2822" width="3.5703125" style="559" customWidth="1"/>
    <col min="2823" max="2828" width="8.85546875" style="559"/>
    <col min="2829" max="2829" width="11.28515625" style="559" customWidth="1"/>
    <col min="2830" max="3071" width="8.85546875" style="559"/>
    <col min="3072" max="3072" width="29.85546875" style="559" customWidth="1"/>
    <col min="3073" max="3073" width="67.140625" style="559" customWidth="1"/>
    <col min="3074" max="3074" width="14.28515625" style="559" customWidth="1"/>
    <col min="3075" max="3075" width="11.5703125" style="559" customWidth="1"/>
    <col min="3076" max="3076" width="12.140625" style="559" customWidth="1"/>
    <col min="3077" max="3077" width="12.140625" style="559" bestFit="1" customWidth="1"/>
    <col min="3078" max="3078" width="3.5703125" style="559" customWidth="1"/>
    <col min="3079" max="3084" width="8.85546875" style="559"/>
    <col min="3085" max="3085" width="11.28515625" style="559" customWidth="1"/>
    <col min="3086" max="3327" width="8.85546875" style="559"/>
    <col min="3328" max="3328" width="29.85546875" style="559" customWidth="1"/>
    <col min="3329" max="3329" width="67.140625" style="559" customWidth="1"/>
    <col min="3330" max="3330" width="14.28515625" style="559" customWidth="1"/>
    <col min="3331" max="3331" width="11.5703125" style="559" customWidth="1"/>
    <col min="3332" max="3332" width="12.140625" style="559" customWidth="1"/>
    <col min="3333" max="3333" width="12.140625" style="559" bestFit="1" customWidth="1"/>
    <col min="3334" max="3334" width="3.5703125" style="559" customWidth="1"/>
    <col min="3335" max="3340" width="8.85546875" style="559"/>
    <col min="3341" max="3341" width="11.28515625" style="559" customWidth="1"/>
    <col min="3342" max="3583" width="8.85546875" style="559"/>
    <col min="3584" max="3584" width="29.85546875" style="559" customWidth="1"/>
    <col min="3585" max="3585" width="67.140625" style="559" customWidth="1"/>
    <col min="3586" max="3586" width="14.28515625" style="559" customWidth="1"/>
    <col min="3587" max="3587" width="11.5703125" style="559" customWidth="1"/>
    <col min="3588" max="3588" width="12.140625" style="559" customWidth="1"/>
    <col min="3589" max="3589" width="12.140625" style="559" bestFit="1" customWidth="1"/>
    <col min="3590" max="3590" width="3.5703125" style="559" customWidth="1"/>
    <col min="3591" max="3596" width="8.85546875" style="559"/>
    <col min="3597" max="3597" width="11.28515625" style="559" customWidth="1"/>
    <col min="3598" max="3839" width="8.85546875" style="559"/>
    <col min="3840" max="3840" width="29.85546875" style="559" customWidth="1"/>
    <col min="3841" max="3841" width="67.140625" style="559" customWidth="1"/>
    <col min="3842" max="3842" width="14.28515625" style="559" customWidth="1"/>
    <col min="3843" max="3843" width="11.5703125" style="559" customWidth="1"/>
    <col min="3844" max="3844" width="12.140625" style="559" customWidth="1"/>
    <col min="3845" max="3845" width="12.140625" style="559" bestFit="1" customWidth="1"/>
    <col min="3846" max="3846" width="3.5703125" style="559" customWidth="1"/>
    <col min="3847" max="3852" width="8.85546875" style="559"/>
    <col min="3853" max="3853" width="11.28515625" style="559" customWidth="1"/>
    <col min="3854" max="4095" width="8.85546875" style="559"/>
    <col min="4096" max="4096" width="29.85546875" style="559" customWidth="1"/>
    <col min="4097" max="4097" width="67.140625" style="559" customWidth="1"/>
    <col min="4098" max="4098" width="14.28515625" style="559" customWidth="1"/>
    <col min="4099" max="4099" width="11.5703125" style="559" customWidth="1"/>
    <col min="4100" max="4100" width="12.140625" style="559" customWidth="1"/>
    <col min="4101" max="4101" width="12.140625" style="559" bestFit="1" customWidth="1"/>
    <col min="4102" max="4102" width="3.5703125" style="559" customWidth="1"/>
    <col min="4103" max="4108" width="8.85546875" style="559"/>
    <col min="4109" max="4109" width="11.28515625" style="559" customWidth="1"/>
    <col min="4110" max="4351" width="8.85546875" style="559"/>
    <col min="4352" max="4352" width="29.85546875" style="559" customWidth="1"/>
    <col min="4353" max="4353" width="67.140625" style="559" customWidth="1"/>
    <col min="4354" max="4354" width="14.28515625" style="559" customWidth="1"/>
    <col min="4355" max="4355" width="11.5703125" style="559" customWidth="1"/>
    <col min="4356" max="4356" width="12.140625" style="559" customWidth="1"/>
    <col min="4357" max="4357" width="12.140625" style="559" bestFit="1" customWidth="1"/>
    <col min="4358" max="4358" width="3.5703125" style="559" customWidth="1"/>
    <col min="4359" max="4364" width="8.85546875" style="559"/>
    <col min="4365" max="4365" width="11.28515625" style="559" customWidth="1"/>
    <col min="4366" max="4607" width="8.85546875" style="559"/>
    <col min="4608" max="4608" width="29.85546875" style="559" customWidth="1"/>
    <col min="4609" max="4609" width="67.140625" style="559" customWidth="1"/>
    <col min="4610" max="4610" width="14.28515625" style="559" customWidth="1"/>
    <col min="4611" max="4611" width="11.5703125" style="559" customWidth="1"/>
    <col min="4612" max="4612" width="12.140625" style="559" customWidth="1"/>
    <col min="4613" max="4613" width="12.140625" style="559" bestFit="1" customWidth="1"/>
    <col min="4614" max="4614" width="3.5703125" style="559" customWidth="1"/>
    <col min="4615" max="4620" width="8.85546875" style="559"/>
    <col min="4621" max="4621" width="11.28515625" style="559" customWidth="1"/>
    <col min="4622" max="4863" width="8.85546875" style="559"/>
    <col min="4864" max="4864" width="29.85546875" style="559" customWidth="1"/>
    <col min="4865" max="4865" width="67.140625" style="559" customWidth="1"/>
    <col min="4866" max="4866" width="14.28515625" style="559" customWidth="1"/>
    <col min="4867" max="4867" width="11.5703125" style="559" customWidth="1"/>
    <col min="4868" max="4868" width="12.140625" style="559" customWidth="1"/>
    <col min="4869" max="4869" width="12.140625" style="559" bestFit="1" customWidth="1"/>
    <col min="4870" max="4870" width="3.5703125" style="559" customWidth="1"/>
    <col min="4871" max="4876" width="8.85546875" style="559"/>
    <col min="4877" max="4877" width="11.28515625" style="559" customWidth="1"/>
    <col min="4878" max="5119" width="8.85546875" style="559"/>
    <col min="5120" max="5120" width="29.85546875" style="559" customWidth="1"/>
    <col min="5121" max="5121" width="67.140625" style="559" customWidth="1"/>
    <col min="5122" max="5122" width="14.28515625" style="559" customWidth="1"/>
    <col min="5123" max="5123" width="11.5703125" style="559" customWidth="1"/>
    <col min="5124" max="5124" width="12.140625" style="559" customWidth="1"/>
    <col min="5125" max="5125" width="12.140625" style="559" bestFit="1" customWidth="1"/>
    <col min="5126" max="5126" width="3.5703125" style="559" customWidth="1"/>
    <col min="5127" max="5132" width="8.85546875" style="559"/>
    <col min="5133" max="5133" width="11.28515625" style="559" customWidth="1"/>
    <col min="5134" max="5375" width="8.85546875" style="559"/>
    <col min="5376" max="5376" width="29.85546875" style="559" customWidth="1"/>
    <col min="5377" max="5377" width="67.140625" style="559" customWidth="1"/>
    <col min="5378" max="5378" width="14.28515625" style="559" customWidth="1"/>
    <col min="5379" max="5379" width="11.5703125" style="559" customWidth="1"/>
    <col min="5380" max="5380" width="12.140625" style="559" customWidth="1"/>
    <col min="5381" max="5381" width="12.140625" style="559" bestFit="1" customWidth="1"/>
    <col min="5382" max="5382" width="3.5703125" style="559" customWidth="1"/>
    <col min="5383" max="5388" width="8.85546875" style="559"/>
    <col min="5389" max="5389" width="11.28515625" style="559" customWidth="1"/>
    <col min="5390" max="5631" width="8.85546875" style="559"/>
    <col min="5632" max="5632" width="29.85546875" style="559" customWidth="1"/>
    <col min="5633" max="5633" width="67.140625" style="559" customWidth="1"/>
    <col min="5634" max="5634" width="14.28515625" style="559" customWidth="1"/>
    <col min="5635" max="5635" width="11.5703125" style="559" customWidth="1"/>
    <col min="5636" max="5636" width="12.140625" style="559" customWidth="1"/>
    <col min="5637" max="5637" width="12.140625" style="559" bestFit="1" customWidth="1"/>
    <col min="5638" max="5638" width="3.5703125" style="559" customWidth="1"/>
    <col min="5639" max="5644" width="8.85546875" style="559"/>
    <col min="5645" max="5645" width="11.28515625" style="559" customWidth="1"/>
    <col min="5646" max="5887" width="8.85546875" style="559"/>
    <col min="5888" max="5888" width="29.85546875" style="559" customWidth="1"/>
    <col min="5889" max="5889" width="67.140625" style="559" customWidth="1"/>
    <col min="5890" max="5890" width="14.28515625" style="559" customWidth="1"/>
    <col min="5891" max="5891" width="11.5703125" style="559" customWidth="1"/>
    <col min="5892" max="5892" width="12.140625" style="559" customWidth="1"/>
    <col min="5893" max="5893" width="12.140625" style="559" bestFit="1" customWidth="1"/>
    <col min="5894" max="5894" width="3.5703125" style="559" customWidth="1"/>
    <col min="5895" max="5900" width="8.85546875" style="559"/>
    <col min="5901" max="5901" width="11.28515625" style="559" customWidth="1"/>
    <col min="5902" max="6143" width="8.85546875" style="559"/>
    <col min="6144" max="6144" width="29.85546875" style="559" customWidth="1"/>
    <col min="6145" max="6145" width="67.140625" style="559" customWidth="1"/>
    <col min="6146" max="6146" width="14.28515625" style="559" customWidth="1"/>
    <col min="6147" max="6147" width="11.5703125" style="559" customWidth="1"/>
    <col min="6148" max="6148" width="12.140625" style="559" customWidth="1"/>
    <col min="6149" max="6149" width="12.140625" style="559" bestFit="1" customWidth="1"/>
    <col min="6150" max="6150" width="3.5703125" style="559" customWidth="1"/>
    <col min="6151" max="6156" width="8.85546875" style="559"/>
    <col min="6157" max="6157" width="11.28515625" style="559" customWidth="1"/>
    <col min="6158" max="6399" width="8.85546875" style="559"/>
    <col min="6400" max="6400" width="29.85546875" style="559" customWidth="1"/>
    <col min="6401" max="6401" width="67.140625" style="559" customWidth="1"/>
    <col min="6402" max="6402" width="14.28515625" style="559" customWidth="1"/>
    <col min="6403" max="6403" width="11.5703125" style="559" customWidth="1"/>
    <col min="6404" max="6404" width="12.140625" style="559" customWidth="1"/>
    <col min="6405" max="6405" width="12.140625" style="559" bestFit="1" customWidth="1"/>
    <col min="6406" max="6406" width="3.5703125" style="559" customWidth="1"/>
    <col min="6407" max="6412" width="8.85546875" style="559"/>
    <col min="6413" max="6413" width="11.28515625" style="559" customWidth="1"/>
    <col min="6414" max="6655" width="8.85546875" style="559"/>
    <col min="6656" max="6656" width="29.85546875" style="559" customWidth="1"/>
    <col min="6657" max="6657" width="67.140625" style="559" customWidth="1"/>
    <col min="6658" max="6658" width="14.28515625" style="559" customWidth="1"/>
    <col min="6659" max="6659" width="11.5703125" style="559" customWidth="1"/>
    <col min="6660" max="6660" width="12.140625" style="559" customWidth="1"/>
    <col min="6661" max="6661" width="12.140625" style="559" bestFit="1" customWidth="1"/>
    <col min="6662" max="6662" width="3.5703125" style="559" customWidth="1"/>
    <col min="6663" max="6668" width="8.85546875" style="559"/>
    <col min="6669" max="6669" width="11.28515625" style="559" customWidth="1"/>
    <col min="6670" max="6911" width="8.85546875" style="559"/>
    <col min="6912" max="6912" width="29.85546875" style="559" customWidth="1"/>
    <col min="6913" max="6913" width="67.140625" style="559" customWidth="1"/>
    <col min="6914" max="6914" width="14.28515625" style="559" customWidth="1"/>
    <col min="6915" max="6915" width="11.5703125" style="559" customWidth="1"/>
    <col min="6916" max="6916" width="12.140625" style="559" customWidth="1"/>
    <col min="6917" max="6917" width="12.140625" style="559" bestFit="1" customWidth="1"/>
    <col min="6918" max="6918" width="3.5703125" style="559" customWidth="1"/>
    <col min="6919" max="6924" width="8.85546875" style="559"/>
    <col min="6925" max="6925" width="11.28515625" style="559" customWidth="1"/>
    <col min="6926" max="7167" width="8.85546875" style="559"/>
    <col min="7168" max="7168" width="29.85546875" style="559" customWidth="1"/>
    <col min="7169" max="7169" width="67.140625" style="559" customWidth="1"/>
    <col min="7170" max="7170" width="14.28515625" style="559" customWidth="1"/>
    <col min="7171" max="7171" width="11.5703125" style="559" customWidth="1"/>
    <col min="7172" max="7172" width="12.140625" style="559" customWidth="1"/>
    <col min="7173" max="7173" width="12.140625" style="559" bestFit="1" customWidth="1"/>
    <col min="7174" max="7174" width="3.5703125" style="559" customWidth="1"/>
    <col min="7175" max="7180" width="8.85546875" style="559"/>
    <col min="7181" max="7181" width="11.28515625" style="559" customWidth="1"/>
    <col min="7182" max="7423" width="8.85546875" style="559"/>
    <col min="7424" max="7424" width="29.85546875" style="559" customWidth="1"/>
    <col min="7425" max="7425" width="67.140625" style="559" customWidth="1"/>
    <col min="7426" max="7426" width="14.28515625" style="559" customWidth="1"/>
    <col min="7427" max="7427" width="11.5703125" style="559" customWidth="1"/>
    <col min="7428" max="7428" width="12.140625" style="559" customWidth="1"/>
    <col min="7429" max="7429" width="12.140625" style="559" bestFit="1" customWidth="1"/>
    <col min="7430" max="7430" width="3.5703125" style="559" customWidth="1"/>
    <col min="7431" max="7436" width="8.85546875" style="559"/>
    <col min="7437" max="7437" width="11.28515625" style="559" customWidth="1"/>
    <col min="7438" max="7679" width="8.85546875" style="559"/>
    <col min="7680" max="7680" width="29.85546875" style="559" customWidth="1"/>
    <col min="7681" max="7681" width="67.140625" style="559" customWidth="1"/>
    <col min="7682" max="7682" width="14.28515625" style="559" customWidth="1"/>
    <col min="7683" max="7683" width="11.5703125" style="559" customWidth="1"/>
    <col min="7684" max="7684" width="12.140625" style="559" customWidth="1"/>
    <col min="7685" max="7685" width="12.140625" style="559" bestFit="1" customWidth="1"/>
    <col min="7686" max="7686" width="3.5703125" style="559" customWidth="1"/>
    <col min="7687" max="7692" width="8.85546875" style="559"/>
    <col min="7693" max="7693" width="11.28515625" style="559" customWidth="1"/>
    <col min="7694" max="7935" width="8.85546875" style="559"/>
    <col min="7936" max="7936" width="29.85546875" style="559" customWidth="1"/>
    <col min="7937" max="7937" width="67.140625" style="559" customWidth="1"/>
    <col min="7938" max="7938" width="14.28515625" style="559" customWidth="1"/>
    <col min="7939" max="7939" width="11.5703125" style="559" customWidth="1"/>
    <col min="7940" max="7940" width="12.140625" style="559" customWidth="1"/>
    <col min="7941" max="7941" width="12.140625" style="559" bestFit="1" customWidth="1"/>
    <col min="7942" max="7942" width="3.5703125" style="559" customWidth="1"/>
    <col min="7943" max="7948" width="8.85546875" style="559"/>
    <col min="7949" max="7949" width="11.28515625" style="559" customWidth="1"/>
    <col min="7950" max="8191" width="8.85546875" style="559"/>
    <col min="8192" max="8192" width="29.85546875" style="559" customWidth="1"/>
    <col min="8193" max="8193" width="67.140625" style="559" customWidth="1"/>
    <col min="8194" max="8194" width="14.28515625" style="559" customWidth="1"/>
    <col min="8195" max="8195" width="11.5703125" style="559" customWidth="1"/>
    <col min="8196" max="8196" width="12.140625" style="559" customWidth="1"/>
    <col min="8197" max="8197" width="12.140625" style="559" bestFit="1" customWidth="1"/>
    <col min="8198" max="8198" width="3.5703125" style="559" customWidth="1"/>
    <col min="8199" max="8204" width="8.85546875" style="559"/>
    <col min="8205" max="8205" width="11.28515625" style="559" customWidth="1"/>
    <col min="8206" max="8447" width="8.85546875" style="559"/>
    <col min="8448" max="8448" width="29.85546875" style="559" customWidth="1"/>
    <col min="8449" max="8449" width="67.140625" style="559" customWidth="1"/>
    <col min="8450" max="8450" width="14.28515625" style="559" customWidth="1"/>
    <col min="8451" max="8451" width="11.5703125" style="559" customWidth="1"/>
    <col min="8452" max="8452" width="12.140625" style="559" customWidth="1"/>
    <col min="8453" max="8453" width="12.140625" style="559" bestFit="1" customWidth="1"/>
    <col min="8454" max="8454" width="3.5703125" style="559" customWidth="1"/>
    <col min="8455" max="8460" width="8.85546875" style="559"/>
    <col min="8461" max="8461" width="11.28515625" style="559" customWidth="1"/>
    <col min="8462" max="8703" width="8.85546875" style="559"/>
    <col min="8704" max="8704" width="29.85546875" style="559" customWidth="1"/>
    <col min="8705" max="8705" width="67.140625" style="559" customWidth="1"/>
    <col min="8706" max="8706" width="14.28515625" style="559" customWidth="1"/>
    <col min="8707" max="8707" width="11.5703125" style="559" customWidth="1"/>
    <col min="8708" max="8708" width="12.140625" style="559" customWidth="1"/>
    <col min="8709" max="8709" width="12.140625" style="559" bestFit="1" customWidth="1"/>
    <col min="8710" max="8710" width="3.5703125" style="559" customWidth="1"/>
    <col min="8711" max="8716" width="8.85546875" style="559"/>
    <col min="8717" max="8717" width="11.28515625" style="559" customWidth="1"/>
    <col min="8718" max="8959" width="8.85546875" style="559"/>
    <col min="8960" max="8960" width="29.85546875" style="559" customWidth="1"/>
    <col min="8961" max="8961" width="67.140625" style="559" customWidth="1"/>
    <col min="8962" max="8962" width="14.28515625" style="559" customWidth="1"/>
    <col min="8963" max="8963" width="11.5703125" style="559" customWidth="1"/>
    <col min="8964" max="8964" width="12.140625" style="559" customWidth="1"/>
    <col min="8965" max="8965" width="12.140625" style="559" bestFit="1" customWidth="1"/>
    <col min="8966" max="8966" width="3.5703125" style="559" customWidth="1"/>
    <col min="8967" max="8972" width="8.85546875" style="559"/>
    <col min="8973" max="8973" width="11.28515625" style="559" customWidth="1"/>
    <col min="8974" max="9215" width="8.85546875" style="559"/>
    <col min="9216" max="9216" width="29.85546875" style="559" customWidth="1"/>
    <col min="9217" max="9217" width="67.140625" style="559" customWidth="1"/>
    <col min="9218" max="9218" width="14.28515625" style="559" customWidth="1"/>
    <col min="9219" max="9219" width="11.5703125" style="559" customWidth="1"/>
    <col min="9220" max="9220" width="12.140625" style="559" customWidth="1"/>
    <col min="9221" max="9221" width="12.140625" style="559" bestFit="1" customWidth="1"/>
    <col min="9222" max="9222" width="3.5703125" style="559" customWidth="1"/>
    <col min="9223" max="9228" width="8.85546875" style="559"/>
    <col min="9229" max="9229" width="11.28515625" style="559" customWidth="1"/>
    <col min="9230" max="9471" width="8.85546875" style="559"/>
    <col min="9472" max="9472" width="29.85546875" style="559" customWidth="1"/>
    <col min="9473" max="9473" width="67.140625" style="559" customWidth="1"/>
    <col min="9474" max="9474" width="14.28515625" style="559" customWidth="1"/>
    <col min="9475" max="9475" width="11.5703125" style="559" customWidth="1"/>
    <col min="9476" max="9476" width="12.140625" style="559" customWidth="1"/>
    <col min="9477" max="9477" width="12.140625" style="559" bestFit="1" customWidth="1"/>
    <col min="9478" max="9478" width="3.5703125" style="559" customWidth="1"/>
    <col min="9479" max="9484" width="8.85546875" style="559"/>
    <col min="9485" max="9485" width="11.28515625" style="559" customWidth="1"/>
    <col min="9486" max="9727" width="8.85546875" style="559"/>
    <col min="9728" max="9728" width="29.85546875" style="559" customWidth="1"/>
    <col min="9729" max="9729" width="67.140625" style="559" customWidth="1"/>
    <col min="9730" max="9730" width="14.28515625" style="559" customWidth="1"/>
    <col min="9731" max="9731" width="11.5703125" style="559" customWidth="1"/>
    <col min="9732" max="9732" width="12.140625" style="559" customWidth="1"/>
    <col min="9733" max="9733" width="12.140625" style="559" bestFit="1" customWidth="1"/>
    <col min="9734" max="9734" width="3.5703125" style="559" customWidth="1"/>
    <col min="9735" max="9740" width="8.85546875" style="559"/>
    <col min="9741" max="9741" width="11.28515625" style="559" customWidth="1"/>
    <col min="9742" max="9983" width="8.85546875" style="559"/>
    <col min="9984" max="9984" width="29.85546875" style="559" customWidth="1"/>
    <col min="9985" max="9985" width="67.140625" style="559" customWidth="1"/>
    <col min="9986" max="9986" width="14.28515625" style="559" customWidth="1"/>
    <col min="9987" max="9987" width="11.5703125" style="559" customWidth="1"/>
    <col min="9988" max="9988" width="12.140625" style="559" customWidth="1"/>
    <col min="9989" max="9989" width="12.140625" style="559" bestFit="1" customWidth="1"/>
    <col min="9990" max="9990" width="3.5703125" style="559" customWidth="1"/>
    <col min="9991" max="9996" width="8.85546875" style="559"/>
    <col min="9997" max="9997" width="11.28515625" style="559" customWidth="1"/>
    <col min="9998" max="10239" width="8.85546875" style="559"/>
    <col min="10240" max="10240" width="29.85546875" style="559" customWidth="1"/>
    <col min="10241" max="10241" width="67.140625" style="559" customWidth="1"/>
    <col min="10242" max="10242" width="14.28515625" style="559" customWidth="1"/>
    <col min="10243" max="10243" width="11.5703125" style="559" customWidth="1"/>
    <col min="10244" max="10244" width="12.140625" style="559" customWidth="1"/>
    <col min="10245" max="10245" width="12.140625" style="559" bestFit="1" customWidth="1"/>
    <col min="10246" max="10246" width="3.5703125" style="559" customWidth="1"/>
    <col min="10247" max="10252" width="8.85546875" style="559"/>
    <col min="10253" max="10253" width="11.28515625" style="559" customWidth="1"/>
    <col min="10254" max="10495" width="8.85546875" style="559"/>
    <col min="10496" max="10496" width="29.85546875" style="559" customWidth="1"/>
    <col min="10497" max="10497" width="67.140625" style="559" customWidth="1"/>
    <col min="10498" max="10498" width="14.28515625" style="559" customWidth="1"/>
    <col min="10499" max="10499" width="11.5703125" style="559" customWidth="1"/>
    <col min="10500" max="10500" width="12.140625" style="559" customWidth="1"/>
    <col min="10501" max="10501" width="12.140625" style="559" bestFit="1" customWidth="1"/>
    <col min="10502" max="10502" width="3.5703125" style="559" customWidth="1"/>
    <col min="10503" max="10508" width="8.85546875" style="559"/>
    <col min="10509" max="10509" width="11.28515625" style="559" customWidth="1"/>
    <col min="10510" max="10751" width="8.85546875" style="559"/>
    <col min="10752" max="10752" width="29.85546875" style="559" customWidth="1"/>
    <col min="10753" max="10753" width="67.140625" style="559" customWidth="1"/>
    <col min="10754" max="10754" width="14.28515625" style="559" customWidth="1"/>
    <col min="10755" max="10755" width="11.5703125" style="559" customWidth="1"/>
    <col min="10756" max="10756" width="12.140625" style="559" customWidth="1"/>
    <col min="10757" max="10757" width="12.140625" style="559" bestFit="1" customWidth="1"/>
    <col min="10758" max="10758" width="3.5703125" style="559" customWidth="1"/>
    <col min="10759" max="10764" width="8.85546875" style="559"/>
    <col min="10765" max="10765" width="11.28515625" style="559" customWidth="1"/>
    <col min="10766" max="11007" width="8.85546875" style="559"/>
    <col min="11008" max="11008" width="29.85546875" style="559" customWidth="1"/>
    <col min="11009" max="11009" width="67.140625" style="559" customWidth="1"/>
    <col min="11010" max="11010" width="14.28515625" style="559" customWidth="1"/>
    <col min="11011" max="11011" width="11.5703125" style="559" customWidth="1"/>
    <col min="11012" max="11012" width="12.140625" style="559" customWidth="1"/>
    <col min="11013" max="11013" width="12.140625" style="559" bestFit="1" customWidth="1"/>
    <col min="11014" max="11014" width="3.5703125" style="559" customWidth="1"/>
    <col min="11015" max="11020" width="8.85546875" style="559"/>
    <col min="11021" max="11021" width="11.28515625" style="559" customWidth="1"/>
    <col min="11022" max="11263" width="8.85546875" style="559"/>
    <col min="11264" max="11264" width="29.85546875" style="559" customWidth="1"/>
    <col min="11265" max="11265" width="67.140625" style="559" customWidth="1"/>
    <col min="11266" max="11266" width="14.28515625" style="559" customWidth="1"/>
    <col min="11267" max="11267" width="11.5703125" style="559" customWidth="1"/>
    <col min="11268" max="11268" width="12.140625" style="559" customWidth="1"/>
    <col min="11269" max="11269" width="12.140625" style="559" bestFit="1" customWidth="1"/>
    <col min="11270" max="11270" width="3.5703125" style="559" customWidth="1"/>
    <col min="11271" max="11276" width="8.85546875" style="559"/>
    <col min="11277" max="11277" width="11.28515625" style="559" customWidth="1"/>
    <col min="11278" max="11519" width="8.85546875" style="559"/>
    <col min="11520" max="11520" width="29.85546875" style="559" customWidth="1"/>
    <col min="11521" max="11521" width="67.140625" style="559" customWidth="1"/>
    <col min="11522" max="11522" width="14.28515625" style="559" customWidth="1"/>
    <col min="11523" max="11523" width="11.5703125" style="559" customWidth="1"/>
    <col min="11524" max="11524" width="12.140625" style="559" customWidth="1"/>
    <col min="11525" max="11525" width="12.140625" style="559" bestFit="1" customWidth="1"/>
    <col min="11526" max="11526" width="3.5703125" style="559" customWidth="1"/>
    <col min="11527" max="11532" width="8.85546875" style="559"/>
    <col min="11533" max="11533" width="11.28515625" style="559" customWidth="1"/>
    <col min="11534" max="11775" width="8.85546875" style="559"/>
    <col min="11776" max="11776" width="29.85546875" style="559" customWidth="1"/>
    <col min="11777" max="11777" width="67.140625" style="559" customWidth="1"/>
    <col min="11778" max="11778" width="14.28515625" style="559" customWidth="1"/>
    <col min="11779" max="11779" width="11.5703125" style="559" customWidth="1"/>
    <col min="11780" max="11780" width="12.140625" style="559" customWidth="1"/>
    <col min="11781" max="11781" width="12.140625" style="559" bestFit="1" customWidth="1"/>
    <col min="11782" max="11782" width="3.5703125" style="559" customWidth="1"/>
    <col min="11783" max="11788" width="8.85546875" style="559"/>
    <col min="11789" max="11789" width="11.28515625" style="559" customWidth="1"/>
    <col min="11790" max="12031" width="8.85546875" style="559"/>
    <col min="12032" max="12032" width="29.85546875" style="559" customWidth="1"/>
    <col min="12033" max="12033" width="67.140625" style="559" customWidth="1"/>
    <col min="12034" max="12034" width="14.28515625" style="559" customWidth="1"/>
    <col min="12035" max="12035" width="11.5703125" style="559" customWidth="1"/>
    <col min="12036" max="12036" width="12.140625" style="559" customWidth="1"/>
    <col min="12037" max="12037" width="12.140625" style="559" bestFit="1" customWidth="1"/>
    <col min="12038" max="12038" width="3.5703125" style="559" customWidth="1"/>
    <col min="12039" max="12044" width="8.85546875" style="559"/>
    <col min="12045" max="12045" width="11.28515625" style="559" customWidth="1"/>
    <col min="12046" max="12287" width="8.85546875" style="559"/>
    <col min="12288" max="12288" width="29.85546875" style="559" customWidth="1"/>
    <col min="12289" max="12289" width="67.140625" style="559" customWidth="1"/>
    <col min="12290" max="12290" width="14.28515625" style="559" customWidth="1"/>
    <col min="12291" max="12291" width="11.5703125" style="559" customWidth="1"/>
    <col min="12292" max="12292" width="12.140625" style="559" customWidth="1"/>
    <col min="12293" max="12293" width="12.140625" style="559" bestFit="1" customWidth="1"/>
    <col min="12294" max="12294" width="3.5703125" style="559" customWidth="1"/>
    <col min="12295" max="12300" width="8.85546875" style="559"/>
    <col min="12301" max="12301" width="11.28515625" style="559" customWidth="1"/>
    <col min="12302" max="12543" width="8.85546875" style="559"/>
    <col min="12544" max="12544" width="29.85546875" style="559" customWidth="1"/>
    <col min="12545" max="12545" width="67.140625" style="559" customWidth="1"/>
    <col min="12546" max="12546" width="14.28515625" style="559" customWidth="1"/>
    <col min="12547" max="12547" width="11.5703125" style="559" customWidth="1"/>
    <col min="12548" max="12548" width="12.140625" style="559" customWidth="1"/>
    <col min="12549" max="12549" width="12.140625" style="559" bestFit="1" customWidth="1"/>
    <col min="12550" max="12550" width="3.5703125" style="559" customWidth="1"/>
    <col min="12551" max="12556" width="8.85546875" style="559"/>
    <col min="12557" max="12557" width="11.28515625" style="559" customWidth="1"/>
    <col min="12558" max="12799" width="8.85546875" style="559"/>
    <col min="12800" max="12800" width="29.85546875" style="559" customWidth="1"/>
    <col min="12801" max="12801" width="67.140625" style="559" customWidth="1"/>
    <col min="12802" max="12802" width="14.28515625" style="559" customWidth="1"/>
    <col min="12803" max="12803" width="11.5703125" style="559" customWidth="1"/>
    <col min="12804" max="12804" width="12.140625" style="559" customWidth="1"/>
    <col min="12805" max="12805" width="12.140625" style="559" bestFit="1" customWidth="1"/>
    <col min="12806" max="12806" width="3.5703125" style="559" customWidth="1"/>
    <col min="12807" max="12812" width="8.85546875" style="559"/>
    <col min="12813" max="12813" width="11.28515625" style="559" customWidth="1"/>
    <col min="12814" max="13055" width="8.85546875" style="559"/>
    <col min="13056" max="13056" width="29.85546875" style="559" customWidth="1"/>
    <col min="13057" max="13057" width="67.140625" style="559" customWidth="1"/>
    <col min="13058" max="13058" width="14.28515625" style="559" customWidth="1"/>
    <col min="13059" max="13059" width="11.5703125" style="559" customWidth="1"/>
    <col min="13060" max="13060" width="12.140625" style="559" customWidth="1"/>
    <col min="13061" max="13061" width="12.140625" style="559" bestFit="1" customWidth="1"/>
    <col min="13062" max="13062" width="3.5703125" style="559" customWidth="1"/>
    <col min="13063" max="13068" width="8.85546875" style="559"/>
    <col min="13069" max="13069" width="11.28515625" style="559" customWidth="1"/>
    <col min="13070" max="13311" width="8.85546875" style="559"/>
    <col min="13312" max="13312" width="29.85546875" style="559" customWidth="1"/>
    <col min="13313" max="13313" width="67.140625" style="559" customWidth="1"/>
    <col min="13314" max="13314" width="14.28515625" style="559" customWidth="1"/>
    <col min="13315" max="13315" width="11.5703125" style="559" customWidth="1"/>
    <col min="13316" max="13316" width="12.140625" style="559" customWidth="1"/>
    <col min="13317" max="13317" width="12.140625" style="559" bestFit="1" customWidth="1"/>
    <col min="13318" max="13318" width="3.5703125" style="559" customWidth="1"/>
    <col min="13319" max="13324" width="8.85546875" style="559"/>
    <col min="13325" max="13325" width="11.28515625" style="559" customWidth="1"/>
    <col min="13326" max="13567" width="8.85546875" style="559"/>
    <col min="13568" max="13568" width="29.85546875" style="559" customWidth="1"/>
    <col min="13569" max="13569" width="67.140625" style="559" customWidth="1"/>
    <col min="13570" max="13570" width="14.28515625" style="559" customWidth="1"/>
    <col min="13571" max="13571" width="11.5703125" style="559" customWidth="1"/>
    <col min="13572" max="13572" width="12.140625" style="559" customWidth="1"/>
    <col min="13573" max="13573" width="12.140625" style="559" bestFit="1" customWidth="1"/>
    <col min="13574" max="13574" width="3.5703125" style="559" customWidth="1"/>
    <col min="13575" max="13580" width="8.85546875" style="559"/>
    <col min="13581" max="13581" width="11.28515625" style="559" customWidth="1"/>
    <col min="13582" max="13823" width="8.85546875" style="559"/>
    <col min="13824" max="13824" width="29.85546875" style="559" customWidth="1"/>
    <col min="13825" max="13825" width="67.140625" style="559" customWidth="1"/>
    <col min="13826" max="13826" width="14.28515625" style="559" customWidth="1"/>
    <col min="13827" max="13827" width="11.5703125" style="559" customWidth="1"/>
    <col min="13828" max="13828" width="12.140625" style="559" customWidth="1"/>
    <col min="13829" max="13829" width="12.140625" style="559" bestFit="1" customWidth="1"/>
    <col min="13830" max="13830" width="3.5703125" style="559" customWidth="1"/>
    <col min="13831" max="13836" width="8.85546875" style="559"/>
    <col min="13837" max="13837" width="11.28515625" style="559" customWidth="1"/>
    <col min="13838" max="14079" width="8.85546875" style="559"/>
    <col min="14080" max="14080" width="29.85546875" style="559" customWidth="1"/>
    <col min="14081" max="14081" width="67.140625" style="559" customWidth="1"/>
    <col min="14082" max="14082" width="14.28515625" style="559" customWidth="1"/>
    <col min="14083" max="14083" width="11.5703125" style="559" customWidth="1"/>
    <col min="14084" max="14084" width="12.140625" style="559" customWidth="1"/>
    <col min="14085" max="14085" width="12.140625" style="559" bestFit="1" customWidth="1"/>
    <col min="14086" max="14086" width="3.5703125" style="559" customWidth="1"/>
    <col min="14087" max="14092" width="8.85546875" style="559"/>
    <col min="14093" max="14093" width="11.28515625" style="559" customWidth="1"/>
    <col min="14094" max="14335" width="8.85546875" style="559"/>
    <col min="14336" max="14336" width="29.85546875" style="559" customWidth="1"/>
    <col min="14337" max="14337" width="67.140625" style="559" customWidth="1"/>
    <col min="14338" max="14338" width="14.28515625" style="559" customWidth="1"/>
    <col min="14339" max="14339" width="11.5703125" style="559" customWidth="1"/>
    <col min="14340" max="14340" width="12.140625" style="559" customWidth="1"/>
    <col min="14341" max="14341" width="12.140625" style="559" bestFit="1" customWidth="1"/>
    <col min="14342" max="14342" width="3.5703125" style="559" customWidth="1"/>
    <col min="14343" max="14348" width="8.85546875" style="559"/>
    <col min="14349" max="14349" width="11.28515625" style="559" customWidth="1"/>
    <col min="14350" max="14591" width="8.85546875" style="559"/>
    <col min="14592" max="14592" width="29.85546875" style="559" customWidth="1"/>
    <col min="14593" max="14593" width="67.140625" style="559" customWidth="1"/>
    <col min="14594" max="14594" width="14.28515625" style="559" customWidth="1"/>
    <col min="14595" max="14595" width="11.5703125" style="559" customWidth="1"/>
    <col min="14596" max="14596" width="12.140625" style="559" customWidth="1"/>
    <col min="14597" max="14597" width="12.140625" style="559" bestFit="1" customWidth="1"/>
    <col min="14598" max="14598" width="3.5703125" style="559" customWidth="1"/>
    <col min="14599" max="14604" width="8.85546875" style="559"/>
    <col min="14605" max="14605" width="11.28515625" style="559" customWidth="1"/>
    <col min="14606" max="14847" width="8.85546875" style="559"/>
    <col min="14848" max="14848" width="29.85546875" style="559" customWidth="1"/>
    <col min="14849" max="14849" width="67.140625" style="559" customWidth="1"/>
    <col min="14850" max="14850" width="14.28515625" style="559" customWidth="1"/>
    <col min="14851" max="14851" width="11.5703125" style="559" customWidth="1"/>
    <col min="14852" max="14852" width="12.140625" style="559" customWidth="1"/>
    <col min="14853" max="14853" width="12.140625" style="559" bestFit="1" customWidth="1"/>
    <col min="14854" max="14854" width="3.5703125" style="559" customWidth="1"/>
    <col min="14855" max="14860" width="8.85546875" style="559"/>
    <col min="14861" max="14861" width="11.28515625" style="559" customWidth="1"/>
    <col min="14862" max="15103" width="8.85546875" style="559"/>
    <col min="15104" max="15104" width="29.85546875" style="559" customWidth="1"/>
    <col min="15105" max="15105" width="67.140625" style="559" customWidth="1"/>
    <col min="15106" max="15106" width="14.28515625" style="559" customWidth="1"/>
    <col min="15107" max="15107" width="11.5703125" style="559" customWidth="1"/>
    <col min="15108" max="15108" width="12.140625" style="559" customWidth="1"/>
    <col min="15109" max="15109" width="12.140625" style="559" bestFit="1" customWidth="1"/>
    <col min="15110" max="15110" width="3.5703125" style="559" customWidth="1"/>
    <col min="15111" max="15116" width="8.85546875" style="559"/>
    <col min="15117" max="15117" width="11.28515625" style="559" customWidth="1"/>
    <col min="15118" max="15359" width="8.85546875" style="559"/>
    <col min="15360" max="15360" width="29.85546875" style="559" customWidth="1"/>
    <col min="15361" max="15361" width="67.140625" style="559" customWidth="1"/>
    <col min="15362" max="15362" width="14.28515625" style="559" customWidth="1"/>
    <col min="15363" max="15363" width="11.5703125" style="559" customWidth="1"/>
    <col min="15364" max="15364" width="12.140625" style="559" customWidth="1"/>
    <col min="15365" max="15365" width="12.140625" style="559" bestFit="1" customWidth="1"/>
    <col min="15366" max="15366" width="3.5703125" style="559" customWidth="1"/>
    <col min="15367" max="15372" width="8.85546875" style="559"/>
    <col min="15373" max="15373" width="11.28515625" style="559" customWidth="1"/>
    <col min="15374" max="15615" width="8.85546875" style="559"/>
    <col min="15616" max="15616" width="29.85546875" style="559" customWidth="1"/>
    <col min="15617" max="15617" width="67.140625" style="559" customWidth="1"/>
    <col min="15618" max="15618" width="14.28515625" style="559" customWidth="1"/>
    <col min="15619" max="15619" width="11.5703125" style="559" customWidth="1"/>
    <col min="15620" max="15620" width="12.140625" style="559" customWidth="1"/>
    <col min="15621" max="15621" width="12.140625" style="559" bestFit="1" customWidth="1"/>
    <col min="15622" max="15622" width="3.5703125" style="559" customWidth="1"/>
    <col min="15623" max="15628" width="8.85546875" style="559"/>
    <col min="15629" max="15629" width="11.28515625" style="559" customWidth="1"/>
    <col min="15630" max="15871" width="8.85546875" style="559"/>
    <col min="15872" max="15872" width="29.85546875" style="559" customWidth="1"/>
    <col min="15873" max="15873" width="67.140625" style="559" customWidth="1"/>
    <col min="15874" max="15874" width="14.28515625" style="559" customWidth="1"/>
    <col min="15875" max="15875" width="11.5703125" style="559" customWidth="1"/>
    <col min="15876" max="15876" width="12.140625" style="559" customWidth="1"/>
    <col min="15877" max="15877" width="12.140625" style="559" bestFit="1" customWidth="1"/>
    <col min="15878" max="15878" width="3.5703125" style="559" customWidth="1"/>
    <col min="15879" max="15884" width="8.85546875" style="559"/>
    <col min="15885" max="15885" width="11.28515625" style="559" customWidth="1"/>
    <col min="15886" max="16127" width="8.85546875" style="559"/>
    <col min="16128" max="16128" width="29.85546875" style="559" customWidth="1"/>
    <col min="16129" max="16129" width="67.140625" style="559" customWidth="1"/>
    <col min="16130" max="16130" width="14.28515625" style="559" customWidth="1"/>
    <col min="16131" max="16131" width="11.5703125" style="559" customWidth="1"/>
    <col min="16132" max="16132" width="12.140625" style="559" customWidth="1"/>
    <col min="16133" max="16133" width="12.140625" style="559" bestFit="1" customWidth="1"/>
    <col min="16134" max="16134" width="3.5703125" style="559" customWidth="1"/>
    <col min="16135" max="16140" width="8.85546875" style="559"/>
    <col min="16141" max="16141" width="11.28515625" style="559" customWidth="1"/>
    <col min="16142" max="16384" width="8.85546875" style="559"/>
  </cols>
  <sheetData>
    <row r="1" spans="1:28" ht="18.75">
      <c r="A1" s="80" t="s">
        <v>294</v>
      </c>
    </row>
    <row r="2" spans="1:28">
      <c r="A2" s="560"/>
    </row>
    <row r="3" spans="1:28">
      <c r="A3" s="560"/>
    </row>
    <row r="4" spans="1:28">
      <c r="A4" s="561"/>
      <c r="B4" s="561"/>
      <c r="C4" s="562">
        <v>2015</v>
      </c>
      <c r="D4" s="562">
        <v>2016</v>
      </c>
      <c r="E4" s="562">
        <v>2017</v>
      </c>
      <c r="F4" s="563" t="s">
        <v>295</v>
      </c>
      <c r="G4" s="562">
        <v>2018</v>
      </c>
      <c r="H4" s="562">
        <f>+G4+1</f>
        <v>2019</v>
      </c>
      <c r="I4" s="562">
        <f t="shared" ref="I4:W4" si="0">+H4+1</f>
        <v>2020</v>
      </c>
      <c r="J4" s="562">
        <f t="shared" si="0"/>
        <v>2021</v>
      </c>
      <c r="K4" s="562">
        <f t="shared" si="0"/>
        <v>2022</v>
      </c>
      <c r="L4" s="562">
        <f t="shared" si="0"/>
        <v>2023</v>
      </c>
      <c r="M4" s="562">
        <f t="shared" si="0"/>
        <v>2024</v>
      </c>
      <c r="N4" s="562">
        <f t="shared" si="0"/>
        <v>2025</v>
      </c>
      <c r="O4" s="562">
        <f t="shared" si="0"/>
        <v>2026</v>
      </c>
      <c r="P4" s="562">
        <f t="shared" si="0"/>
        <v>2027</v>
      </c>
      <c r="Q4" s="562">
        <f t="shared" si="0"/>
        <v>2028</v>
      </c>
      <c r="R4" s="562">
        <f t="shared" si="0"/>
        <v>2029</v>
      </c>
      <c r="S4" s="562">
        <f t="shared" si="0"/>
        <v>2030</v>
      </c>
      <c r="T4" s="562">
        <f t="shared" si="0"/>
        <v>2031</v>
      </c>
      <c r="U4" s="562">
        <f t="shared" si="0"/>
        <v>2032</v>
      </c>
      <c r="V4" s="562">
        <f t="shared" si="0"/>
        <v>2033</v>
      </c>
      <c r="W4" s="562">
        <f t="shared" si="0"/>
        <v>2034</v>
      </c>
    </row>
    <row r="5" spans="1:28">
      <c r="A5" s="564" t="s">
        <v>296</v>
      </c>
      <c r="B5" s="561"/>
      <c r="C5" s="565"/>
      <c r="D5" s="565"/>
      <c r="E5" s="565"/>
      <c r="F5" s="566"/>
      <c r="G5" s="565"/>
      <c r="H5" s="565"/>
      <c r="I5" s="565"/>
      <c r="J5" s="565"/>
      <c r="K5" s="565"/>
      <c r="L5" s="565"/>
      <c r="M5" s="565"/>
    </row>
    <row r="6" spans="1:28">
      <c r="A6" s="561">
        <v>1</v>
      </c>
      <c r="B6" s="561" t="s">
        <v>297</v>
      </c>
      <c r="C6" s="567">
        <v>2100</v>
      </c>
      <c r="D6" s="567">
        <f t="shared" ref="D6:E9" si="1">+ROUND(C6*1.02,-2)</f>
        <v>2100</v>
      </c>
      <c r="E6" s="567">
        <f t="shared" si="1"/>
        <v>2100</v>
      </c>
      <c r="F6" s="568">
        <f>SUM(C6:E6)</f>
        <v>6300</v>
      </c>
      <c r="G6" s="567">
        <f>+ROUND(E6*1.02,-2)</f>
        <v>2100</v>
      </c>
      <c r="H6" s="567">
        <f t="shared" ref="H6:W9" si="2">+ROUND(G6*1.02,-2)</f>
        <v>2100</v>
      </c>
      <c r="I6" s="567">
        <f t="shared" si="2"/>
        <v>2100</v>
      </c>
      <c r="J6" s="567">
        <f t="shared" si="2"/>
        <v>2100</v>
      </c>
      <c r="K6" s="567">
        <f t="shared" si="2"/>
        <v>2100</v>
      </c>
      <c r="L6" s="567">
        <f t="shared" si="2"/>
        <v>2100</v>
      </c>
      <c r="M6" s="567">
        <f t="shared" si="2"/>
        <v>2100</v>
      </c>
      <c r="N6" s="567">
        <f t="shared" si="2"/>
        <v>2100</v>
      </c>
      <c r="O6" s="567">
        <f t="shared" si="2"/>
        <v>2100</v>
      </c>
      <c r="P6" s="567">
        <f t="shared" si="2"/>
        <v>2100</v>
      </c>
      <c r="Q6" s="567">
        <f t="shared" si="2"/>
        <v>2100</v>
      </c>
      <c r="R6" s="567">
        <f t="shared" si="2"/>
        <v>2100</v>
      </c>
      <c r="S6" s="567">
        <f t="shared" si="2"/>
        <v>2100</v>
      </c>
      <c r="T6" s="567">
        <f t="shared" si="2"/>
        <v>2100</v>
      </c>
      <c r="U6" s="567">
        <f t="shared" si="2"/>
        <v>2100</v>
      </c>
      <c r="V6" s="567">
        <f t="shared" si="2"/>
        <v>2100</v>
      </c>
      <c r="W6" s="567">
        <f t="shared" si="2"/>
        <v>2100</v>
      </c>
      <c r="Z6" s="569"/>
      <c r="AA6" s="569"/>
      <c r="AB6" s="569"/>
    </row>
    <row r="7" spans="1:28">
      <c r="A7" s="561">
        <v>2</v>
      </c>
      <c r="B7" s="561" t="s">
        <v>90</v>
      </c>
      <c r="C7" s="567">
        <v>15176</v>
      </c>
      <c r="D7" s="567">
        <f t="shared" si="1"/>
        <v>15500</v>
      </c>
      <c r="E7" s="567">
        <f t="shared" si="1"/>
        <v>15800</v>
      </c>
      <c r="F7" s="568">
        <f>SUM(C7:E7)</f>
        <v>46476</v>
      </c>
      <c r="G7" s="567">
        <f>+ROUND(E7*1.02,-2)</f>
        <v>16100</v>
      </c>
      <c r="H7" s="567">
        <f t="shared" si="2"/>
        <v>16400</v>
      </c>
      <c r="I7" s="567">
        <f t="shared" si="2"/>
        <v>16700</v>
      </c>
      <c r="J7" s="567">
        <f t="shared" si="2"/>
        <v>17000</v>
      </c>
      <c r="K7" s="567">
        <f t="shared" si="2"/>
        <v>17300</v>
      </c>
      <c r="L7" s="567">
        <f t="shared" si="2"/>
        <v>17600</v>
      </c>
      <c r="M7" s="567">
        <f t="shared" si="2"/>
        <v>18000</v>
      </c>
      <c r="N7" s="567">
        <f t="shared" si="2"/>
        <v>18400</v>
      </c>
      <c r="O7" s="567">
        <f t="shared" si="2"/>
        <v>18800</v>
      </c>
      <c r="P7" s="567">
        <f t="shared" si="2"/>
        <v>19200</v>
      </c>
      <c r="Q7" s="567">
        <f t="shared" si="2"/>
        <v>19600</v>
      </c>
      <c r="R7" s="567">
        <f t="shared" si="2"/>
        <v>20000</v>
      </c>
      <c r="S7" s="567">
        <f t="shared" si="2"/>
        <v>20400</v>
      </c>
      <c r="T7" s="567">
        <f t="shared" si="2"/>
        <v>20800</v>
      </c>
      <c r="U7" s="567">
        <f t="shared" si="2"/>
        <v>21200</v>
      </c>
      <c r="V7" s="567">
        <f t="shared" si="2"/>
        <v>21600</v>
      </c>
      <c r="W7" s="567">
        <f t="shared" si="2"/>
        <v>22000</v>
      </c>
      <c r="Z7" s="569"/>
      <c r="AA7" s="569"/>
      <c r="AB7" s="569"/>
    </row>
    <row r="8" spans="1:28">
      <c r="A8" s="561">
        <v>3</v>
      </c>
      <c r="B8" s="561" t="s">
        <v>298</v>
      </c>
      <c r="C8" s="567">
        <v>20400</v>
      </c>
      <c r="D8" s="567">
        <f t="shared" si="1"/>
        <v>20800</v>
      </c>
      <c r="E8" s="567">
        <f t="shared" si="1"/>
        <v>21200</v>
      </c>
      <c r="F8" s="568">
        <f>SUM(C8:E8)</f>
        <v>62400</v>
      </c>
      <c r="G8" s="567">
        <f>+ROUND(E8*1.02,-2)</f>
        <v>21600</v>
      </c>
      <c r="H8" s="567">
        <f t="shared" si="2"/>
        <v>22000</v>
      </c>
      <c r="I8" s="567">
        <f t="shared" si="2"/>
        <v>22400</v>
      </c>
      <c r="J8" s="567">
        <f t="shared" si="2"/>
        <v>22800</v>
      </c>
      <c r="K8" s="567">
        <f t="shared" si="2"/>
        <v>23300</v>
      </c>
      <c r="L8" s="567">
        <f t="shared" si="2"/>
        <v>23800</v>
      </c>
      <c r="M8" s="567">
        <f t="shared" si="2"/>
        <v>24300</v>
      </c>
      <c r="N8" s="567">
        <f t="shared" si="2"/>
        <v>24800</v>
      </c>
      <c r="O8" s="567">
        <f t="shared" si="2"/>
        <v>25300</v>
      </c>
      <c r="P8" s="567">
        <f t="shared" si="2"/>
        <v>25800</v>
      </c>
      <c r="Q8" s="567">
        <f t="shared" si="2"/>
        <v>26300</v>
      </c>
      <c r="R8" s="567">
        <f t="shared" si="2"/>
        <v>26800</v>
      </c>
      <c r="S8" s="567">
        <f t="shared" si="2"/>
        <v>27300</v>
      </c>
      <c r="T8" s="567">
        <f t="shared" si="2"/>
        <v>27800</v>
      </c>
      <c r="U8" s="567">
        <f t="shared" si="2"/>
        <v>28400</v>
      </c>
      <c r="V8" s="567">
        <f t="shared" si="2"/>
        <v>29000</v>
      </c>
      <c r="W8" s="567">
        <f t="shared" si="2"/>
        <v>29600</v>
      </c>
      <c r="Z8" s="569"/>
      <c r="AA8" s="569"/>
      <c r="AB8" s="569"/>
    </row>
    <row r="9" spans="1:28">
      <c r="A9" s="561">
        <v>4</v>
      </c>
      <c r="B9" s="561" t="s">
        <v>299</v>
      </c>
      <c r="C9" s="570">
        <v>3800</v>
      </c>
      <c r="D9" s="570">
        <f t="shared" si="1"/>
        <v>3900</v>
      </c>
      <c r="E9" s="570">
        <f t="shared" si="1"/>
        <v>4000</v>
      </c>
      <c r="F9" s="571">
        <f>SUM(C9:E9)</f>
        <v>11700</v>
      </c>
      <c r="G9" s="570">
        <f>+ROUND(E9*1.02,-2)</f>
        <v>4100</v>
      </c>
      <c r="H9" s="570">
        <f t="shared" si="2"/>
        <v>4200</v>
      </c>
      <c r="I9" s="570">
        <f t="shared" si="2"/>
        <v>4300</v>
      </c>
      <c r="J9" s="570">
        <f t="shared" si="2"/>
        <v>4400</v>
      </c>
      <c r="K9" s="570">
        <f t="shared" si="2"/>
        <v>4500</v>
      </c>
      <c r="L9" s="570">
        <f t="shared" si="2"/>
        <v>4600</v>
      </c>
      <c r="M9" s="570">
        <f t="shared" si="2"/>
        <v>4700</v>
      </c>
      <c r="N9" s="570">
        <f t="shared" si="2"/>
        <v>4800</v>
      </c>
      <c r="O9" s="570">
        <f t="shared" si="2"/>
        <v>4900</v>
      </c>
      <c r="P9" s="570">
        <f t="shared" si="2"/>
        <v>5000</v>
      </c>
      <c r="Q9" s="570">
        <f t="shared" si="2"/>
        <v>5100</v>
      </c>
      <c r="R9" s="570">
        <f t="shared" si="2"/>
        <v>5200</v>
      </c>
      <c r="S9" s="570">
        <f t="shared" si="2"/>
        <v>5300</v>
      </c>
      <c r="T9" s="570">
        <f t="shared" si="2"/>
        <v>5400</v>
      </c>
      <c r="U9" s="570">
        <f t="shared" si="2"/>
        <v>5500</v>
      </c>
      <c r="V9" s="570">
        <f t="shared" si="2"/>
        <v>5600</v>
      </c>
      <c r="W9" s="570">
        <f t="shared" si="2"/>
        <v>5700</v>
      </c>
      <c r="Z9" s="569"/>
      <c r="AA9" s="569"/>
      <c r="AB9" s="569"/>
    </row>
    <row r="10" spans="1:28">
      <c r="A10" s="572"/>
      <c r="B10" s="573" t="s">
        <v>300</v>
      </c>
      <c r="C10" s="567">
        <f>SUM(C6:C9)</f>
        <v>41476</v>
      </c>
      <c r="D10" s="567">
        <f>SUM(D6:D9)</f>
        <v>42300</v>
      </c>
      <c r="E10" s="567">
        <f>SUM(E6:E9)</f>
        <v>43100</v>
      </c>
      <c r="F10" s="574">
        <f>SUM(F6:F9)</f>
        <v>126876</v>
      </c>
      <c r="G10" s="567">
        <f>SUM(G6:G9)</f>
        <v>43900</v>
      </c>
      <c r="H10" s="567">
        <f t="shared" ref="H10:W10" si="3">SUM(H6:H9)</f>
        <v>44700</v>
      </c>
      <c r="I10" s="567">
        <f t="shared" si="3"/>
        <v>45500</v>
      </c>
      <c r="J10" s="567">
        <f t="shared" si="3"/>
        <v>46300</v>
      </c>
      <c r="K10" s="567">
        <f t="shared" si="3"/>
        <v>47200</v>
      </c>
      <c r="L10" s="567">
        <f t="shared" si="3"/>
        <v>48100</v>
      </c>
      <c r="M10" s="567">
        <f t="shared" si="3"/>
        <v>49100</v>
      </c>
      <c r="N10" s="567">
        <f t="shared" si="3"/>
        <v>50100</v>
      </c>
      <c r="O10" s="567">
        <f t="shared" si="3"/>
        <v>51100</v>
      </c>
      <c r="P10" s="567">
        <f t="shared" si="3"/>
        <v>52100</v>
      </c>
      <c r="Q10" s="567">
        <f t="shared" si="3"/>
        <v>53100</v>
      </c>
      <c r="R10" s="567">
        <f t="shared" si="3"/>
        <v>54100</v>
      </c>
      <c r="S10" s="567">
        <f t="shared" si="3"/>
        <v>55100</v>
      </c>
      <c r="T10" s="567">
        <f t="shared" si="3"/>
        <v>56100</v>
      </c>
      <c r="U10" s="567">
        <f t="shared" si="3"/>
        <v>57200</v>
      </c>
      <c r="V10" s="567">
        <f t="shared" si="3"/>
        <v>58300</v>
      </c>
      <c r="W10" s="567">
        <f t="shared" si="3"/>
        <v>59400</v>
      </c>
      <c r="Z10" s="569"/>
      <c r="AA10" s="569"/>
      <c r="AB10" s="569"/>
    </row>
    <row r="11" spans="1:28">
      <c r="A11" s="572"/>
      <c r="B11" s="573"/>
      <c r="C11" s="567"/>
      <c r="D11" s="567"/>
      <c r="E11" s="567"/>
      <c r="F11" s="574"/>
      <c r="G11" s="567"/>
      <c r="H11" s="567"/>
      <c r="I11" s="567"/>
      <c r="J11" s="567"/>
      <c r="K11" s="567"/>
      <c r="L11" s="567"/>
      <c r="M11" s="567"/>
      <c r="Z11" s="575"/>
      <c r="AA11" s="576"/>
      <c r="AB11" s="577"/>
    </row>
    <row r="12" spans="1:28">
      <c r="A12" s="578" t="s">
        <v>301</v>
      </c>
      <c r="B12" s="573"/>
      <c r="C12" s="567"/>
      <c r="D12" s="567"/>
      <c r="E12" s="567"/>
      <c r="F12" s="574"/>
      <c r="G12" s="567"/>
      <c r="H12" s="567"/>
      <c r="I12" s="567"/>
      <c r="J12" s="567"/>
      <c r="K12" s="567"/>
      <c r="L12" s="567"/>
      <c r="M12" s="567"/>
      <c r="Z12" s="575"/>
      <c r="AA12" s="576"/>
      <c r="AB12" s="569"/>
    </row>
    <row r="13" spans="1:28">
      <c r="A13" s="579">
        <v>1</v>
      </c>
      <c r="B13" s="559" t="s">
        <v>302</v>
      </c>
      <c r="C13" s="567">
        <v>15500</v>
      </c>
      <c r="D13" s="570">
        <f t="shared" ref="D13:E14" si="4">+ROUND(C13*1.02,-2)</f>
        <v>15800</v>
      </c>
      <c r="E13" s="570">
        <f t="shared" si="4"/>
        <v>16100</v>
      </c>
      <c r="F13" s="568">
        <f>SUM(C13:E13)</f>
        <v>47400</v>
      </c>
      <c r="G13" s="570">
        <v>0</v>
      </c>
      <c r="H13" s="570">
        <f>+ROUND(G13*1.02,-2)</f>
        <v>0</v>
      </c>
      <c r="I13" s="570">
        <f t="shared" ref="I13:W14" si="5">+ROUND(H13*1.02,-2)</f>
        <v>0</v>
      </c>
      <c r="J13" s="570">
        <f t="shared" si="5"/>
        <v>0</v>
      </c>
      <c r="K13" s="570">
        <f t="shared" si="5"/>
        <v>0</v>
      </c>
      <c r="L13" s="570">
        <f t="shared" si="5"/>
        <v>0</v>
      </c>
      <c r="M13" s="570">
        <f t="shared" si="5"/>
        <v>0</v>
      </c>
      <c r="N13" s="570">
        <f t="shared" si="5"/>
        <v>0</v>
      </c>
      <c r="O13" s="570">
        <f t="shared" si="5"/>
        <v>0</v>
      </c>
      <c r="P13" s="570">
        <f t="shared" si="5"/>
        <v>0</v>
      </c>
      <c r="Q13" s="570">
        <f t="shared" si="5"/>
        <v>0</v>
      </c>
      <c r="R13" s="570">
        <f t="shared" si="5"/>
        <v>0</v>
      </c>
      <c r="S13" s="570">
        <f t="shared" si="5"/>
        <v>0</v>
      </c>
      <c r="T13" s="570">
        <f t="shared" si="5"/>
        <v>0</v>
      </c>
      <c r="U13" s="570">
        <f t="shared" si="5"/>
        <v>0</v>
      </c>
      <c r="V13" s="570">
        <f t="shared" si="5"/>
        <v>0</v>
      </c>
      <c r="W13" s="570">
        <f t="shared" si="5"/>
        <v>0</v>
      </c>
      <c r="Z13" s="569"/>
      <c r="AA13" s="575"/>
      <c r="AB13" s="569"/>
    </row>
    <row r="14" spans="1:28">
      <c r="A14" s="579">
        <v>2</v>
      </c>
      <c r="B14" s="580" t="s">
        <v>458</v>
      </c>
      <c r="C14" s="570">
        <v>20500</v>
      </c>
      <c r="D14" s="570">
        <f t="shared" si="4"/>
        <v>20900</v>
      </c>
      <c r="E14" s="570">
        <f t="shared" si="4"/>
        <v>21300</v>
      </c>
      <c r="F14" s="581">
        <f>SUM(C14:E14)</f>
        <v>62700</v>
      </c>
      <c r="G14" s="570">
        <f t="shared" ref="G14" si="6">+ROUND(E14*1.02,-2)</f>
        <v>21700</v>
      </c>
      <c r="H14" s="570">
        <f>+ROUND(G14*1.02,-2)</f>
        <v>22100</v>
      </c>
      <c r="I14" s="570">
        <f t="shared" si="5"/>
        <v>22500</v>
      </c>
      <c r="J14" s="570">
        <f t="shared" si="5"/>
        <v>23000</v>
      </c>
      <c r="K14" s="570">
        <f t="shared" si="5"/>
        <v>23500</v>
      </c>
      <c r="L14" s="570">
        <f t="shared" si="5"/>
        <v>24000</v>
      </c>
      <c r="M14" s="570">
        <f t="shared" si="5"/>
        <v>24500</v>
      </c>
      <c r="N14" s="570">
        <f t="shared" si="5"/>
        <v>25000</v>
      </c>
      <c r="O14" s="570">
        <f t="shared" si="5"/>
        <v>25500</v>
      </c>
      <c r="P14" s="570">
        <f t="shared" si="5"/>
        <v>26000</v>
      </c>
      <c r="Q14" s="570">
        <f t="shared" si="5"/>
        <v>26500</v>
      </c>
      <c r="R14" s="570">
        <f t="shared" si="5"/>
        <v>27000</v>
      </c>
      <c r="S14" s="570">
        <f t="shared" si="5"/>
        <v>27500</v>
      </c>
      <c r="T14" s="570">
        <f t="shared" si="5"/>
        <v>28100</v>
      </c>
      <c r="U14" s="570">
        <f t="shared" si="5"/>
        <v>28700</v>
      </c>
      <c r="V14" s="570">
        <f t="shared" si="5"/>
        <v>29300</v>
      </c>
      <c r="W14" s="570">
        <f t="shared" si="5"/>
        <v>29900</v>
      </c>
      <c r="Z14" s="569"/>
      <c r="AA14" s="569"/>
      <c r="AB14" s="569"/>
    </row>
    <row r="15" spans="1:28">
      <c r="A15" s="572"/>
      <c r="B15" s="573" t="str">
        <f>+B20</f>
        <v>Annual Total</v>
      </c>
      <c r="C15" s="567">
        <f>SUM(C13:C14)</f>
        <v>36000</v>
      </c>
      <c r="D15" s="567">
        <f>SUM(D13:D14)</f>
        <v>36700</v>
      </c>
      <c r="E15" s="567">
        <f>SUM(E13:E14)</f>
        <v>37400</v>
      </c>
      <c r="F15" s="574">
        <f>SUM(F13:F14)</f>
        <v>110100</v>
      </c>
      <c r="G15" s="567">
        <f>SUM(G13:G14)</f>
        <v>21700</v>
      </c>
      <c r="H15" s="567">
        <f t="shared" ref="H15:W15" si="7">SUM(H13:H14)</f>
        <v>22100</v>
      </c>
      <c r="I15" s="567">
        <f t="shared" si="7"/>
        <v>22500</v>
      </c>
      <c r="J15" s="567">
        <f t="shared" si="7"/>
        <v>23000</v>
      </c>
      <c r="K15" s="567">
        <f t="shared" si="7"/>
        <v>23500</v>
      </c>
      <c r="L15" s="567">
        <f t="shared" si="7"/>
        <v>24000</v>
      </c>
      <c r="M15" s="567">
        <f t="shared" si="7"/>
        <v>24500</v>
      </c>
      <c r="N15" s="567">
        <f t="shared" si="7"/>
        <v>25000</v>
      </c>
      <c r="O15" s="567">
        <f t="shared" si="7"/>
        <v>25500</v>
      </c>
      <c r="P15" s="567">
        <f t="shared" si="7"/>
        <v>26000</v>
      </c>
      <c r="Q15" s="567">
        <f t="shared" si="7"/>
        <v>26500</v>
      </c>
      <c r="R15" s="567">
        <f t="shared" si="7"/>
        <v>27000</v>
      </c>
      <c r="S15" s="567">
        <f t="shared" si="7"/>
        <v>27500</v>
      </c>
      <c r="T15" s="567">
        <f t="shared" si="7"/>
        <v>28100</v>
      </c>
      <c r="U15" s="567">
        <f t="shared" si="7"/>
        <v>28700</v>
      </c>
      <c r="V15" s="567">
        <f t="shared" si="7"/>
        <v>29300</v>
      </c>
      <c r="W15" s="567">
        <f t="shared" si="7"/>
        <v>29900</v>
      </c>
      <c r="Z15" s="569"/>
      <c r="AA15" s="569"/>
      <c r="AB15" s="569"/>
    </row>
    <row r="16" spans="1:28">
      <c r="A16" s="572"/>
      <c r="B16" s="573"/>
      <c r="C16" s="567"/>
      <c r="D16" s="567"/>
      <c r="E16" s="567"/>
      <c r="F16" s="574"/>
      <c r="G16" s="567"/>
      <c r="H16" s="567"/>
      <c r="I16" s="567"/>
      <c r="J16" s="567"/>
      <c r="K16" s="567"/>
      <c r="L16" s="567"/>
      <c r="M16" s="567"/>
      <c r="Z16" s="575"/>
      <c r="AA16" s="576"/>
      <c r="AB16" s="577"/>
    </row>
    <row r="17" spans="1:28">
      <c r="A17" s="564" t="s">
        <v>303</v>
      </c>
      <c r="B17" s="561"/>
      <c r="C17" s="567"/>
      <c r="D17" s="567"/>
      <c r="E17" s="567"/>
      <c r="F17" s="568"/>
      <c r="G17" s="567"/>
      <c r="H17" s="567"/>
      <c r="I17" s="567"/>
      <c r="J17" s="567"/>
      <c r="K17" s="567"/>
      <c r="L17" s="567"/>
      <c r="M17" s="567"/>
      <c r="Z17" s="569"/>
      <c r="AA17" s="569"/>
      <c r="AB17" s="569"/>
    </row>
    <row r="18" spans="1:28">
      <c r="A18" s="561">
        <v>1</v>
      </c>
      <c r="B18" s="561" t="s">
        <v>97</v>
      </c>
      <c r="C18" s="567">
        <v>18500</v>
      </c>
      <c r="D18" s="567">
        <f>+ROUND(C18*1.02,-2)</f>
        <v>18900</v>
      </c>
      <c r="E18" s="567">
        <f>+ROUND(D18*1.02,-2)</f>
        <v>19300</v>
      </c>
      <c r="F18" s="568">
        <f>SUM(C18:E18)</f>
        <v>56700</v>
      </c>
      <c r="G18" s="567">
        <f>+ROUND(E18*1.02,-2)</f>
        <v>19700</v>
      </c>
      <c r="H18" s="567">
        <f t="shared" ref="H18:W19" si="8">+ROUND(G18*1.02,-2)</f>
        <v>20100</v>
      </c>
      <c r="I18" s="567">
        <f t="shared" si="8"/>
        <v>20500</v>
      </c>
      <c r="J18" s="567">
        <f t="shared" si="8"/>
        <v>20900</v>
      </c>
      <c r="K18" s="567">
        <f t="shared" si="8"/>
        <v>21300</v>
      </c>
      <c r="L18" s="567">
        <f t="shared" si="8"/>
        <v>21700</v>
      </c>
      <c r="M18" s="567">
        <f t="shared" si="8"/>
        <v>22100</v>
      </c>
      <c r="N18" s="567">
        <f t="shared" si="8"/>
        <v>22500</v>
      </c>
      <c r="O18" s="567">
        <f t="shared" si="8"/>
        <v>23000</v>
      </c>
      <c r="P18" s="567">
        <f t="shared" si="8"/>
        <v>23500</v>
      </c>
      <c r="Q18" s="567">
        <f t="shared" si="8"/>
        <v>24000</v>
      </c>
      <c r="R18" s="567">
        <f t="shared" si="8"/>
        <v>24500</v>
      </c>
      <c r="S18" s="567">
        <f t="shared" si="8"/>
        <v>25000</v>
      </c>
      <c r="T18" s="567">
        <f t="shared" si="8"/>
        <v>25500</v>
      </c>
      <c r="U18" s="567">
        <f t="shared" si="8"/>
        <v>26000</v>
      </c>
      <c r="V18" s="567">
        <f t="shared" si="8"/>
        <v>26500</v>
      </c>
      <c r="W18" s="567">
        <f t="shared" si="8"/>
        <v>27000</v>
      </c>
      <c r="Z18" s="569"/>
      <c r="AA18" s="575"/>
      <c r="AB18" s="569"/>
    </row>
    <row r="19" spans="1:28">
      <c r="A19" s="561">
        <v>2</v>
      </c>
      <c r="B19" s="561" t="s">
        <v>304</v>
      </c>
      <c r="C19" s="570">
        <v>10500</v>
      </c>
      <c r="D19" s="570">
        <f>+ROUND(C19*1.02,-2)</f>
        <v>10700</v>
      </c>
      <c r="E19" s="570">
        <f>+ROUND(D19*1.02,-2)</f>
        <v>10900</v>
      </c>
      <c r="F19" s="571">
        <f>SUM(C19:E19)</f>
        <v>32100</v>
      </c>
      <c r="G19" s="570">
        <f>+ROUND(E19*1.02,-2)</f>
        <v>11100</v>
      </c>
      <c r="H19" s="570">
        <f t="shared" si="8"/>
        <v>11300</v>
      </c>
      <c r="I19" s="570">
        <f t="shared" si="8"/>
        <v>11500</v>
      </c>
      <c r="J19" s="570">
        <f t="shared" si="8"/>
        <v>11700</v>
      </c>
      <c r="K19" s="570">
        <f t="shared" si="8"/>
        <v>11900</v>
      </c>
      <c r="L19" s="570">
        <f t="shared" si="8"/>
        <v>12100</v>
      </c>
      <c r="M19" s="570">
        <f t="shared" si="8"/>
        <v>12300</v>
      </c>
      <c r="N19" s="570">
        <f t="shared" si="8"/>
        <v>12500</v>
      </c>
      <c r="O19" s="570">
        <f t="shared" si="8"/>
        <v>12800</v>
      </c>
      <c r="P19" s="570">
        <f t="shared" si="8"/>
        <v>13100</v>
      </c>
      <c r="Q19" s="570">
        <f t="shared" si="8"/>
        <v>13400</v>
      </c>
      <c r="R19" s="570">
        <f t="shared" si="8"/>
        <v>13700</v>
      </c>
      <c r="S19" s="570">
        <f t="shared" si="8"/>
        <v>14000</v>
      </c>
      <c r="T19" s="570">
        <f t="shared" si="8"/>
        <v>14300</v>
      </c>
      <c r="U19" s="570">
        <f t="shared" si="8"/>
        <v>14600</v>
      </c>
      <c r="V19" s="570">
        <f t="shared" si="8"/>
        <v>14900</v>
      </c>
      <c r="W19" s="570">
        <f t="shared" si="8"/>
        <v>15200</v>
      </c>
      <c r="Z19" s="569"/>
      <c r="AA19" s="575"/>
      <c r="AB19" s="569"/>
    </row>
    <row r="20" spans="1:28">
      <c r="A20" s="572"/>
      <c r="B20" s="573" t="s">
        <v>300</v>
      </c>
      <c r="C20" s="567">
        <f>SUM(C18:C19)</f>
        <v>29000</v>
      </c>
      <c r="D20" s="567">
        <f>SUM(D18:D19)</f>
        <v>29600</v>
      </c>
      <c r="E20" s="567">
        <f>SUM(E18:E19)</f>
        <v>30200</v>
      </c>
      <c r="F20" s="568">
        <f>SUM(F18:F19)</f>
        <v>88800</v>
      </c>
      <c r="G20" s="567">
        <f>SUM(G18:G19)</f>
        <v>30800</v>
      </c>
      <c r="H20" s="567">
        <f t="shared" ref="H20:W20" si="9">SUM(H18:H19)</f>
        <v>31400</v>
      </c>
      <c r="I20" s="567">
        <f t="shared" si="9"/>
        <v>32000</v>
      </c>
      <c r="J20" s="567">
        <f t="shared" si="9"/>
        <v>32600</v>
      </c>
      <c r="K20" s="567">
        <f t="shared" si="9"/>
        <v>33200</v>
      </c>
      <c r="L20" s="567">
        <f t="shared" si="9"/>
        <v>33800</v>
      </c>
      <c r="M20" s="567">
        <f t="shared" si="9"/>
        <v>34400</v>
      </c>
      <c r="N20" s="567">
        <f t="shared" si="9"/>
        <v>35000</v>
      </c>
      <c r="O20" s="567">
        <f t="shared" si="9"/>
        <v>35800</v>
      </c>
      <c r="P20" s="567">
        <f t="shared" si="9"/>
        <v>36600</v>
      </c>
      <c r="Q20" s="567">
        <f t="shared" si="9"/>
        <v>37400</v>
      </c>
      <c r="R20" s="567">
        <f t="shared" si="9"/>
        <v>38200</v>
      </c>
      <c r="S20" s="567">
        <f t="shared" si="9"/>
        <v>39000</v>
      </c>
      <c r="T20" s="567">
        <f t="shared" si="9"/>
        <v>39800</v>
      </c>
      <c r="U20" s="567">
        <f t="shared" si="9"/>
        <v>40600</v>
      </c>
      <c r="V20" s="567">
        <f t="shared" si="9"/>
        <v>41400</v>
      </c>
      <c r="W20" s="567">
        <f t="shared" si="9"/>
        <v>42200</v>
      </c>
      <c r="Z20" s="569"/>
      <c r="AA20" s="569"/>
      <c r="AB20" s="569"/>
    </row>
    <row r="21" spans="1:28">
      <c r="A21" s="572"/>
      <c r="B21" s="561"/>
      <c r="C21" s="567"/>
      <c r="D21" s="567"/>
      <c r="E21" s="567"/>
      <c r="F21" s="568"/>
      <c r="G21" s="567"/>
      <c r="H21" s="567"/>
      <c r="I21" s="567"/>
      <c r="J21" s="567"/>
      <c r="K21" s="567"/>
      <c r="L21" s="567"/>
      <c r="M21" s="567"/>
      <c r="Z21" s="569"/>
      <c r="AA21" s="569"/>
      <c r="AB21" s="569"/>
    </row>
    <row r="22" spans="1:28" ht="29.25">
      <c r="A22" s="582" t="s">
        <v>305</v>
      </c>
      <c r="B22" s="561"/>
      <c r="C22" s="567"/>
      <c r="D22" s="567"/>
      <c r="E22" s="567"/>
      <c r="F22" s="568"/>
      <c r="G22" s="567"/>
      <c r="H22" s="567"/>
      <c r="I22" s="567"/>
      <c r="J22" s="567"/>
      <c r="K22" s="567"/>
      <c r="L22" s="567"/>
      <c r="M22" s="567"/>
      <c r="Z22" s="569"/>
      <c r="AA22" s="569"/>
      <c r="AB22" s="569"/>
    </row>
    <row r="23" spans="1:28">
      <c r="A23" s="561">
        <v>1</v>
      </c>
      <c r="B23" s="561" t="s">
        <v>99</v>
      </c>
      <c r="C23" s="567">
        <v>2800</v>
      </c>
      <c r="D23" s="567">
        <f>+ROUND(C23*1.02,-2)</f>
        <v>2900</v>
      </c>
      <c r="E23" s="567">
        <f>+ROUND(D23*1.02,-2)</f>
        <v>3000</v>
      </c>
      <c r="F23" s="568">
        <f t="shared" ref="F23:F27" si="10">SUM(C23:E23)</f>
        <v>8700</v>
      </c>
      <c r="G23" s="567">
        <f>+ROUND(E23*1.02,-2)</f>
        <v>3100</v>
      </c>
      <c r="H23" s="567">
        <f t="shared" ref="H23:W24" si="11">+ROUND(G23*1.02,-2)</f>
        <v>3200</v>
      </c>
      <c r="I23" s="567">
        <f t="shared" si="11"/>
        <v>3300</v>
      </c>
      <c r="J23" s="567">
        <f t="shared" si="11"/>
        <v>3400</v>
      </c>
      <c r="K23" s="567">
        <f t="shared" si="11"/>
        <v>3500</v>
      </c>
      <c r="L23" s="567">
        <f t="shared" si="11"/>
        <v>3600</v>
      </c>
      <c r="M23" s="567">
        <f t="shared" si="11"/>
        <v>3700</v>
      </c>
      <c r="N23" s="567">
        <f t="shared" si="11"/>
        <v>3800</v>
      </c>
      <c r="O23" s="567">
        <f t="shared" si="11"/>
        <v>3900</v>
      </c>
      <c r="P23" s="567">
        <f t="shared" si="11"/>
        <v>4000</v>
      </c>
      <c r="Q23" s="567">
        <f t="shared" si="11"/>
        <v>4100</v>
      </c>
      <c r="R23" s="567">
        <f t="shared" si="11"/>
        <v>4200</v>
      </c>
      <c r="S23" s="567">
        <f t="shared" si="11"/>
        <v>4300</v>
      </c>
      <c r="T23" s="567">
        <f t="shared" si="11"/>
        <v>4400</v>
      </c>
      <c r="U23" s="567">
        <f t="shared" si="11"/>
        <v>4500</v>
      </c>
      <c r="V23" s="567">
        <f t="shared" si="11"/>
        <v>4600</v>
      </c>
      <c r="W23" s="567">
        <f t="shared" si="11"/>
        <v>4700</v>
      </c>
      <c r="Z23" s="569"/>
      <c r="AA23" s="569"/>
      <c r="AB23" s="569"/>
    </row>
    <row r="24" spans="1:28">
      <c r="A24" s="561">
        <v>2</v>
      </c>
      <c r="B24" s="561" t="s">
        <v>306</v>
      </c>
      <c r="C24" s="567">
        <v>5500</v>
      </c>
      <c r="D24" s="567">
        <f t="shared" ref="D24:E27" si="12">+ROUND(C24*1.02,-2)</f>
        <v>5600</v>
      </c>
      <c r="E24" s="567">
        <f>+ROUND(D24*1.02,-2)</f>
        <v>5700</v>
      </c>
      <c r="F24" s="568">
        <f t="shared" si="10"/>
        <v>16800</v>
      </c>
      <c r="G24" s="567">
        <f>+ROUND(E24*1.02,-2)</f>
        <v>5800</v>
      </c>
      <c r="H24" s="567">
        <f>+ROUND(G24*1.02,-2)</f>
        <v>5900</v>
      </c>
      <c r="I24" s="567">
        <f t="shared" si="11"/>
        <v>6000</v>
      </c>
      <c r="J24" s="567">
        <f t="shared" si="11"/>
        <v>6100</v>
      </c>
      <c r="K24" s="567">
        <f t="shared" si="11"/>
        <v>6200</v>
      </c>
      <c r="L24" s="567">
        <f t="shared" si="11"/>
        <v>6300</v>
      </c>
      <c r="M24" s="567">
        <f t="shared" si="11"/>
        <v>6400</v>
      </c>
      <c r="N24" s="567">
        <f t="shared" si="11"/>
        <v>6500</v>
      </c>
      <c r="O24" s="567">
        <f t="shared" si="11"/>
        <v>6600</v>
      </c>
      <c r="P24" s="567">
        <f t="shared" si="11"/>
        <v>6700</v>
      </c>
      <c r="Q24" s="567">
        <f t="shared" si="11"/>
        <v>6800</v>
      </c>
      <c r="R24" s="567">
        <f t="shared" si="11"/>
        <v>6900</v>
      </c>
      <c r="S24" s="567">
        <f t="shared" si="11"/>
        <v>7000</v>
      </c>
      <c r="T24" s="567">
        <f t="shared" si="11"/>
        <v>7100</v>
      </c>
      <c r="U24" s="567">
        <f t="shared" si="11"/>
        <v>7200</v>
      </c>
      <c r="V24" s="567">
        <f t="shared" si="11"/>
        <v>7300</v>
      </c>
      <c r="W24" s="567">
        <f t="shared" si="11"/>
        <v>7400</v>
      </c>
      <c r="Z24" s="569"/>
      <c r="AA24" s="569"/>
      <c r="AB24" s="569"/>
    </row>
    <row r="25" spans="1:28">
      <c r="A25" s="561">
        <v>3</v>
      </c>
      <c r="B25" s="561" t="s">
        <v>307</v>
      </c>
      <c r="C25" s="567">
        <v>1500</v>
      </c>
      <c r="D25" s="567">
        <f t="shared" si="12"/>
        <v>1500</v>
      </c>
      <c r="E25" s="567">
        <f t="shared" si="12"/>
        <v>1500</v>
      </c>
      <c r="F25" s="568">
        <f t="shared" si="10"/>
        <v>4500</v>
      </c>
      <c r="G25" s="567">
        <f>+ROUND(E25*1.02,-2)</f>
        <v>1500</v>
      </c>
      <c r="H25" s="567">
        <f t="shared" ref="H25:W27" si="13">+ROUND(G25*1.02,-2)</f>
        <v>1500</v>
      </c>
      <c r="I25" s="567">
        <f t="shared" si="13"/>
        <v>1500</v>
      </c>
      <c r="J25" s="567">
        <f t="shared" si="13"/>
        <v>1500</v>
      </c>
      <c r="K25" s="567">
        <f t="shared" si="13"/>
        <v>1500</v>
      </c>
      <c r="L25" s="567">
        <f t="shared" si="13"/>
        <v>1500</v>
      </c>
      <c r="M25" s="567">
        <f t="shared" si="13"/>
        <v>1500</v>
      </c>
      <c r="N25" s="567">
        <f t="shared" si="13"/>
        <v>1500</v>
      </c>
      <c r="O25" s="567">
        <f t="shared" si="13"/>
        <v>1500</v>
      </c>
      <c r="P25" s="567">
        <f t="shared" si="13"/>
        <v>1500</v>
      </c>
      <c r="Q25" s="567">
        <f t="shared" si="13"/>
        <v>1500</v>
      </c>
      <c r="R25" s="567">
        <f t="shared" si="13"/>
        <v>1500</v>
      </c>
      <c r="S25" s="567">
        <f t="shared" si="13"/>
        <v>1500</v>
      </c>
      <c r="T25" s="567">
        <f t="shared" si="13"/>
        <v>1500</v>
      </c>
      <c r="U25" s="567">
        <f t="shared" si="13"/>
        <v>1500</v>
      </c>
      <c r="V25" s="567">
        <f t="shared" si="13"/>
        <v>1500</v>
      </c>
      <c r="W25" s="567">
        <f t="shared" si="13"/>
        <v>1500</v>
      </c>
      <c r="Z25" s="575"/>
      <c r="AA25" s="576"/>
      <c r="AB25" s="577"/>
    </row>
    <row r="26" spans="1:28">
      <c r="A26" s="561"/>
      <c r="B26" s="561" t="s">
        <v>308</v>
      </c>
      <c r="C26" s="567">
        <v>23300</v>
      </c>
      <c r="D26" s="567">
        <f t="shared" si="12"/>
        <v>23800</v>
      </c>
      <c r="E26" s="567">
        <f t="shared" si="12"/>
        <v>24300</v>
      </c>
      <c r="F26" s="568">
        <f t="shared" si="10"/>
        <v>71400</v>
      </c>
      <c r="G26" s="567">
        <f>+ROUND(E26*1.02,-2)</f>
        <v>24800</v>
      </c>
      <c r="H26" s="567">
        <f t="shared" si="13"/>
        <v>25300</v>
      </c>
      <c r="I26" s="567">
        <f t="shared" si="13"/>
        <v>25800</v>
      </c>
      <c r="J26" s="567">
        <f t="shared" si="13"/>
        <v>26300</v>
      </c>
      <c r="K26" s="567">
        <f t="shared" si="13"/>
        <v>26800</v>
      </c>
      <c r="L26" s="567">
        <f t="shared" si="13"/>
        <v>27300</v>
      </c>
      <c r="M26" s="567">
        <f t="shared" si="13"/>
        <v>27800</v>
      </c>
      <c r="N26" s="567">
        <f t="shared" si="13"/>
        <v>28400</v>
      </c>
      <c r="O26" s="567">
        <f t="shared" si="13"/>
        <v>29000</v>
      </c>
      <c r="P26" s="567">
        <f t="shared" si="13"/>
        <v>29600</v>
      </c>
      <c r="Q26" s="567">
        <f t="shared" si="13"/>
        <v>30200</v>
      </c>
      <c r="R26" s="567">
        <f t="shared" si="13"/>
        <v>30800</v>
      </c>
      <c r="S26" s="567">
        <f t="shared" si="13"/>
        <v>31400</v>
      </c>
      <c r="T26" s="567">
        <f t="shared" si="13"/>
        <v>32000</v>
      </c>
      <c r="U26" s="567">
        <f t="shared" si="13"/>
        <v>32600</v>
      </c>
      <c r="V26" s="567">
        <f t="shared" si="13"/>
        <v>33300</v>
      </c>
      <c r="W26" s="567">
        <f t="shared" si="13"/>
        <v>34000</v>
      </c>
      <c r="Z26" s="569"/>
      <c r="AA26" s="569"/>
      <c r="AB26" s="569"/>
    </row>
    <row r="27" spans="1:28">
      <c r="A27" s="561">
        <v>5</v>
      </c>
      <c r="B27" s="561" t="s">
        <v>309</v>
      </c>
      <c r="C27" s="570">
        <v>8200</v>
      </c>
      <c r="D27" s="570">
        <f t="shared" si="12"/>
        <v>8400</v>
      </c>
      <c r="E27" s="570">
        <f t="shared" si="12"/>
        <v>8600</v>
      </c>
      <c r="F27" s="571">
        <f t="shared" si="10"/>
        <v>25200</v>
      </c>
      <c r="G27" s="570">
        <f>+ROUND(E27*1.02,-2)</f>
        <v>8800</v>
      </c>
      <c r="H27" s="570">
        <f>+ROUND(G27*1.02,-2)</f>
        <v>9000</v>
      </c>
      <c r="I27" s="570">
        <f t="shared" si="13"/>
        <v>9200</v>
      </c>
      <c r="J27" s="570">
        <f t="shared" si="13"/>
        <v>9400</v>
      </c>
      <c r="K27" s="570">
        <f t="shared" si="13"/>
        <v>9600</v>
      </c>
      <c r="L27" s="570">
        <f t="shared" si="13"/>
        <v>9800</v>
      </c>
      <c r="M27" s="570">
        <f t="shared" si="13"/>
        <v>10000</v>
      </c>
      <c r="N27" s="570">
        <f t="shared" si="13"/>
        <v>10200</v>
      </c>
      <c r="O27" s="570">
        <f t="shared" si="13"/>
        <v>10400</v>
      </c>
      <c r="P27" s="570">
        <f t="shared" si="13"/>
        <v>10600</v>
      </c>
      <c r="Q27" s="570">
        <f t="shared" si="13"/>
        <v>10800</v>
      </c>
      <c r="R27" s="570">
        <f t="shared" si="13"/>
        <v>11000</v>
      </c>
      <c r="S27" s="570">
        <f t="shared" si="13"/>
        <v>11200</v>
      </c>
      <c r="T27" s="570">
        <f t="shared" si="13"/>
        <v>11400</v>
      </c>
      <c r="U27" s="570">
        <f t="shared" si="13"/>
        <v>11600</v>
      </c>
      <c r="V27" s="570">
        <f t="shared" si="13"/>
        <v>11800</v>
      </c>
      <c r="W27" s="570">
        <f t="shared" si="13"/>
        <v>12000</v>
      </c>
      <c r="Z27" s="569"/>
      <c r="AA27" s="575"/>
      <c r="AB27" s="569"/>
    </row>
    <row r="28" spans="1:28">
      <c r="A28" s="572"/>
      <c r="B28" s="573" t="str">
        <f>+B20</f>
        <v>Annual Total</v>
      </c>
      <c r="C28" s="567">
        <f t="shared" ref="C28:W28" si="14">SUM(C23:C27)</f>
        <v>41300</v>
      </c>
      <c r="D28" s="567">
        <f t="shared" si="14"/>
        <v>42200</v>
      </c>
      <c r="E28" s="567">
        <f t="shared" si="14"/>
        <v>43100</v>
      </c>
      <c r="F28" s="568">
        <f t="shared" si="14"/>
        <v>126600</v>
      </c>
      <c r="G28" s="567">
        <f t="shared" si="14"/>
        <v>44000</v>
      </c>
      <c r="H28" s="567">
        <f t="shared" si="14"/>
        <v>44900</v>
      </c>
      <c r="I28" s="567">
        <f t="shared" si="14"/>
        <v>45800</v>
      </c>
      <c r="J28" s="567">
        <f t="shared" si="14"/>
        <v>46700</v>
      </c>
      <c r="K28" s="567">
        <f t="shared" si="14"/>
        <v>47600</v>
      </c>
      <c r="L28" s="567">
        <f t="shared" si="14"/>
        <v>48500</v>
      </c>
      <c r="M28" s="567">
        <f t="shared" si="14"/>
        <v>49400</v>
      </c>
      <c r="N28" s="567">
        <f t="shared" si="14"/>
        <v>50400</v>
      </c>
      <c r="O28" s="567">
        <f t="shared" si="14"/>
        <v>51400</v>
      </c>
      <c r="P28" s="567">
        <f t="shared" si="14"/>
        <v>52400</v>
      </c>
      <c r="Q28" s="567">
        <f t="shared" si="14"/>
        <v>53400</v>
      </c>
      <c r="R28" s="567">
        <f t="shared" si="14"/>
        <v>54400</v>
      </c>
      <c r="S28" s="567">
        <f t="shared" si="14"/>
        <v>55400</v>
      </c>
      <c r="T28" s="567">
        <f t="shared" si="14"/>
        <v>56400</v>
      </c>
      <c r="U28" s="567">
        <f t="shared" si="14"/>
        <v>57400</v>
      </c>
      <c r="V28" s="567">
        <f t="shared" si="14"/>
        <v>58500</v>
      </c>
      <c r="W28" s="567">
        <f t="shared" si="14"/>
        <v>59600</v>
      </c>
      <c r="Z28" s="569"/>
      <c r="AA28" s="569"/>
      <c r="AB28" s="569"/>
    </row>
    <row r="29" spans="1:28">
      <c r="A29" s="572"/>
      <c r="B29" s="573"/>
      <c r="C29" s="567"/>
      <c r="D29" s="567"/>
      <c r="E29" s="567"/>
      <c r="F29" s="568"/>
      <c r="G29" s="567"/>
      <c r="H29" s="567"/>
      <c r="I29" s="567"/>
      <c r="J29" s="567"/>
      <c r="K29" s="567"/>
      <c r="L29" s="567"/>
      <c r="M29" s="567"/>
      <c r="Z29" s="569"/>
      <c r="AA29" s="569"/>
      <c r="AB29" s="569"/>
    </row>
    <row r="30" spans="1:28">
      <c r="A30" s="564" t="s">
        <v>310</v>
      </c>
      <c r="B30" s="561"/>
      <c r="C30" s="567"/>
      <c r="D30" s="567"/>
      <c r="E30" s="567"/>
      <c r="F30" s="568"/>
      <c r="G30" s="567"/>
      <c r="H30" s="567"/>
      <c r="I30" s="567"/>
      <c r="J30" s="567"/>
      <c r="K30" s="567"/>
      <c r="L30" s="567"/>
      <c r="M30" s="567"/>
      <c r="Z30" s="569"/>
      <c r="AA30" s="569"/>
      <c r="AB30" s="569"/>
    </row>
    <row r="31" spans="1:28">
      <c r="A31" s="561">
        <v>1</v>
      </c>
      <c r="B31" s="561" t="s">
        <v>105</v>
      </c>
      <c r="C31" s="567">
        <v>4000</v>
      </c>
      <c r="D31" s="567">
        <f t="shared" ref="D31:E33" si="15">+ROUND(C31*1.02,-2)</f>
        <v>4100</v>
      </c>
      <c r="E31" s="567">
        <f t="shared" si="15"/>
        <v>4200</v>
      </c>
      <c r="F31" s="568">
        <f>SUM(C31:E31)</f>
        <v>12300</v>
      </c>
      <c r="G31" s="567">
        <f>+ROUND(E31*1.02,-2)</f>
        <v>4300</v>
      </c>
      <c r="H31" s="567">
        <f t="shared" ref="H31:W33" si="16">+ROUND(G31*1.02,-2)</f>
        <v>4400</v>
      </c>
      <c r="I31" s="567">
        <f t="shared" si="16"/>
        <v>4500</v>
      </c>
      <c r="J31" s="567">
        <f t="shared" si="16"/>
        <v>4600</v>
      </c>
      <c r="K31" s="567">
        <f t="shared" si="16"/>
        <v>4700</v>
      </c>
      <c r="L31" s="567">
        <f t="shared" si="16"/>
        <v>4800</v>
      </c>
      <c r="M31" s="567">
        <f t="shared" si="16"/>
        <v>4900</v>
      </c>
      <c r="N31" s="567">
        <f t="shared" si="16"/>
        <v>5000</v>
      </c>
      <c r="O31" s="567">
        <f t="shared" si="16"/>
        <v>5100</v>
      </c>
      <c r="P31" s="567">
        <f t="shared" si="16"/>
        <v>5200</v>
      </c>
      <c r="Q31" s="567">
        <f t="shared" si="16"/>
        <v>5300</v>
      </c>
      <c r="R31" s="567">
        <f t="shared" si="16"/>
        <v>5400</v>
      </c>
      <c r="S31" s="567">
        <f t="shared" si="16"/>
        <v>5500</v>
      </c>
      <c r="T31" s="567">
        <f t="shared" si="16"/>
        <v>5600</v>
      </c>
      <c r="U31" s="567">
        <f t="shared" si="16"/>
        <v>5700</v>
      </c>
      <c r="V31" s="567">
        <f t="shared" si="16"/>
        <v>5800</v>
      </c>
      <c r="W31" s="567">
        <f t="shared" si="16"/>
        <v>5900</v>
      </c>
      <c r="Z31" s="569"/>
      <c r="AA31" s="569"/>
      <c r="AB31" s="569"/>
    </row>
    <row r="32" spans="1:28">
      <c r="A32" s="561">
        <v>2</v>
      </c>
      <c r="B32" s="561" t="s">
        <v>106</v>
      </c>
      <c r="C32" s="567">
        <v>2200</v>
      </c>
      <c r="D32" s="567">
        <f t="shared" si="15"/>
        <v>2200</v>
      </c>
      <c r="E32" s="567">
        <f t="shared" si="15"/>
        <v>2200</v>
      </c>
      <c r="F32" s="568">
        <f>SUM(C32:E32)</f>
        <v>6600</v>
      </c>
      <c r="G32" s="567">
        <f>+ROUND(E32*1.02,-2)</f>
        <v>2200</v>
      </c>
      <c r="H32" s="567">
        <f t="shared" si="16"/>
        <v>2200</v>
      </c>
      <c r="I32" s="567">
        <f t="shared" si="16"/>
        <v>2200</v>
      </c>
      <c r="J32" s="567">
        <f t="shared" si="16"/>
        <v>2200</v>
      </c>
      <c r="K32" s="567">
        <f t="shared" si="16"/>
        <v>2200</v>
      </c>
      <c r="L32" s="567">
        <f t="shared" si="16"/>
        <v>2200</v>
      </c>
      <c r="M32" s="567">
        <f t="shared" si="16"/>
        <v>2200</v>
      </c>
      <c r="N32" s="567">
        <f t="shared" si="16"/>
        <v>2200</v>
      </c>
      <c r="O32" s="567">
        <f t="shared" si="16"/>
        <v>2200</v>
      </c>
      <c r="P32" s="567">
        <f t="shared" si="16"/>
        <v>2200</v>
      </c>
      <c r="Q32" s="567">
        <f t="shared" si="16"/>
        <v>2200</v>
      </c>
      <c r="R32" s="567">
        <f t="shared" si="16"/>
        <v>2200</v>
      </c>
      <c r="S32" s="567">
        <f t="shared" si="16"/>
        <v>2200</v>
      </c>
      <c r="T32" s="567">
        <f t="shared" si="16"/>
        <v>2200</v>
      </c>
      <c r="U32" s="567">
        <f t="shared" si="16"/>
        <v>2200</v>
      </c>
      <c r="V32" s="567">
        <f t="shared" si="16"/>
        <v>2200</v>
      </c>
      <c r="W32" s="567">
        <f t="shared" si="16"/>
        <v>2200</v>
      </c>
      <c r="Z32" s="569"/>
      <c r="AA32" s="569"/>
      <c r="AB32" s="569"/>
    </row>
    <row r="33" spans="1:28">
      <c r="A33" s="561">
        <v>3</v>
      </c>
      <c r="B33" s="561" t="s">
        <v>107</v>
      </c>
      <c r="C33" s="567">
        <v>11600</v>
      </c>
      <c r="D33" s="567">
        <f t="shared" si="15"/>
        <v>11800</v>
      </c>
      <c r="E33" s="567">
        <f t="shared" si="15"/>
        <v>12000</v>
      </c>
      <c r="F33" s="568">
        <f>SUM(C33:E33)</f>
        <v>35400</v>
      </c>
      <c r="G33" s="567">
        <f>+ROUND(E33*1.02,-2)</f>
        <v>12200</v>
      </c>
      <c r="H33" s="567">
        <f t="shared" si="16"/>
        <v>12400</v>
      </c>
      <c r="I33" s="567">
        <f t="shared" si="16"/>
        <v>12600</v>
      </c>
      <c r="J33" s="567">
        <f t="shared" si="16"/>
        <v>12900</v>
      </c>
      <c r="K33" s="567">
        <f t="shared" si="16"/>
        <v>13200</v>
      </c>
      <c r="L33" s="567">
        <f t="shared" si="16"/>
        <v>13500</v>
      </c>
      <c r="M33" s="567">
        <f t="shared" si="16"/>
        <v>13800</v>
      </c>
      <c r="N33" s="567">
        <f t="shared" si="16"/>
        <v>14100</v>
      </c>
      <c r="O33" s="567">
        <f t="shared" si="16"/>
        <v>14400</v>
      </c>
      <c r="P33" s="567">
        <f t="shared" si="16"/>
        <v>14700</v>
      </c>
      <c r="Q33" s="567">
        <f t="shared" si="16"/>
        <v>15000</v>
      </c>
      <c r="R33" s="567">
        <f t="shared" si="16"/>
        <v>15300</v>
      </c>
      <c r="S33" s="567">
        <f t="shared" si="16"/>
        <v>15600</v>
      </c>
      <c r="T33" s="567">
        <f t="shared" si="16"/>
        <v>15900</v>
      </c>
      <c r="U33" s="567">
        <f t="shared" si="16"/>
        <v>16200</v>
      </c>
      <c r="V33" s="567">
        <f t="shared" si="16"/>
        <v>16500</v>
      </c>
      <c r="W33" s="567">
        <f t="shared" si="16"/>
        <v>16800</v>
      </c>
      <c r="Z33" s="575"/>
      <c r="AA33" s="576"/>
      <c r="AB33" s="577"/>
    </row>
    <row r="34" spans="1:28">
      <c r="A34" s="572"/>
      <c r="B34" s="573" t="s">
        <v>300</v>
      </c>
      <c r="C34" s="567">
        <f>SUM(C31:C33)</f>
        <v>17800</v>
      </c>
      <c r="D34" s="567">
        <f>SUM(D31:D33)</f>
        <v>18100</v>
      </c>
      <c r="E34" s="567">
        <f>SUM(E31:E33)</f>
        <v>18400</v>
      </c>
      <c r="F34" s="568">
        <f>SUM(C34:E34)</f>
        <v>54300</v>
      </c>
      <c r="G34" s="567">
        <f t="shared" ref="G34:W34" si="17">SUM(G31:G33)</f>
        <v>18700</v>
      </c>
      <c r="H34" s="567">
        <f t="shared" si="17"/>
        <v>19000</v>
      </c>
      <c r="I34" s="567">
        <f t="shared" si="17"/>
        <v>19300</v>
      </c>
      <c r="J34" s="567">
        <f t="shared" si="17"/>
        <v>19700</v>
      </c>
      <c r="K34" s="567">
        <f t="shared" si="17"/>
        <v>20100</v>
      </c>
      <c r="L34" s="567">
        <f t="shared" si="17"/>
        <v>20500</v>
      </c>
      <c r="M34" s="567">
        <f t="shared" si="17"/>
        <v>20900</v>
      </c>
      <c r="N34" s="567">
        <f t="shared" si="17"/>
        <v>21300</v>
      </c>
      <c r="O34" s="567">
        <f t="shared" si="17"/>
        <v>21700</v>
      </c>
      <c r="P34" s="567">
        <f t="shared" si="17"/>
        <v>22100</v>
      </c>
      <c r="Q34" s="567">
        <f t="shared" si="17"/>
        <v>22500</v>
      </c>
      <c r="R34" s="567">
        <f t="shared" si="17"/>
        <v>22900</v>
      </c>
      <c r="S34" s="567">
        <f t="shared" si="17"/>
        <v>23300</v>
      </c>
      <c r="T34" s="567">
        <f t="shared" si="17"/>
        <v>23700</v>
      </c>
      <c r="U34" s="567">
        <f t="shared" si="17"/>
        <v>24100</v>
      </c>
      <c r="V34" s="567">
        <f t="shared" si="17"/>
        <v>24500</v>
      </c>
      <c r="W34" s="567">
        <f t="shared" si="17"/>
        <v>24900</v>
      </c>
      <c r="Z34" s="569"/>
      <c r="AA34" s="575"/>
      <c r="AB34" s="569"/>
    </row>
    <row r="35" spans="1:28">
      <c r="B35" s="561"/>
      <c r="C35" s="567"/>
      <c r="D35" s="567"/>
      <c r="E35" s="567"/>
      <c r="F35" s="568"/>
      <c r="G35" s="567"/>
      <c r="H35" s="567"/>
      <c r="I35" s="567"/>
      <c r="J35" s="567"/>
      <c r="K35" s="567"/>
      <c r="L35" s="567"/>
      <c r="M35" s="567"/>
      <c r="Z35" s="569"/>
      <c r="AA35" s="569"/>
      <c r="AB35" s="569"/>
    </row>
    <row r="36" spans="1:28" ht="29.25">
      <c r="A36" s="583" t="s">
        <v>311</v>
      </c>
      <c r="B36" s="561"/>
      <c r="C36" s="567"/>
      <c r="D36" s="567"/>
      <c r="E36" s="567"/>
      <c r="F36" s="568"/>
      <c r="G36" s="567"/>
      <c r="H36" s="567"/>
      <c r="I36" s="567"/>
      <c r="J36" s="567"/>
      <c r="K36" s="567"/>
      <c r="L36" s="567"/>
      <c r="M36" s="567"/>
      <c r="Z36" s="569"/>
      <c r="AA36" s="569"/>
      <c r="AB36" s="569"/>
    </row>
    <row r="37" spans="1:28">
      <c r="A37" s="561">
        <v>1</v>
      </c>
      <c r="B37" s="561" t="s">
        <v>111</v>
      </c>
      <c r="C37" s="567">
        <v>5700</v>
      </c>
      <c r="D37" s="567">
        <f>+ROUND(C37*1.02,-2)</f>
        <v>5800</v>
      </c>
      <c r="E37" s="567">
        <f>+ROUND(D37*1.02,-2)</f>
        <v>5900</v>
      </c>
      <c r="F37" s="568">
        <f>SUM(C37:E37)</f>
        <v>17400</v>
      </c>
      <c r="G37" s="567">
        <f>+ROUND(E37*1.02,-2)</f>
        <v>6000</v>
      </c>
      <c r="H37" s="567">
        <f t="shared" ref="H37:W38" si="18">+ROUND(G37*1.02,-2)</f>
        <v>6100</v>
      </c>
      <c r="I37" s="567">
        <f t="shared" si="18"/>
        <v>6200</v>
      </c>
      <c r="J37" s="567">
        <f t="shared" si="18"/>
        <v>6300</v>
      </c>
      <c r="K37" s="567">
        <f t="shared" si="18"/>
        <v>6400</v>
      </c>
      <c r="L37" s="567">
        <f t="shared" si="18"/>
        <v>6500</v>
      </c>
      <c r="M37" s="567">
        <f t="shared" si="18"/>
        <v>6600</v>
      </c>
      <c r="N37" s="567">
        <f t="shared" si="18"/>
        <v>6700</v>
      </c>
      <c r="O37" s="567">
        <f t="shared" si="18"/>
        <v>6800</v>
      </c>
      <c r="P37" s="567">
        <f t="shared" si="18"/>
        <v>6900</v>
      </c>
      <c r="Q37" s="567">
        <f t="shared" si="18"/>
        <v>7000</v>
      </c>
      <c r="R37" s="567">
        <f t="shared" si="18"/>
        <v>7100</v>
      </c>
      <c r="S37" s="567">
        <f t="shared" si="18"/>
        <v>7200</v>
      </c>
      <c r="T37" s="567">
        <f t="shared" si="18"/>
        <v>7300</v>
      </c>
      <c r="U37" s="567">
        <f t="shared" si="18"/>
        <v>7400</v>
      </c>
      <c r="V37" s="567">
        <f t="shared" si="18"/>
        <v>7500</v>
      </c>
      <c r="W37" s="567">
        <f t="shared" si="18"/>
        <v>7700</v>
      </c>
      <c r="Z37" s="569"/>
      <c r="AA37" s="569"/>
      <c r="AB37" s="569"/>
    </row>
    <row r="38" spans="1:28">
      <c r="A38" s="561">
        <v>2</v>
      </c>
      <c r="B38" s="561" t="s">
        <v>112</v>
      </c>
      <c r="C38" s="570">
        <v>8800</v>
      </c>
      <c r="D38" s="570">
        <f>+ROUND(C38*1.02,-2)</f>
        <v>9000</v>
      </c>
      <c r="E38" s="570">
        <f>+ROUND(D38*1.02,-2)</f>
        <v>9200</v>
      </c>
      <c r="F38" s="571">
        <f>SUM(C38:E38)</f>
        <v>27000</v>
      </c>
      <c r="G38" s="570">
        <f>+ROUND(E38*1.02,-2)</f>
        <v>9400</v>
      </c>
      <c r="H38" s="570">
        <f t="shared" si="18"/>
        <v>9600</v>
      </c>
      <c r="I38" s="570">
        <f t="shared" si="18"/>
        <v>9800</v>
      </c>
      <c r="J38" s="570">
        <f t="shared" si="18"/>
        <v>10000</v>
      </c>
      <c r="K38" s="570">
        <f t="shared" si="18"/>
        <v>10200</v>
      </c>
      <c r="L38" s="570">
        <f t="shared" si="18"/>
        <v>10400</v>
      </c>
      <c r="M38" s="570">
        <f t="shared" si="18"/>
        <v>10600</v>
      </c>
      <c r="N38" s="570">
        <f t="shared" si="18"/>
        <v>10800</v>
      </c>
      <c r="O38" s="570">
        <f t="shared" si="18"/>
        <v>11000</v>
      </c>
      <c r="P38" s="570">
        <f t="shared" si="18"/>
        <v>11200</v>
      </c>
      <c r="Q38" s="570">
        <f t="shared" si="18"/>
        <v>11400</v>
      </c>
      <c r="R38" s="570">
        <f t="shared" si="18"/>
        <v>11600</v>
      </c>
      <c r="S38" s="570">
        <f t="shared" si="18"/>
        <v>11800</v>
      </c>
      <c r="T38" s="570">
        <f t="shared" si="18"/>
        <v>12000</v>
      </c>
      <c r="U38" s="570">
        <f t="shared" si="18"/>
        <v>12200</v>
      </c>
      <c r="V38" s="570">
        <f t="shared" si="18"/>
        <v>12400</v>
      </c>
      <c r="W38" s="570">
        <f t="shared" si="18"/>
        <v>12600</v>
      </c>
      <c r="Z38" s="569"/>
      <c r="AA38" s="569"/>
      <c r="AB38" s="569"/>
    </row>
    <row r="39" spans="1:28">
      <c r="A39" s="572"/>
      <c r="B39" s="573" t="s">
        <v>300</v>
      </c>
      <c r="C39" s="567">
        <f t="shared" ref="C39:W39" si="19">SUM(C37:C38)</f>
        <v>14500</v>
      </c>
      <c r="D39" s="567">
        <f t="shared" si="19"/>
        <v>14800</v>
      </c>
      <c r="E39" s="567">
        <f t="shared" si="19"/>
        <v>15100</v>
      </c>
      <c r="F39" s="574">
        <f t="shared" si="19"/>
        <v>44400</v>
      </c>
      <c r="G39" s="567">
        <f t="shared" si="19"/>
        <v>15400</v>
      </c>
      <c r="H39" s="567">
        <f t="shared" si="19"/>
        <v>15700</v>
      </c>
      <c r="I39" s="567">
        <f t="shared" si="19"/>
        <v>16000</v>
      </c>
      <c r="J39" s="567">
        <f t="shared" si="19"/>
        <v>16300</v>
      </c>
      <c r="K39" s="567">
        <f t="shared" si="19"/>
        <v>16600</v>
      </c>
      <c r="L39" s="567">
        <f t="shared" si="19"/>
        <v>16900</v>
      </c>
      <c r="M39" s="567">
        <f t="shared" si="19"/>
        <v>17200</v>
      </c>
      <c r="N39" s="567">
        <f t="shared" si="19"/>
        <v>17500</v>
      </c>
      <c r="O39" s="567">
        <f t="shared" si="19"/>
        <v>17800</v>
      </c>
      <c r="P39" s="567">
        <f t="shared" si="19"/>
        <v>18100</v>
      </c>
      <c r="Q39" s="567">
        <f t="shared" si="19"/>
        <v>18400</v>
      </c>
      <c r="R39" s="567">
        <f t="shared" si="19"/>
        <v>18700</v>
      </c>
      <c r="S39" s="567">
        <f t="shared" si="19"/>
        <v>19000</v>
      </c>
      <c r="T39" s="567">
        <f t="shared" si="19"/>
        <v>19300</v>
      </c>
      <c r="U39" s="567">
        <f t="shared" si="19"/>
        <v>19600</v>
      </c>
      <c r="V39" s="567">
        <f t="shared" si="19"/>
        <v>19900</v>
      </c>
      <c r="W39" s="567">
        <f t="shared" si="19"/>
        <v>20300</v>
      </c>
      <c r="Z39" s="575"/>
      <c r="AA39" s="576"/>
      <c r="AB39" s="577"/>
    </row>
    <row r="40" spans="1:28">
      <c r="A40" s="561"/>
      <c r="B40" s="561"/>
      <c r="C40" s="567"/>
      <c r="D40" s="567"/>
      <c r="E40" s="567"/>
      <c r="F40" s="568"/>
      <c r="G40" s="567"/>
      <c r="H40" s="567"/>
      <c r="I40" s="567"/>
      <c r="J40" s="567"/>
      <c r="K40" s="567"/>
      <c r="L40" s="567"/>
      <c r="M40" s="567"/>
      <c r="Z40" s="569"/>
      <c r="AA40" s="575"/>
      <c r="AB40" s="569"/>
    </row>
    <row r="41" spans="1:28">
      <c r="A41" s="584" t="s">
        <v>312</v>
      </c>
      <c r="B41" s="561"/>
      <c r="C41" s="570">
        <v>24500</v>
      </c>
      <c r="D41" s="570">
        <f>+ROUND(C41*1.02,-2)</f>
        <v>25000</v>
      </c>
      <c r="E41" s="570">
        <f>+ROUND(D41*1.02,-2)</f>
        <v>25500</v>
      </c>
      <c r="F41" s="571">
        <f>SUM(C41:E41)</f>
        <v>75000</v>
      </c>
      <c r="G41" s="570">
        <f>+ROUND(E41*1.02,-2)</f>
        <v>26000</v>
      </c>
      <c r="H41" s="570">
        <f t="shared" ref="H41:W41" si="20">+ROUND(G41*1.02,-2)</f>
        <v>26500</v>
      </c>
      <c r="I41" s="570">
        <f t="shared" si="20"/>
        <v>27000</v>
      </c>
      <c r="J41" s="570">
        <f t="shared" si="20"/>
        <v>27500</v>
      </c>
      <c r="K41" s="570">
        <f t="shared" si="20"/>
        <v>28100</v>
      </c>
      <c r="L41" s="570">
        <f t="shared" si="20"/>
        <v>28700</v>
      </c>
      <c r="M41" s="570">
        <f t="shared" si="20"/>
        <v>29300</v>
      </c>
      <c r="N41" s="570">
        <f t="shared" si="20"/>
        <v>29900</v>
      </c>
      <c r="O41" s="570">
        <f t="shared" si="20"/>
        <v>30500</v>
      </c>
      <c r="P41" s="570">
        <f t="shared" si="20"/>
        <v>31100</v>
      </c>
      <c r="Q41" s="570">
        <f t="shared" si="20"/>
        <v>31700</v>
      </c>
      <c r="R41" s="570">
        <f t="shared" si="20"/>
        <v>32300</v>
      </c>
      <c r="S41" s="570">
        <f t="shared" si="20"/>
        <v>32900</v>
      </c>
      <c r="T41" s="570">
        <f t="shared" si="20"/>
        <v>33600</v>
      </c>
      <c r="U41" s="570">
        <f t="shared" si="20"/>
        <v>34300</v>
      </c>
      <c r="V41" s="570">
        <f t="shared" si="20"/>
        <v>35000</v>
      </c>
      <c r="W41" s="570">
        <f t="shared" si="20"/>
        <v>35700</v>
      </c>
      <c r="Z41" s="569"/>
      <c r="AA41" s="569"/>
      <c r="AB41" s="569"/>
    </row>
    <row r="42" spans="1:28">
      <c r="A42" s="572"/>
      <c r="B42" s="573" t="s">
        <v>300</v>
      </c>
      <c r="C42" s="567">
        <f>SUM(C41)</f>
        <v>24500</v>
      </c>
      <c r="D42" s="567">
        <f>SUM(D41)</f>
        <v>25000</v>
      </c>
      <c r="E42" s="567">
        <f>SUM(E41)</f>
        <v>25500</v>
      </c>
      <c r="F42" s="568">
        <f>SUM(C42:E42)</f>
        <v>75000</v>
      </c>
      <c r="G42" s="567">
        <f>SUM(G41)</f>
        <v>26000</v>
      </c>
      <c r="H42" s="567">
        <f t="shared" ref="H42:W42" si="21">SUM(H41)</f>
        <v>26500</v>
      </c>
      <c r="I42" s="567">
        <f t="shared" si="21"/>
        <v>27000</v>
      </c>
      <c r="J42" s="567">
        <f t="shared" si="21"/>
        <v>27500</v>
      </c>
      <c r="K42" s="567">
        <f t="shared" si="21"/>
        <v>28100</v>
      </c>
      <c r="L42" s="567">
        <f t="shared" si="21"/>
        <v>28700</v>
      </c>
      <c r="M42" s="567">
        <f t="shared" si="21"/>
        <v>29300</v>
      </c>
      <c r="N42" s="567">
        <f t="shared" si="21"/>
        <v>29900</v>
      </c>
      <c r="O42" s="567">
        <f t="shared" si="21"/>
        <v>30500</v>
      </c>
      <c r="P42" s="567">
        <f t="shared" si="21"/>
        <v>31100</v>
      </c>
      <c r="Q42" s="567">
        <f t="shared" si="21"/>
        <v>31700</v>
      </c>
      <c r="R42" s="567">
        <f t="shared" si="21"/>
        <v>32300</v>
      </c>
      <c r="S42" s="567">
        <f t="shared" si="21"/>
        <v>32900</v>
      </c>
      <c r="T42" s="567">
        <f t="shared" si="21"/>
        <v>33600</v>
      </c>
      <c r="U42" s="567">
        <f t="shared" si="21"/>
        <v>34300</v>
      </c>
      <c r="V42" s="567">
        <f t="shared" si="21"/>
        <v>35000</v>
      </c>
      <c r="W42" s="567">
        <f t="shared" si="21"/>
        <v>35700</v>
      </c>
      <c r="Z42" s="575"/>
      <c r="AA42" s="576"/>
      <c r="AB42" s="577"/>
    </row>
    <row r="43" spans="1:28">
      <c r="B43" s="561"/>
      <c r="C43" s="567"/>
      <c r="D43" s="567"/>
      <c r="E43" s="567"/>
      <c r="F43" s="568"/>
      <c r="G43" s="567"/>
      <c r="H43" s="567"/>
      <c r="I43" s="567"/>
      <c r="J43" s="567"/>
      <c r="K43" s="567"/>
      <c r="L43" s="567"/>
      <c r="M43" s="567"/>
      <c r="Z43" s="569"/>
      <c r="AA43" s="569"/>
      <c r="AB43" s="569"/>
    </row>
    <row r="44" spans="1:28" ht="29.25">
      <c r="A44" s="583" t="s">
        <v>313</v>
      </c>
      <c r="B44" s="561"/>
      <c r="C44" s="570">
        <v>25500</v>
      </c>
      <c r="D44" s="570">
        <f>+ROUND(C44*1.02,-2)</f>
        <v>26000</v>
      </c>
      <c r="E44" s="570">
        <f>+ROUND(D44*1.02,-2)</f>
        <v>26500</v>
      </c>
      <c r="F44" s="571">
        <f>SUM(C44:E44)</f>
        <v>78000</v>
      </c>
      <c r="G44" s="570">
        <f>+ROUND(E44*1.02,-2)</f>
        <v>27000</v>
      </c>
      <c r="H44" s="570">
        <f t="shared" ref="H44:W45" si="22">+ROUND(G44*1.02,-2)</f>
        <v>27500</v>
      </c>
      <c r="I44" s="570">
        <f t="shared" si="22"/>
        <v>28100</v>
      </c>
      <c r="J44" s="570">
        <f t="shared" si="22"/>
        <v>28700</v>
      </c>
      <c r="K44" s="570">
        <f t="shared" si="22"/>
        <v>29300</v>
      </c>
      <c r="L44" s="570">
        <f t="shared" si="22"/>
        <v>29900</v>
      </c>
      <c r="M44" s="570">
        <f t="shared" si="22"/>
        <v>30500</v>
      </c>
      <c r="N44" s="570">
        <f t="shared" si="22"/>
        <v>31100</v>
      </c>
      <c r="O44" s="570">
        <f t="shared" si="22"/>
        <v>31700</v>
      </c>
      <c r="P44" s="570">
        <f t="shared" si="22"/>
        <v>32300</v>
      </c>
      <c r="Q44" s="570">
        <f t="shared" si="22"/>
        <v>32900</v>
      </c>
      <c r="R44" s="570">
        <f t="shared" si="22"/>
        <v>33600</v>
      </c>
      <c r="S44" s="570">
        <f t="shared" si="22"/>
        <v>34300</v>
      </c>
      <c r="T44" s="570">
        <f t="shared" si="22"/>
        <v>35000</v>
      </c>
      <c r="U44" s="570">
        <f t="shared" si="22"/>
        <v>35700</v>
      </c>
      <c r="V44" s="570">
        <f t="shared" si="22"/>
        <v>36400</v>
      </c>
      <c r="W44" s="570">
        <f t="shared" si="22"/>
        <v>37100</v>
      </c>
      <c r="Z44" s="575"/>
      <c r="AA44" s="576"/>
      <c r="AB44" s="569"/>
    </row>
    <row r="45" spans="1:28">
      <c r="A45" s="561">
        <v>2</v>
      </c>
      <c r="B45" s="561" t="s">
        <v>103</v>
      </c>
      <c r="C45" s="567">
        <v>0</v>
      </c>
      <c r="D45" s="567">
        <v>0</v>
      </c>
      <c r="E45" s="567">
        <v>0</v>
      </c>
      <c r="F45" s="568">
        <v>0</v>
      </c>
      <c r="G45" s="567">
        <f>+ROUND(E45*1.02,-2)</f>
        <v>0</v>
      </c>
      <c r="H45" s="567">
        <f t="shared" si="22"/>
        <v>0</v>
      </c>
      <c r="I45" s="567">
        <f t="shared" si="22"/>
        <v>0</v>
      </c>
      <c r="J45" s="567">
        <f t="shared" si="22"/>
        <v>0</v>
      </c>
      <c r="K45" s="567">
        <f t="shared" si="22"/>
        <v>0</v>
      </c>
      <c r="L45" s="567">
        <f t="shared" si="22"/>
        <v>0</v>
      </c>
      <c r="M45" s="567">
        <f t="shared" si="22"/>
        <v>0</v>
      </c>
      <c r="Z45" s="569"/>
      <c r="AA45" s="575"/>
      <c r="AB45" s="569"/>
    </row>
    <row r="46" spans="1:28">
      <c r="A46" s="572"/>
      <c r="B46" s="573" t="s">
        <v>300</v>
      </c>
      <c r="C46" s="567">
        <f>SUM(C44:C45)</f>
        <v>25500</v>
      </c>
      <c r="D46" s="567">
        <f>SUM(D44:D45)</f>
        <v>26000</v>
      </c>
      <c r="E46" s="567">
        <f>SUM(E44:E45)</f>
        <v>26500</v>
      </c>
      <c r="F46" s="568">
        <f>SUM(C46:E46)</f>
        <v>78000</v>
      </c>
      <c r="G46" s="567">
        <f>SUM(G44:G45)</f>
        <v>27000</v>
      </c>
      <c r="H46" s="567">
        <f t="shared" ref="H46:W46" si="23">SUM(H44:H45)</f>
        <v>27500</v>
      </c>
      <c r="I46" s="567">
        <f t="shared" si="23"/>
        <v>28100</v>
      </c>
      <c r="J46" s="567">
        <f t="shared" si="23"/>
        <v>28700</v>
      </c>
      <c r="K46" s="567">
        <f t="shared" si="23"/>
        <v>29300</v>
      </c>
      <c r="L46" s="567">
        <f t="shared" si="23"/>
        <v>29900</v>
      </c>
      <c r="M46" s="567">
        <f t="shared" si="23"/>
        <v>30500</v>
      </c>
      <c r="N46" s="567">
        <f t="shared" si="23"/>
        <v>31100</v>
      </c>
      <c r="O46" s="567">
        <f t="shared" si="23"/>
        <v>31700</v>
      </c>
      <c r="P46" s="567">
        <f t="shared" si="23"/>
        <v>32300</v>
      </c>
      <c r="Q46" s="567">
        <f t="shared" si="23"/>
        <v>32900</v>
      </c>
      <c r="R46" s="567">
        <f t="shared" si="23"/>
        <v>33600</v>
      </c>
      <c r="S46" s="567">
        <f t="shared" si="23"/>
        <v>34300</v>
      </c>
      <c r="T46" s="567">
        <f t="shared" si="23"/>
        <v>35000</v>
      </c>
      <c r="U46" s="567">
        <f t="shared" si="23"/>
        <v>35700</v>
      </c>
      <c r="V46" s="567">
        <f t="shared" si="23"/>
        <v>36400</v>
      </c>
      <c r="W46" s="567">
        <f t="shared" si="23"/>
        <v>37100</v>
      </c>
      <c r="Z46" s="569"/>
      <c r="AA46" s="569"/>
      <c r="AB46" s="569"/>
    </row>
    <row r="47" spans="1:28">
      <c r="A47" s="561"/>
      <c r="B47" s="561"/>
      <c r="C47" s="567"/>
      <c r="D47" s="567"/>
      <c r="E47" s="567"/>
      <c r="F47" s="568"/>
      <c r="G47" s="567"/>
      <c r="H47" s="567"/>
      <c r="I47" s="567"/>
      <c r="J47" s="567"/>
      <c r="K47" s="567"/>
      <c r="L47" s="567"/>
      <c r="M47" s="567"/>
      <c r="Z47" s="575"/>
      <c r="AA47" s="576"/>
      <c r="AB47" s="577"/>
    </row>
    <row r="48" spans="1:28">
      <c r="A48" s="585" t="s">
        <v>4</v>
      </c>
      <c r="B48" s="561"/>
      <c r="C48" s="586">
        <f>+C46+C42+C39+C34+C28+C20+C10+C15</f>
        <v>230076</v>
      </c>
      <c r="D48" s="586">
        <f>+D46+D42+D39+D34+D28+D20+D10+D15</f>
        <v>234700</v>
      </c>
      <c r="E48" s="586">
        <f>+E46+E42+E39+E34+E28+E20+E10+E15</f>
        <v>239300</v>
      </c>
      <c r="F48" s="587">
        <f>SUM(C48:E48)</f>
        <v>704076</v>
      </c>
      <c r="G48" s="588">
        <f t="shared" ref="G48:W48" si="24">+G46+G42+G39+G34+G28+G20+G10+G15</f>
        <v>227500</v>
      </c>
      <c r="H48" s="588">
        <f t="shared" si="24"/>
        <v>231800</v>
      </c>
      <c r="I48" s="588">
        <f t="shared" si="24"/>
        <v>236200</v>
      </c>
      <c r="J48" s="588">
        <f t="shared" si="24"/>
        <v>240800</v>
      </c>
      <c r="K48" s="588">
        <f t="shared" si="24"/>
        <v>245600</v>
      </c>
      <c r="L48" s="588">
        <f t="shared" si="24"/>
        <v>250400</v>
      </c>
      <c r="M48" s="588">
        <f t="shared" si="24"/>
        <v>255300</v>
      </c>
      <c r="N48" s="588">
        <f t="shared" si="24"/>
        <v>260300</v>
      </c>
      <c r="O48" s="588">
        <f t="shared" si="24"/>
        <v>265500</v>
      </c>
      <c r="P48" s="588">
        <f t="shared" si="24"/>
        <v>270700</v>
      </c>
      <c r="Q48" s="588">
        <f t="shared" si="24"/>
        <v>275900</v>
      </c>
      <c r="R48" s="588">
        <f t="shared" si="24"/>
        <v>281200</v>
      </c>
      <c r="S48" s="588">
        <f t="shared" si="24"/>
        <v>286500</v>
      </c>
      <c r="T48" s="588">
        <f t="shared" si="24"/>
        <v>292000</v>
      </c>
      <c r="U48" s="588">
        <f t="shared" si="24"/>
        <v>297600</v>
      </c>
      <c r="V48" s="588">
        <f t="shared" si="24"/>
        <v>303300</v>
      </c>
      <c r="W48" s="588">
        <f t="shared" si="24"/>
        <v>309100</v>
      </c>
      <c r="Z48" s="575"/>
      <c r="AA48" s="576"/>
      <c r="AB48" s="569"/>
    </row>
    <row r="49" spans="1:28">
      <c r="A49" s="561"/>
      <c r="B49" s="561"/>
      <c r="C49" s="567"/>
      <c r="D49" s="567"/>
      <c r="E49" s="567"/>
      <c r="F49" s="567"/>
      <c r="G49" s="589"/>
      <c r="H49" s="589" t="s">
        <v>314</v>
      </c>
      <c r="I49" s="589"/>
      <c r="J49" s="589"/>
      <c r="K49" s="589"/>
      <c r="L49" s="589"/>
      <c r="M49" s="589"/>
      <c r="N49" s="590"/>
      <c r="O49" s="590"/>
      <c r="P49" s="590"/>
      <c r="Q49" s="590"/>
      <c r="R49" s="590"/>
      <c r="S49" s="590"/>
      <c r="T49" s="590"/>
      <c r="U49" s="590"/>
      <c r="V49" s="590"/>
      <c r="W49" s="590"/>
      <c r="Z49" s="569"/>
      <c r="AA49" s="569"/>
      <c r="AB49" s="569"/>
    </row>
    <row r="50" spans="1:28" ht="15.75" thickBot="1">
      <c r="A50" s="591" t="s">
        <v>315</v>
      </c>
      <c r="C50" s="592">
        <v>2337666</v>
      </c>
      <c r="D50" s="592">
        <v>2513980</v>
      </c>
      <c r="E50" s="592">
        <v>2696148</v>
      </c>
      <c r="F50" s="593">
        <v>7594547.3200000003</v>
      </c>
      <c r="G50" s="594">
        <v>2780381.5097812987</v>
      </c>
      <c r="H50" s="594">
        <v>2868773.1428995794</v>
      </c>
      <c r="I50" s="594">
        <v>2966063.1054125009</v>
      </c>
      <c r="J50" s="594">
        <v>3056968.2854802925</v>
      </c>
      <c r="K50" s="594">
        <v>3149248.6323778974</v>
      </c>
      <c r="L50" s="594">
        <v>3243315.0628957413</v>
      </c>
      <c r="M50" s="594">
        <v>3349072.2405931489</v>
      </c>
      <c r="N50" s="594">
        <v>3453508.289087642</v>
      </c>
      <c r="O50" s="595">
        <v>3568529.6637599426</v>
      </c>
      <c r="P50" s="595">
        <v>3648110.5881362669</v>
      </c>
      <c r="Q50" s="595">
        <v>3764670.9128333558</v>
      </c>
      <c r="R50" s="595">
        <v>3881651.4397072596</v>
      </c>
      <c r="S50" s="595">
        <v>4004169.2074811971</v>
      </c>
      <c r="T50" s="595">
        <v>4149095.186335424</v>
      </c>
      <c r="U50" s="595">
        <v>4273568.0419254871</v>
      </c>
      <c r="V50" s="595">
        <v>4401775.0831832513</v>
      </c>
      <c r="W50" s="595">
        <v>4533828.3356787488</v>
      </c>
      <c r="Z50" s="569"/>
      <c r="AA50" s="596"/>
      <c r="AB50" s="569"/>
    </row>
    <row r="51" spans="1:28" ht="15.75" thickTop="1">
      <c r="A51" s="597" t="s">
        <v>316</v>
      </c>
      <c r="B51" s="561"/>
      <c r="C51" s="598">
        <f>+C48/C50</f>
        <v>9.8421245806714908E-2</v>
      </c>
      <c r="D51" s="598">
        <f>+D48/D50</f>
        <v>9.3357942386176507E-2</v>
      </c>
      <c r="E51" s="598">
        <f>+E48/E50</f>
        <v>8.8756255220410751E-2</v>
      </c>
      <c r="F51" s="598">
        <f>+F48/F50</f>
        <v>9.2708093100669492E-2</v>
      </c>
      <c r="G51" s="598">
        <f t="shared" ref="G51:W51" si="25">+G48/G50</f>
        <v>8.1823303456616231E-2</v>
      </c>
      <c r="H51" s="598">
        <f t="shared" si="25"/>
        <v>8.0801091077459974E-2</v>
      </c>
      <c r="I51" s="598">
        <f t="shared" si="25"/>
        <v>7.9634178911763526E-2</v>
      </c>
      <c r="J51" s="598">
        <f t="shared" si="25"/>
        <v>7.8770853182785622E-2</v>
      </c>
      <c r="K51" s="598">
        <f t="shared" si="25"/>
        <v>7.7986856126553358E-2</v>
      </c>
      <c r="L51" s="598">
        <f t="shared" si="25"/>
        <v>7.7204957009768399E-2</v>
      </c>
      <c r="M51" s="598">
        <f t="shared" si="25"/>
        <v>7.6230066615339487E-2</v>
      </c>
      <c r="N51" s="598">
        <f t="shared" si="25"/>
        <v>7.5372629283240206E-2</v>
      </c>
      <c r="O51" s="598">
        <f t="shared" si="25"/>
        <v>7.4400390361406943E-2</v>
      </c>
      <c r="P51" s="598">
        <f t="shared" si="25"/>
        <v>7.4202794421946022E-2</v>
      </c>
      <c r="Q51" s="598">
        <f t="shared" si="25"/>
        <v>7.3286618243174131E-2</v>
      </c>
      <c r="R51" s="598">
        <f t="shared" si="25"/>
        <v>7.2443392810459847E-2</v>
      </c>
      <c r="S51" s="598">
        <f t="shared" si="25"/>
        <v>7.1550422860431867E-2</v>
      </c>
      <c r="T51" s="598">
        <f t="shared" si="25"/>
        <v>7.0376789850873755E-2</v>
      </c>
      <c r="U51" s="598">
        <f t="shared" si="25"/>
        <v>6.9637360884492711E-2</v>
      </c>
      <c r="V51" s="598">
        <f t="shared" si="25"/>
        <v>6.8904020370950253E-2</v>
      </c>
      <c r="W51" s="598">
        <f t="shared" si="25"/>
        <v>6.8176379235083101E-2</v>
      </c>
    </row>
    <row r="52" spans="1:28">
      <c r="A52" s="561"/>
      <c r="B52" s="561"/>
      <c r="C52" s="565"/>
      <c r="D52" s="565"/>
      <c r="E52" s="565"/>
      <c r="F52" s="599"/>
      <c r="G52" s="565"/>
      <c r="H52" s="565"/>
      <c r="I52" s="565"/>
      <c r="J52" s="565"/>
      <c r="K52" s="565"/>
      <c r="L52" s="565"/>
      <c r="M52" s="565"/>
    </row>
    <row r="53" spans="1:28">
      <c r="A53" s="561"/>
      <c r="B53" s="561"/>
      <c r="C53" s="796"/>
      <c r="D53" s="796"/>
      <c r="E53" s="796"/>
      <c r="F53" s="796"/>
      <c r="G53" s="797"/>
      <c r="H53" s="798"/>
      <c r="I53" s="565"/>
      <c r="J53" s="565"/>
      <c r="K53" s="565"/>
      <c r="L53" s="565"/>
      <c r="M53" s="565"/>
    </row>
    <row r="54" spans="1:28">
      <c r="A54" s="561"/>
      <c r="B54" s="561"/>
      <c r="C54" s="799"/>
      <c r="D54" s="565"/>
      <c r="E54" s="565"/>
      <c r="F54" s="565">
        <f>F48+'BED TEPF NRA'!E12</f>
        <v>736976</v>
      </c>
      <c r="G54" s="565"/>
      <c r="H54" s="565"/>
      <c r="I54" s="565"/>
      <c r="J54" s="565"/>
      <c r="K54" s="565"/>
      <c r="L54" s="565"/>
      <c r="M54" s="565"/>
    </row>
    <row r="55" spans="1:28" s="600" customFormat="1">
      <c r="A55" s="561"/>
      <c r="B55" s="561"/>
      <c r="C55" s="565"/>
      <c r="D55" s="565"/>
      <c r="E55" s="565"/>
      <c r="F55" s="565"/>
      <c r="G55" s="565"/>
      <c r="H55" s="565"/>
      <c r="I55" s="565"/>
      <c r="J55" s="565"/>
      <c r="K55" s="565"/>
      <c r="L55" s="565"/>
      <c r="M55" s="565"/>
    </row>
    <row r="56" spans="1:28" s="600" customFormat="1">
      <c r="A56" s="800"/>
      <c r="B56" s="561"/>
      <c r="C56" s="565"/>
      <c r="D56" s="565"/>
      <c r="E56" s="565"/>
      <c r="F56" s="565"/>
      <c r="G56" s="565"/>
      <c r="H56" s="565"/>
      <c r="I56" s="565"/>
      <c r="J56" s="565"/>
      <c r="K56" s="565"/>
      <c r="L56" s="565"/>
      <c r="M56" s="565"/>
    </row>
    <row r="57" spans="1:28" s="600" customFormat="1">
      <c r="A57" s="561"/>
      <c r="B57" s="561"/>
      <c r="C57" s="565"/>
      <c r="D57" s="565"/>
      <c r="E57" s="565"/>
      <c r="F57" s="565"/>
      <c r="G57" s="565"/>
      <c r="H57" s="565"/>
      <c r="I57" s="565"/>
      <c r="J57" s="565"/>
      <c r="K57" s="565"/>
      <c r="L57" s="565"/>
      <c r="M57" s="565"/>
    </row>
    <row r="58" spans="1:28" s="600" customFormat="1">
      <c r="A58" s="561"/>
      <c r="B58" s="561"/>
      <c r="C58" s="561"/>
      <c r="D58" s="561"/>
      <c r="E58" s="565"/>
      <c r="F58" s="601"/>
      <c r="G58" s="565"/>
      <c r="H58" s="565"/>
      <c r="I58" s="565"/>
      <c r="J58" s="565"/>
      <c r="K58" s="565"/>
      <c r="L58" s="565"/>
      <c r="M58" s="565"/>
    </row>
    <row r="59" spans="1:28" s="600" customFormat="1">
      <c r="A59" s="561"/>
      <c r="B59" s="601"/>
      <c r="C59" s="601"/>
      <c r="D59" s="601"/>
      <c r="E59" s="565"/>
      <c r="F59" s="601"/>
      <c r="G59" s="565"/>
      <c r="H59" s="565"/>
      <c r="I59" s="565"/>
      <c r="J59" s="565"/>
      <c r="K59" s="565"/>
      <c r="L59" s="565"/>
      <c r="M59" s="565"/>
    </row>
    <row r="60" spans="1:28" s="600" customFormat="1">
      <c r="A60" s="561"/>
      <c r="B60" s="602"/>
      <c r="C60" s="602"/>
      <c r="D60" s="603"/>
      <c r="E60" s="561"/>
      <c r="F60" s="567"/>
      <c r="G60" s="561"/>
      <c r="H60" s="561"/>
      <c r="I60" s="561"/>
      <c r="J60" s="561"/>
      <c r="K60" s="561"/>
      <c r="L60" s="561"/>
      <c r="M60" s="561"/>
    </row>
    <row r="61" spans="1:28" s="600" customFormat="1">
      <c r="A61" s="561"/>
      <c r="B61" s="602"/>
      <c r="C61" s="602"/>
      <c r="D61" s="601"/>
      <c r="E61" s="561"/>
      <c r="F61" s="567"/>
      <c r="G61" s="561"/>
      <c r="H61" s="561"/>
      <c r="I61" s="561"/>
      <c r="J61" s="561"/>
      <c r="K61" s="561"/>
      <c r="L61" s="561"/>
      <c r="M61" s="561"/>
    </row>
    <row r="62" spans="1:28" s="600" customFormat="1">
      <c r="A62" s="561"/>
      <c r="B62" s="602"/>
      <c r="C62" s="602"/>
      <c r="D62" s="601"/>
      <c r="E62" s="561"/>
      <c r="F62" s="567"/>
      <c r="G62" s="561"/>
      <c r="H62" s="561"/>
      <c r="I62" s="561"/>
      <c r="J62" s="561"/>
      <c r="K62" s="561"/>
      <c r="L62" s="561"/>
      <c r="M62" s="561"/>
    </row>
    <row r="63" spans="1:28" s="600" customFormat="1">
      <c r="A63" s="561"/>
      <c r="B63" s="602"/>
      <c r="C63" s="602"/>
      <c r="D63" s="601"/>
      <c r="E63" s="561"/>
      <c r="F63" s="567"/>
      <c r="G63" s="561"/>
      <c r="H63" s="561"/>
      <c r="I63" s="561"/>
      <c r="J63" s="561"/>
      <c r="K63" s="561"/>
      <c r="L63" s="561"/>
      <c r="M63" s="561"/>
    </row>
    <row r="64" spans="1:28" s="600" customFormat="1">
      <c r="A64" s="561"/>
      <c r="B64" s="561"/>
      <c r="C64" s="561"/>
      <c r="D64" s="561"/>
      <c r="E64" s="561"/>
      <c r="F64" s="567"/>
      <c r="G64" s="561"/>
      <c r="H64" s="561"/>
      <c r="I64" s="561"/>
      <c r="J64" s="561"/>
      <c r="K64" s="561"/>
      <c r="L64" s="561"/>
      <c r="M64" s="561"/>
    </row>
    <row r="65" spans="2:3" s="600" customFormat="1"/>
    <row r="67" spans="2:3">
      <c r="C67" s="604"/>
    </row>
    <row r="73" spans="2:3">
      <c r="B73" s="605"/>
    </row>
    <row r="74" spans="2:3">
      <c r="B74" s="605"/>
      <c r="C74" s="606"/>
    </row>
    <row r="77" spans="2:3">
      <c r="B77" s="605"/>
    </row>
    <row r="85" spans="2:3">
      <c r="B85" s="605"/>
      <c r="C85" s="590"/>
    </row>
    <row r="86" spans="2:3">
      <c r="C86" s="590"/>
    </row>
    <row r="87" spans="2:3">
      <c r="C87" s="607"/>
    </row>
    <row r="92" spans="2:3">
      <c r="B92" s="605"/>
    </row>
    <row r="93" spans="2:3">
      <c r="B93" s="605"/>
    </row>
    <row r="94" spans="2:3">
      <c r="B94" s="605"/>
    </row>
    <row r="95" spans="2:3">
      <c r="B95" s="605"/>
    </row>
    <row r="96" spans="2:3">
      <c r="B96" s="605"/>
    </row>
    <row r="99" spans="2:2">
      <c r="B99" s="605"/>
    </row>
    <row r="102" spans="2:2">
      <c r="B102" s="605"/>
    </row>
    <row r="103" spans="2:2">
      <c r="B103" s="605"/>
    </row>
    <row r="104" spans="2:2">
      <c r="B104" s="605"/>
    </row>
    <row r="105" spans="2:2">
      <c r="B105" s="605"/>
    </row>
    <row r="106" spans="2:2">
      <c r="B106" s="605"/>
    </row>
    <row r="107" spans="2:2">
      <c r="B107" s="605"/>
    </row>
    <row r="108" spans="2:2">
      <c r="B108" s="605"/>
    </row>
    <row r="112" spans="2:2">
      <c r="B112" s="605"/>
    </row>
    <row r="113" spans="2:2">
      <c r="B113" s="605"/>
    </row>
    <row r="114" spans="2:2">
      <c r="B114" s="605"/>
    </row>
    <row r="115" spans="2:2">
      <c r="B115" s="605"/>
    </row>
    <row r="118" spans="2:2">
      <c r="B118" s="605"/>
    </row>
    <row r="119" spans="2:2">
      <c r="B119" s="605"/>
    </row>
    <row r="120" spans="2:2">
      <c r="B120" s="605"/>
    </row>
    <row r="121" spans="2:2">
      <c r="B121" s="605"/>
    </row>
    <row r="125" spans="2:2">
      <c r="B125" s="608"/>
    </row>
    <row r="126" spans="2:2">
      <c r="B126" s="605"/>
    </row>
    <row r="127" spans="2:2">
      <c r="B127" s="605"/>
    </row>
    <row r="128" spans="2:2">
      <c r="B128" s="605"/>
    </row>
    <row r="132" spans="2:2">
      <c r="B132" s="609"/>
    </row>
    <row r="133" spans="2:2">
      <c r="B133" s="605"/>
    </row>
    <row r="134" spans="2:2">
      <c r="B134" s="605"/>
    </row>
    <row r="135" spans="2:2">
      <c r="B135" s="605"/>
    </row>
  </sheetData>
  <pageMargins left="0.7" right="0.7" top="0.75" bottom="0.75" header="0.3" footer="0.3"/>
  <legacyDrawing r:id="rId1"/>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92D050"/>
  </sheetPr>
  <dimension ref="A1:L24"/>
  <sheetViews>
    <sheetView workbookViewId="0">
      <selection activeCell="B17" sqref="B17"/>
    </sheetView>
  </sheetViews>
  <sheetFormatPr defaultRowHeight="15"/>
  <cols>
    <col min="1" max="1" width="52" customWidth="1"/>
    <col min="2" max="2" width="11" style="311" customWidth="1"/>
    <col min="3" max="3" width="11.140625" style="311" customWidth="1"/>
    <col min="4" max="4" width="10.5703125" style="311" customWidth="1"/>
    <col min="5" max="5" width="11.140625" style="311" customWidth="1"/>
    <col min="6" max="6" width="11.28515625" style="311" customWidth="1"/>
    <col min="7" max="7" width="13.28515625" style="311" customWidth="1"/>
    <col min="8" max="8" width="11.7109375" style="311" customWidth="1"/>
    <col min="9" max="9" width="12.5703125" style="311" customWidth="1"/>
    <col min="10" max="10" width="12.7109375" style="311" customWidth="1"/>
    <col min="11" max="11" width="13.140625" style="311" customWidth="1"/>
    <col min="12" max="12" width="12.5703125" style="311" customWidth="1"/>
  </cols>
  <sheetData>
    <row r="1" spans="1:12" ht="18.75">
      <c r="A1" s="80" t="s">
        <v>317</v>
      </c>
      <c r="B1" s="610"/>
    </row>
    <row r="2" spans="1:12">
      <c r="A2" s="611"/>
      <c r="E2" s="612"/>
    </row>
    <row r="3" spans="1:12">
      <c r="A3" s="613" t="s">
        <v>266</v>
      </c>
      <c r="B3" s="614">
        <v>2015</v>
      </c>
      <c r="C3" s="614">
        <v>2016</v>
      </c>
      <c r="D3" s="614">
        <v>2017</v>
      </c>
      <c r="E3" s="615" t="s">
        <v>267</v>
      </c>
      <c r="F3" s="614">
        <f>+D3+1</f>
        <v>2018</v>
      </c>
      <c r="G3" s="614">
        <f>+F3+1</f>
        <v>2019</v>
      </c>
      <c r="H3" s="614">
        <f t="shared" ref="H3:L3" si="0">+G3+1</f>
        <v>2020</v>
      </c>
      <c r="I3" s="614">
        <f t="shared" si="0"/>
        <v>2021</v>
      </c>
      <c r="J3" s="614">
        <f t="shared" si="0"/>
        <v>2022</v>
      </c>
      <c r="K3" s="614">
        <f t="shared" si="0"/>
        <v>2023</v>
      </c>
      <c r="L3" s="614">
        <f t="shared" si="0"/>
        <v>2024</v>
      </c>
    </row>
    <row r="4" spans="1:12">
      <c r="A4" s="616"/>
      <c r="B4" s="617"/>
      <c r="C4" s="617"/>
      <c r="D4" s="617"/>
      <c r="E4" s="618"/>
      <c r="F4" s="619"/>
      <c r="G4" s="619"/>
      <c r="H4" s="619"/>
      <c r="I4" s="619"/>
      <c r="J4" s="619"/>
      <c r="K4" s="619"/>
      <c r="L4" s="619"/>
    </row>
    <row r="5" spans="1:12">
      <c r="A5" s="620" t="s">
        <v>318</v>
      </c>
      <c r="B5" s="621">
        <v>2500</v>
      </c>
      <c r="C5" s="621">
        <f t="shared" ref="C5:D11" si="1">+ROUND(B5*1.02,-2)</f>
        <v>2600</v>
      </c>
      <c r="D5" s="621">
        <f t="shared" si="1"/>
        <v>2700</v>
      </c>
      <c r="E5" s="622">
        <f t="shared" ref="E5:E11" si="2">SUM(B5:D5)</f>
        <v>7800</v>
      </c>
      <c r="F5" s="621">
        <f t="shared" ref="F5:F11" si="3">+ROUND(D5*1.02,-2)</f>
        <v>2800</v>
      </c>
      <c r="G5" s="621">
        <f t="shared" ref="G5:L11" si="4">+ROUND(F5*1.02,-2)</f>
        <v>2900</v>
      </c>
      <c r="H5" s="621">
        <f t="shared" si="4"/>
        <v>3000</v>
      </c>
      <c r="I5" s="621">
        <f t="shared" si="4"/>
        <v>3100</v>
      </c>
      <c r="J5" s="621">
        <f t="shared" si="4"/>
        <v>3200</v>
      </c>
      <c r="K5" s="621">
        <f t="shared" si="4"/>
        <v>3300</v>
      </c>
      <c r="L5" s="621">
        <f t="shared" si="4"/>
        <v>3400</v>
      </c>
    </row>
    <row r="6" spans="1:12">
      <c r="A6" s="620" t="s">
        <v>319</v>
      </c>
      <c r="B6" s="621">
        <v>1000</v>
      </c>
      <c r="C6" s="621">
        <f t="shared" si="1"/>
        <v>1000</v>
      </c>
      <c r="D6" s="621">
        <f t="shared" si="1"/>
        <v>1000</v>
      </c>
      <c r="E6" s="622">
        <f t="shared" si="2"/>
        <v>3000</v>
      </c>
      <c r="F6" s="621">
        <f t="shared" si="3"/>
        <v>1000</v>
      </c>
      <c r="G6" s="621">
        <f t="shared" si="4"/>
        <v>1000</v>
      </c>
      <c r="H6" s="621">
        <f t="shared" si="4"/>
        <v>1000</v>
      </c>
      <c r="I6" s="621">
        <f t="shared" si="4"/>
        <v>1000</v>
      </c>
      <c r="J6" s="621">
        <f t="shared" si="4"/>
        <v>1000</v>
      </c>
      <c r="K6" s="621">
        <f t="shared" si="4"/>
        <v>1000</v>
      </c>
      <c r="L6" s="621">
        <f t="shared" si="4"/>
        <v>1000</v>
      </c>
    </row>
    <row r="7" spans="1:12">
      <c r="A7" s="620" t="s">
        <v>98</v>
      </c>
      <c r="B7" s="621">
        <v>1250</v>
      </c>
      <c r="C7" s="621">
        <f t="shared" si="1"/>
        <v>1300</v>
      </c>
      <c r="D7" s="621">
        <f t="shared" si="1"/>
        <v>1300</v>
      </c>
      <c r="E7" s="622">
        <f t="shared" si="2"/>
        <v>3850</v>
      </c>
      <c r="F7" s="621">
        <f t="shared" si="3"/>
        <v>1300</v>
      </c>
      <c r="G7" s="621">
        <f t="shared" si="4"/>
        <v>1300</v>
      </c>
      <c r="H7" s="621">
        <f t="shared" si="4"/>
        <v>1300</v>
      </c>
      <c r="I7" s="621">
        <f t="shared" si="4"/>
        <v>1300</v>
      </c>
      <c r="J7" s="621">
        <f t="shared" si="4"/>
        <v>1300</v>
      </c>
      <c r="K7" s="621">
        <f t="shared" si="4"/>
        <v>1300</v>
      </c>
      <c r="L7" s="621">
        <f t="shared" si="4"/>
        <v>1300</v>
      </c>
    </row>
    <row r="8" spans="1:12">
      <c r="A8" s="620" t="s">
        <v>104</v>
      </c>
      <c r="B8" s="621">
        <v>750</v>
      </c>
      <c r="C8" s="621">
        <f t="shared" si="1"/>
        <v>800</v>
      </c>
      <c r="D8" s="621">
        <f t="shared" si="1"/>
        <v>800</v>
      </c>
      <c r="E8" s="622">
        <f t="shared" si="2"/>
        <v>2350</v>
      </c>
      <c r="F8" s="621">
        <f t="shared" si="3"/>
        <v>800</v>
      </c>
      <c r="G8" s="621">
        <f t="shared" si="4"/>
        <v>800</v>
      </c>
      <c r="H8" s="621">
        <f t="shared" si="4"/>
        <v>800</v>
      </c>
      <c r="I8" s="621">
        <f t="shared" si="4"/>
        <v>800</v>
      </c>
      <c r="J8" s="621">
        <f t="shared" si="4"/>
        <v>800</v>
      </c>
      <c r="K8" s="621">
        <f t="shared" si="4"/>
        <v>800</v>
      </c>
      <c r="L8" s="621">
        <f t="shared" si="4"/>
        <v>800</v>
      </c>
    </row>
    <row r="9" spans="1:12">
      <c r="A9" s="620" t="s">
        <v>110</v>
      </c>
      <c r="B9" s="621">
        <v>1000</v>
      </c>
      <c r="C9" s="621">
        <f t="shared" si="1"/>
        <v>1000</v>
      </c>
      <c r="D9" s="621">
        <f t="shared" si="1"/>
        <v>1000</v>
      </c>
      <c r="E9" s="622">
        <f t="shared" si="2"/>
        <v>3000</v>
      </c>
      <c r="F9" s="621">
        <f t="shared" si="3"/>
        <v>1000</v>
      </c>
      <c r="G9" s="621">
        <f t="shared" si="4"/>
        <v>1000</v>
      </c>
      <c r="H9" s="621">
        <f t="shared" si="4"/>
        <v>1000</v>
      </c>
      <c r="I9" s="621">
        <f t="shared" si="4"/>
        <v>1000</v>
      </c>
      <c r="J9" s="621">
        <f t="shared" si="4"/>
        <v>1000</v>
      </c>
      <c r="K9" s="621">
        <f t="shared" si="4"/>
        <v>1000</v>
      </c>
      <c r="L9" s="621">
        <f t="shared" si="4"/>
        <v>1000</v>
      </c>
    </row>
    <row r="10" spans="1:12">
      <c r="A10" s="620" t="s">
        <v>320</v>
      </c>
      <c r="B10" s="621">
        <v>750</v>
      </c>
      <c r="C10" s="621">
        <f t="shared" si="1"/>
        <v>800</v>
      </c>
      <c r="D10" s="621">
        <f t="shared" si="1"/>
        <v>800</v>
      </c>
      <c r="E10" s="622">
        <f t="shared" si="2"/>
        <v>2350</v>
      </c>
      <c r="F10" s="621">
        <f t="shared" si="3"/>
        <v>800</v>
      </c>
      <c r="G10" s="621">
        <f t="shared" si="4"/>
        <v>800</v>
      </c>
      <c r="H10" s="621">
        <f t="shared" si="4"/>
        <v>800</v>
      </c>
      <c r="I10" s="621">
        <f t="shared" si="4"/>
        <v>800</v>
      </c>
      <c r="J10" s="621">
        <f t="shared" si="4"/>
        <v>800</v>
      </c>
      <c r="K10" s="621">
        <f t="shared" si="4"/>
        <v>800</v>
      </c>
      <c r="L10" s="621">
        <f t="shared" si="4"/>
        <v>800</v>
      </c>
    </row>
    <row r="11" spans="1:12">
      <c r="A11" s="620" t="s">
        <v>118</v>
      </c>
      <c r="B11" s="623">
        <v>3450</v>
      </c>
      <c r="C11" s="623">
        <f t="shared" si="1"/>
        <v>3500</v>
      </c>
      <c r="D11" s="623">
        <f t="shared" si="1"/>
        <v>3600</v>
      </c>
      <c r="E11" s="624">
        <f t="shared" si="2"/>
        <v>10550</v>
      </c>
      <c r="F11" s="623">
        <f t="shared" si="3"/>
        <v>3700</v>
      </c>
      <c r="G11" s="623">
        <f t="shared" si="4"/>
        <v>3800</v>
      </c>
      <c r="H11" s="623">
        <f t="shared" si="4"/>
        <v>3900</v>
      </c>
      <c r="I11" s="623">
        <f t="shared" si="4"/>
        <v>4000</v>
      </c>
      <c r="J11" s="623">
        <f t="shared" si="4"/>
        <v>4100</v>
      </c>
      <c r="K11" s="623">
        <f t="shared" si="4"/>
        <v>4200</v>
      </c>
      <c r="L11" s="623">
        <f t="shared" si="4"/>
        <v>4300</v>
      </c>
    </row>
    <row r="12" spans="1:12">
      <c r="A12" s="625" t="s">
        <v>248</v>
      </c>
      <c r="B12" s="621">
        <f>SUM(B4:B11)</f>
        <v>10700</v>
      </c>
      <c r="C12" s="621">
        <f>SUM(C4:C11)</f>
        <v>11000</v>
      </c>
      <c r="D12" s="621">
        <f>SUM(D4:D11)</f>
        <v>11200</v>
      </c>
      <c r="E12" s="622">
        <f>SUM(B12:D12)</f>
        <v>32900</v>
      </c>
      <c r="F12" s="621">
        <f t="shared" ref="F12:L12" si="5">SUM(F4:F11)</f>
        <v>11400</v>
      </c>
      <c r="G12" s="621">
        <f t="shared" si="5"/>
        <v>11600</v>
      </c>
      <c r="H12" s="621">
        <f t="shared" si="5"/>
        <v>11800</v>
      </c>
      <c r="I12" s="621">
        <f t="shared" si="5"/>
        <v>12000</v>
      </c>
      <c r="J12" s="621">
        <f t="shared" si="5"/>
        <v>12200</v>
      </c>
      <c r="K12" s="621">
        <f t="shared" si="5"/>
        <v>12400</v>
      </c>
      <c r="L12" s="621">
        <f t="shared" si="5"/>
        <v>12600</v>
      </c>
    </row>
    <row r="13" spans="1:12">
      <c r="A13" s="626"/>
      <c r="B13" s="627"/>
      <c r="C13" s="627"/>
      <c r="D13" s="627"/>
      <c r="E13" s="628"/>
      <c r="F13" s="627"/>
      <c r="G13" s="627"/>
      <c r="H13" s="627"/>
      <c r="I13" s="627"/>
      <c r="J13" s="627"/>
      <c r="K13" s="627"/>
      <c r="L13" s="627"/>
    </row>
    <row r="14" spans="1:12">
      <c r="A14" s="626"/>
      <c r="B14" s="627"/>
      <c r="C14" s="627"/>
      <c r="D14" s="627"/>
      <c r="E14" s="628"/>
      <c r="F14" s="627"/>
      <c r="G14" s="627"/>
      <c r="H14" s="627"/>
      <c r="I14" s="627"/>
      <c r="J14" s="627"/>
      <c r="K14" s="627"/>
      <c r="L14" s="627"/>
    </row>
    <row r="15" spans="1:12">
      <c r="A15" s="629" t="s">
        <v>268</v>
      </c>
      <c r="B15" s="247">
        <v>107100</v>
      </c>
      <c r="C15" s="247">
        <f>B15*1.02</f>
        <v>109242</v>
      </c>
      <c r="D15" s="247">
        <f t="shared" ref="D15" si="6">C15*1.02</f>
        <v>111426.84</v>
      </c>
      <c r="E15" s="630">
        <f>SUM(B15:D15)</f>
        <v>327768.83999999997</v>
      </c>
      <c r="F15" s="247">
        <f>D15*1.02</f>
        <v>113655.3768</v>
      </c>
      <c r="G15" s="247">
        <f t="shared" ref="G15:L15" si="7">F15*1.02</f>
        <v>115928.48433599999</v>
      </c>
      <c r="H15" s="247">
        <f t="shared" si="7"/>
        <v>118247.05402272</v>
      </c>
      <c r="I15" s="247">
        <f t="shared" si="7"/>
        <v>120611.9951031744</v>
      </c>
      <c r="J15" s="247">
        <f t="shared" si="7"/>
        <v>123024.23500523789</v>
      </c>
      <c r="K15" s="247">
        <f t="shared" si="7"/>
        <v>125484.71970534265</v>
      </c>
      <c r="L15" s="247">
        <f t="shared" si="7"/>
        <v>127994.41409944951</v>
      </c>
    </row>
    <row r="16" spans="1:12">
      <c r="A16" s="631" t="s">
        <v>321</v>
      </c>
      <c r="B16" s="632">
        <f>+B12/B15</f>
        <v>9.990662931839403E-2</v>
      </c>
      <c r="C16" s="633">
        <f t="shared" ref="C16:L16" si="8">+C12/C15</f>
        <v>0.10069387232016989</v>
      </c>
      <c r="D16" s="633">
        <f t="shared" si="8"/>
        <v>0.10051438235168475</v>
      </c>
      <c r="E16" s="633">
        <f t="shared" si="8"/>
        <v>0.10037561837787876</v>
      </c>
      <c r="F16" s="633">
        <f t="shared" si="8"/>
        <v>0.10030321768287868</v>
      </c>
      <c r="G16" s="633">
        <f t="shared" si="8"/>
        <v>0.10006168946692405</v>
      </c>
      <c r="H16" s="633">
        <f t="shared" si="8"/>
        <v>9.9791069617114925E-2</v>
      </c>
      <c r="I16" s="633">
        <f t="shared" si="8"/>
        <v>9.949259184159015E-2</v>
      </c>
      <c r="J16" s="633">
        <f t="shared" si="8"/>
        <v>9.9167452652565338E-2</v>
      </c>
      <c r="K16" s="633">
        <f t="shared" si="8"/>
        <v>9.8816812350675839E-2</v>
      </c>
      <c r="L16" s="633">
        <f t="shared" si="8"/>
        <v>9.8441795985018621E-2</v>
      </c>
    </row>
    <row r="17" spans="1:12" ht="15.75">
      <c r="A17" s="634"/>
      <c r="B17" s="635"/>
      <c r="C17" s="635"/>
      <c r="D17" s="635"/>
      <c r="E17" s="636"/>
      <c r="F17"/>
      <c r="G17"/>
      <c r="H17"/>
      <c r="I17"/>
      <c r="J17"/>
      <c r="K17"/>
      <c r="L17"/>
    </row>
    <row r="18" spans="1:12" ht="15.75">
      <c r="A18" s="637"/>
      <c r="B18" s="635"/>
      <c r="C18" s="635"/>
      <c r="D18" s="635"/>
      <c r="E18" s="636"/>
      <c r="F18"/>
      <c r="G18"/>
      <c r="H18"/>
      <c r="I18"/>
      <c r="J18"/>
      <c r="K18"/>
      <c r="L18"/>
    </row>
    <row r="19" spans="1:12" ht="15.75">
      <c r="A19" s="638"/>
      <c r="B19" s="635"/>
      <c r="C19" s="635"/>
      <c r="D19" s="635"/>
      <c r="E19" s="636"/>
      <c r="F19"/>
      <c r="G19"/>
      <c r="H19"/>
      <c r="I19"/>
      <c r="J19"/>
      <c r="K19"/>
      <c r="L19"/>
    </row>
    <row r="20" spans="1:12" ht="15.75">
      <c r="A20" s="639"/>
      <c r="B20" s="640"/>
      <c r="C20" s="640"/>
      <c r="D20" s="640"/>
      <c r="E20" s="640"/>
      <c r="F20"/>
      <c r="G20"/>
      <c r="H20"/>
      <c r="I20"/>
      <c r="J20"/>
      <c r="K20"/>
      <c r="L20"/>
    </row>
    <row r="21" spans="1:12" ht="15.75">
      <c r="A21" s="639"/>
      <c r="B21" s="640"/>
      <c r="C21" s="640"/>
      <c r="D21" s="640"/>
      <c r="E21" s="640"/>
      <c r="F21"/>
      <c r="G21"/>
      <c r="H21"/>
      <c r="I21"/>
      <c r="J21"/>
      <c r="K21"/>
      <c r="L21"/>
    </row>
    <row r="24" spans="1:12">
      <c r="B24" s="311" t="s">
        <v>165</v>
      </c>
    </row>
  </sheetData>
  <pageMargins left="0.7" right="0.7" top="0.75" bottom="0.75" header="0.3" footer="0.3"/>
  <legacyDrawing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A1:U43"/>
  <sheetViews>
    <sheetView topLeftCell="I1" workbookViewId="0">
      <selection activeCell="U32" sqref="U32"/>
    </sheetView>
  </sheetViews>
  <sheetFormatPr defaultColWidth="9.140625" defaultRowHeight="15"/>
  <cols>
    <col min="1" max="1" width="56.7109375" style="253" customWidth="1"/>
    <col min="2" max="3" width="11.85546875" style="253" bestFit="1" customWidth="1"/>
    <col min="4" max="4" width="12.42578125" style="378" bestFit="1" customWidth="1"/>
    <col min="5" max="21" width="11.85546875" style="253" bestFit="1" customWidth="1"/>
    <col min="22" max="24" width="11.140625" style="253" bestFit="1" customWidth="1"/>
    <col min="25" max="16384" width="9.140625" style="253"/>
  </cols>
  <sheetData>
    <row r="1" spans="1:21" ht="15.75">
      <c r="A1" s="377" t="s">
        <v>229</v>
      </c>
    </row>
    <row r="2" spans="1:21">
      <c r="A2" s="378" t="s">
        <v>447</v>
      </c>
      <c r="B2" s="378">
        <f>B4/B14</f>
        <v>1.0246312974565055</v>
      </c>
      <c r="C2" s="378">
        <f t="shared" ref="C2:U2" si="0">C4/C14</f>
        <v>1.0437547981616924</v>
      </c>
      <c r="D2" s="378">
        <f t="shared" si="0"/>
        <v>1.0634341122555988</v>
      </c>
      <c r="E2" s="378">
        <f t="shared" si="0"/>
        <v>1.0844614456042778</v>
      </c>
      <c r="F2" s="378">
        <f t="shared" si="0"/>
        <v>1.1058211406949296</v>
      </c>
      <c r="G2" s="378">
        <f t="shared" si="0"/>
        <v>1.1276339502295831</v>
      </c>
      <c r="H2" s="378">
        <f t="shared" si="0"/>
        <v>1.14994869845609</v>
      </c>
      <c r="I2" s="378">
        <f t="shared" si="0"/>
        <v>1.1726375968295735</v>
      </c>
      <c r="J2" s="378">
        <f t="shared" si="0"/>
        <v>1.1957935846456944</v>
      </c>
      <c r="K2" s="378">
        <f t="shared" si="0"/>
        <v>1.2194159079097142</v>
      </c>
      <c r="L2" s="378">
        <f t="shared" si="0"/>
        <v>1.2435337856601723</v>
      </c>
      <c r="M2" s="378">
        <f t="shared" si="0"/>
        <v>1.268158750661144</v>
      </c>
      <c r="N2" s="378">
        <f t="shared" si="0"/>
        <v>1.2934154695635658</v>
      </c>
      <c r="O2" s="378">
        <f t="shared" si="0"/>
        <v>1.3190386084064099</v>
      </c>
      <c r="P2" s="378">
        <f t="shared" si="0"/>
        <v>1.3451869763752775</v>
      </c>
      <c r="Q2" s="378">
        <f t="shared" si="0"/>
        <v>1.3717919649785484</v>
      </c>
      <c r="R2" s="378">
        <f t="shared" si="0"/>
        <v>1.3988635509794822</v>
      </c>
      <c r="S2" s="378">
        <f t="shared" si="0"/>
        <v>1.4029165756657032</v>
      </c>
      <c r="T2" s="378">
        <f t="shared" si="0"/>
        <v>1.4213132520879166</v>
      </c>
      <c r="U2" s="378">
        <f t="shared" si="0"/>
        <v>1.4391161584549377</v>
      </c>
    </row>
    <row r="3" spans="1:21">
      <c r="A3" s="380" t="s">
        <v>230</v>
      </c>
      <c r="B3" s="381">
        <v>2015</v>
      </c>
      <c r="C3" s="382">
        <v>2016</v>
      </c>
      <c r="D3" s="383">
        <v>2017</v>
      </c>
      <c r="E3" s="382">
        <v>2018</v>
      </c>
      <c r="F3" s="383">
        <v>2019</v>
      </c>
      <c r="G3" s="382">
        <v>2020</v>
      </c>
      <c r="H3" s="383">
        <v>2021</v>
      </c>
      <c r="I3" s="382">
        <v>2022</v>
      </c>
      <c r="J3" s="383">
        <v>2023</v>
      </c>
      <c r="K3" s="382">
        <v>2024</v>
      </c>
      <c r="L3" s="383">
        <v>2025</v>
      </c>
      <c r="M3" s="382">
        <v>2026</v>
      </c>
      <c r="N3" s="383">
        <v>2027</v>
      </c>
      <c r="O3" s="382">
        <v>2028</v>
      </c>
      <c r="P3" s="383">
        <v>2029</v>
      </c>
      <c r="Q3" s="382">
        <v>2030</v>
      </c>
      <c r="R3" s="384">
        <v>2031</v>
      </c>
      <c r="S3" s="383">
        <v>2032</v>
      </c>
      <c r="T3" s="382">
        <v>2033</v>
      </c>
      <c r="U3" s="384">
        <v>2034</v>
      </c>
    </row>
    <row r="4" spans="1:21">
      <c r="A4" s="385" t="s">
        <v>231</v>
      </c>
      <c r="B4" s="322">
        <v>40340758.812160082</v>
      </c>
      <c r="C4" s="386">
        <v>43469256.079039998</v>
      </c>
      <c r="D4" s="326">
        <v>46584794.721468762</v>
      </c>
      <c r="E4" s="386">
        <v>48034050.810150273</v>
      </c>
      <c r="F4" s="326">
        <v>49645840.111498863</v>
      </c>
      <c r="G4" s="386">
        <v>51279153.886690289</v>
      </c>
      <c r="H4" s="326">
        <v>52828643.207072772</v>
      </c>
      <c r="I4" s="386">
        <v>54549928.366914928</v>
      </c>
      <c r="J4" s="326">
        <v>56254913.396072045</v>
      </c>
      <c r="K4" s="386">
        <v>58069804.950568497</v>
      </c>
      <c r="L4" s="326">
        <v>59920918.995821059</v>
      </c>
      <c r="M4" s="386">
        <v>61707336.648420602</v>
      </c>
      <c r="N4" s="326">
        <v>63157477.378788918</v>
      </c>
      <c r="O4" s="386">
        <v>65086641.093205884</v>
      </c>
      <c r="P4" s="326">
        <v>66982240.301630571</v>
      </c>
      <c r="Q4" s="386">
        <v>69058751.100950077</v>
      </c>
      <c r="R4" s="340">
        <v>71418978.595257461</v>
      </c>
      <c r="S4" s="386">
        <v>72426971.135317594</v>
      </c>
      <c r="T4" s="326">
        <v>74198237.011997595</v>
      </c>
      <c r="U4" s="386">
        <v>75969502.888677701</v>
      </c>
    </row>
    <row r="5" spans="1:21">
      <c r="A5" s="378"/>
      <c r="B5" s="378"/>
      <c r="C5" s="388"/>
      <c r="D5" s="752"/>
      <c r="E5" s="388"/>
      <c r="F5" s="388"/>
      <c r="G5" s="388"/>
      <c r="H5" s="388"/>
      <c r="I5" s="388"/>
      <c r="J5" s="388"/>
      <c r="K5" s="388"/>
      <c r="L5" s="388"/>
      <c r="M5" s="388"/>
      <c r="N5" s="388"/>
      <c r="O5" s="388"/>
      <c r="P5" s="388"/>
      <c r="Q5" s="388"/>
      <c r="R5" s="388"/>
      <c r="S5" s="387"/>
      <c r="T5" s="387"/>
      <c r="U5" s="387"/>
    </row>
    <row r="6" spans="1:21">
      <c r="A6" s="389" t="s">
        <v>232</v>
      </c>
      <c r="B6" s="390">
        <v>2015</v>
      </c>
      <c r="C6" s="391">
        <v>2016</v>
      </c>
      <c r="D6" s="392">
        <v>2017</v>
      </c>
      <c r="E6" s="391">
        <v>2018</v>
      </c>
      <c r="F6" s="392">
        <v>2019</v>
      </c>
      <c r="G6" s="391">
        <v>2020</v>
      </c>
      <c r="H6" s="393">
        <v>2021</v>
      </c>
      <c r="I6" s="392">
        <v>2022</v>
      </c>
      <c r="J6" s="391">
        <v>2023</v>
      </c>
      <c r="K6" s="392">
        <v>2024</v>
      </c>
      <c r="L6" s="391">
        <v>2025</v>
      </c>
      <c r="M6" s="392">
        <v>2026</v>
      </c>
      <c r="N6" s="391">
        <v>2027</v>
      </c>
      <c r="O6" s="392">
        <v>2028</v>
      </c>
      <c r="P6" s="391">
        <v>2029</v>
      </c>
      <c r="Q6" s="392">
        <v>2030</v>
      </c>
      <c r="R6" s="391">
        <v>2031</v>
      </c>
      <c r="S6" s="393">
        <v>2032</v>
      </c>
      <c r="T6" s="391">
        <v>2033</v>
      </c>
      <c r="U6" s="391">
        <v>2034</v>
      </c>
    </row>
    <row r="7" spans="1:21">
      <c r="A7" s="394" t="s">
        <v>233</v>
      </c>
      <c r="B7" s="395">
        <v>27610000</v>
      </c>
      <c r="C7" s="396">
        <v>28248000</v>
      </c>
      <c r="D7" s="395">
        <v>29290000</v>
      </c>
      <c r="E7" s="396">
        <v>28168000</v>
      </c>
      <c r="F7" s="395">
        <v>28525000</v>
      </c>
      <c r="G7" s="395">
        <v>28859000</v>
      </c>
      <c r="H7" s="397">
        <v>29199000</v>
      </c>
      <c r="I7" s="395">
        <v>29540000</v>
      </c>
      <c r="J7" s="397">
        <v>28465000</v>
      </c>
      <c r="K7" s="395">
        <v>28811000</v>
      </c>
      <c r="L7" s="397">
        <v>29144000</v>
      </c>
      <c r="M7" s="395">
        <v>29441000</v>
      </c>
      <c r="N7" s="397">
        <v>29540000</v>
      </c>
      <c r="O7" s="395">
        <v>28270000</v>
      </c>
      <c r="P7" s="397">
        <v>28524000</v>
      </c>
      <c r="Q7" s="395">
        <v>28830000</v>
      </c>
      <c r="R7" s="397">
        <v>29232000</v>
      </c>
      <c r="S7" s="395">
        <v>29549000</v>
      </c>
      <c r="T7" s="397">
        <v>28757000</v>
      </c>
      <c r="U7" s="398">
        <v>29072000</v>
      </c>
    </row>
    <row r="8" spans="1:21">
      <c r="A8" s="399" t="s">
        <v>234</v>
      </c>
      <c r="B8" s="400">
        <v>14228000</v>
      </c>
      <c r="C8" s="401">
        <v>15932000</v>
      </c>
      <c r="D8" s="400">
        <v>17221000</v>
      </c>
      <c r="E8" s="401">
        <v>18825000</v>
      </c>
      <c r="F8" s="400">
        <v>19080000</v>
      </c>
      <c r="G8" s="400">
        <v>19326000</v>
      </c>
      <c r="H8" s="401">
        <v>19524000</v>
      </c>
      <c r="I8" s="400">
        <v>19769000</v>
      </c>
      <c r="J8" s="401">
        <v>21491000</v>
      </c>
      <c r="K8" s="400">
        <v>21755000</v>
      </c>
      <c r="L8" s="401">
        <v>22013000</v>
      </c>
      <c r="M8" s="400">
        <v>22228000</v>
      </c>
      <c r="N8" s="401">
        <v>22306000</v>
      </c>
      <c r="O8" s="400">
        <v>24114000</v>
      </c>
      <c r="P8" s="401">
        <v>24334000</v>
      </c>
      <c r="Q8" s="400">
        <v>24601000</v>
      </c>
      <c r="R8" s="401">
        <v>24949000</v>
      </c>
      <c r="S8" s="400">
        <v>25228000</v>
      </c>
      <c r="T8" s="401">
        <v>26618000</v>
      </c>
      <c r="U8" s="402">
        <v>26915000</v>
      </c>
    </row>
    <row r="9" spans="1:21">
      <c r="A9" s="403" t="s">
        <v>235</v>
      </c>
      <c r="B9" s="404">
        <f>SUM(B7:B8)</f>
        <v>41838000</v>
      </c>
      <c r="C9" s="405">
        <f t="shared" ref="C9:U9" si="1">SUM(C7:C8)</f>
        <v>44180000</v>
      </c>
      <c r="D9" s="404">
        <f t="shared" si="1"/>
        <v>46511000</v>
      </c>
      <c r="E9" s="405">
        <f t="shared" si="1"/>
        <v>46993000</v>
      </c>
      <c r="F9" s="404">
        <f t="shared" si="1"/>
        <v>47605000</v>
      </c>
      <c r="G9" s="404">
        <f t="shared" si="1"/>
        <v>48185000</v>
      </c>
      <c r="H9" s="405">
        <f t="shared" si="1"/>
        <v>48723000</v>
      </c>
      <c r="I9" s="404">
        <f t="shared" si="1"/>
        <v>49309000</v>
      </c>
      <c r="J9" s="405">
        <f t="shared" si="1"/>
        <v>49956000</v>
      </c>
      <c r="K9" s="404">
        <f t="shared" si="1"/>
        <v>50566000</v>
      </c>
      <c r="L9" s="405">
        <f t="shared" si="1"/>
        <v>51157000</v>
      </c>
      <c r="M9" s="404">
        <f t="shared" si="1"/>
        <v>51669000</v>
      </c>
      <c r="N9" s="405">
        <f t="shared" si="1"/>
        <v>51846000</v>
      </c>
      <c r="O9" s="404">
        <f t="shared" si="1"/>
        <v>52384000</v>
      </c>
      <c r="P9" s="405">
        <f t="shared" si="1"/>
        <v>52858000</v>
      </c>
      <c r="Q9" s="404">
        <f t="shared" si="1"/>
        <v>53431000</v>
      </c>
      <c r="R9" s="405">
        <f t="shared" si="1"/>
        <v>54181000</v>
      </c>
      <c r="S9" s="404">
        <f t="shared" si="1"/>
        <v>54777000</v>
      </c>
      <c r="T9" s="405">
        <f t="shared" si="1"/>
        <v>55375000</v>
      </c>
      <c r="U9" s="406">
        <f t="shared" si="1"/>
        <v>55987000</v>
      </c>
    </row>
    <row r="10" spans="1:21">
      <c r="A10" s="378"/>
      <c r="B10" s="378"/>
      <c r="C10" s="378"/>
      <c r="D10" s="753"/>
      <c r="E10" s="753"/>
      <c r="F10" s="378"/>
      <c r="G10" s="378"/>
      <c r="H10" s="378"/>
      <c r="I10" s="378"/>
      <c r="J10" s="388"/>
      <c r="K10" s="388"/>
      <c r="L10" s="388"/>
      <c r="M10" s="388"/>
      <c r="N10" s="388"/>
      <c r="O10" s="388"/>
      <c r="P10" s="388"/>
      <c r="Q10" s="388"/>
      <c r="R10" s="388"/>
      <c r="S10" s="387"/>
      <c r="T10" s="387"/>
      <c r="U10" s="387"/>
    </row>
    <row r="11" spans="1:21">
      <c r="A11" s="407" t="s">
        <v>236</v>
      </c>
      <c r="B11" s="408">
        <v>2015</v>
      </c>
      <c r="C11" s="409">
        <v>2016</v>
      </c>
      <c r="D11" s="410">
        <v>2017</v>
      </c>
      <c r="E11" s="409">
        <v>2018</v>
      </c>
      <c r="F11" s="410">
        <v>2019</v>
      </c>
      <c r="G11" s="409">
        <v>2020</v>
      </c>
      <c r="H11" s="411">
        <v>2021</v>
      </c>
      <c r="I11" s="410">
        <v>2022</v>
      </c>
      <c r="J11" s="409">
        <v>2023</v>
      </c>
      <c r="K11" s="410">
        <v>2024</v>
      </c>
      <c r="L11" s="409">
        <v>2025</v>
      </c>
      <c r="M11" s="410">
        <v>2026</v>
      </c>
      <c r="N11" s="409">
        <v>2027</v>
      </c>
      <c r="O11" s="410">
        <v>2028</v>
      </c>
      <c r="P11" s="409">
        <v>2029</v>
      </c>
      <c r="Q11" s="410">
        <v>2030</v>
      </c>
      <c r="R11" s="409">
        <v>2031</v>
      </c>
      <c r="S11" s="411">
        <v>2032</v>
      </c>
      <c r="T11" s="409">
        <v>2033</v>
      </c>
      <c r="U11" s="409">
        <v>2034</v>
      </c>
    </row>
    <row r="12" spans="1:21">
      <c r="A12" s="412" t="s">
        <v>233</v>
      </c>
      <c r="B12" s="413">
        <v>25985000</v>
      </c>
      <c r="C12" s="413">
        <v>26654000</v>
      </c>
      <c r="D12" s="413">
        <v>27598000</v>
      </c>
      <c r="E12" s="413">
        <v>26576000</v>
      </c>
      <c r="F12" s="413">
        <v>26937000</v>
      </c>
      <c r="G12" s="413">
        <v>27285000</v>
      </c>
      <c r="H12" s="413">
        <v>27564000</v>
      </c>
      <c r="I12" s="413">
        <v>27911000</v>
      </c>
      <c r="J12" s="413">
        <v>26815000</v>
      </c>
      <c r="K12" s="413">
        <v>27144000</v>
      </c>
      <c r="L12" s="413">
        <v>27466000</v>
      </c>
      <c r="M12" s="413">
        <v>27736000</v>
      </c>
      <c r="N12" s="413">
        <v>27833000</v>
      </c>
      <c r="O12" s="413">
        <v>26646000</v>
      </c>
      <c r="P12" s="413">
        <v>26889000</v>
      </c>
      <c r="Q12" s="413">
        <v>27185000</v>
      </c>
      <c r="R12" s="413">
        <v>27570000</v>
      </c>
      <c r="S12" s="413">
        <v>27878000</v>
      </c>
      <c r="T12" s="413">
        <v>27146000</v>
      </c>
      <c r="U12" s="414">
        <v>27450000</v>
      </c>
    </row>
    <row r="13" spans="1:21">
      <c r="A13" s="412" t="s">
        <v>237</v>
      </c>
      <c r="B13" s="415">
        <v>13386000</v>
      </c>
      <c r="C13" s="415">
        <v>14993000</v>
      </c>
      <c r="D13" s="415">
        <v>16208000</v>
      </c>
      <c r="E13" s="415">
        <v>17717000</v>
      </c>
      <c r="F13" s="415">
        <v>17958000</v>
      </c>
      <c r="G13" s="415">
        <v>18190000</v>
      </c>
      <c r="H13" s="415">
        <v>18376000</v>
      </c>
      <c r="I13" s="415">
        <v>18608000</v>
      </c>
      <c r="J13" s="415">
        <v>20229000</v>
      </c>
      <c r="K13" s="415">
        <v>20477000</v>
      </c>
      <c r="L13" s="415">
        <v>20720000</v>
      </c>
      <c r="M13" s="415">
        <v>20923000</v>
      </c>
      <c r="N13" s="415">
        <v>20997000</v>
      </c>
      <c r="O13" s="415">
        <v>22698000</v>
      </c>
      <c r="P13" s="415">
        <v>22905000</v>
      </c>
      <c r="Q13" s="415">
        <v>23157000</v>
      </c>
      <c r="R13" s="415">
        <v>23485000</v>
      </c>
      <c r="S13" s="415">
        <v>23748000</v>
      </c>
      <c r="T13" s="415">
        <v>25058000</v>
      </c>
      <c r="U13" s="416">
        <v>25339000</v>
      </c>
    </row>
    <row r="14" spans="1:21">
      <c r="A14" s="417" t="s">
        <v>238</v>
      </c>
      <c r="B14" s="418">
        <f>SUM(B12:B13)</f>
        <v>39371000</v>
      </c>
      <c r="C14" s="419">
        <f t="shared" ref="C14:U14" si="2">SUM(C12:C13)</f>
        <v>41647000</v>
      </c>
      <c r="D14" s="418">
        <f t="shared" si="2"/>
        <v>43806000</v>
      </c>
      <c r="E14" s="419">
        <f t="shared" si="2"/>
        <v>44293000</v>
      </c>
      <c r="F14" s="418">
        <f t="shared" si="2"/>
        <v>44895000</v>
      </c>
      <c r="G14" s="419">
        <f t="shared" si="2"/>
        <v>45475000</v>
      </c>
      <c r="H14" s="420">
        <f t="shared" si="2"/>
        <v>45940000</v>
      </c>
      <c r="I14" s="418">
        <f t="shared" si="2"/>
        <v>46519000</v>
      </c>
      <c r="J14" s="419">
        <f t="shared" si="2"/>
        <v>47044000</v>
      </c>
      <c r="K14" s="418">
        <f t="shared" si="2"/>
        <v>47621000</v>
      </c>
      <c r="L14" s="419">
        <f t="shared" si="2"/>
        <v>48186000</v>
      </c>
      <c r="M14" s="418">
        <f t="shared" si="2"/>
        <v>48659000</v>
      </c>
      <c r="N14" s="419">
        <f t="shared" si="2"/>
        <v>48830000</v>
      </c>
      <c r="O14" s="418">
        <f t="shared" si="2"/>
        <v>49344000</v>
      </c>
      <c r="P14" s="419">
        <f t="shared" si="2"/>
        <v>49794000</v>
      </c>
      <c r="Q14" s="418">
        <f t="shared" si="2"/>
        <v>50342000</v>
      </c>
      <c r="R14" s="419">
        <f t="shared" si="2"/>
        <v>51055000</v>
      </c>
      <c r="S14" s="418">
        <f t="shared" si="2"/>
        <v>51626000</v>
      </c>
      <c r="T14" s="419">
        <f t="shared" si="2"/>
        <v>52204000</v>
      </c>
      <c r="U14" s="420">
        <f t="shared" si="2"/>
        <v>52789000</v>
      </c>
    </row>
    <row r="15" spans="1:21">
      <c r="A15" s="421"/>
      <c r="B15" s="63">
        <f>B13/B14</f>
        <v>0.33999644408320845</v>
      </c>
      <c r="C15" s="63">
        <f t="shared" ref="C15:U15" si="3">C13/C14</f>
        <v>0.36000192090666794</v>
      </c>
      <c r="D15" s="63">
        <f t="shared" si="3"/>
        <v>0.3699949778569146</v>
      </c>
      <c r="E15" s="63">
        <f t="shared" si="3"/>
        <v>0.39999548461382162</v>
      </c>
      <c r="F15" s="63">
        <f t="shared" si="3"/>
        <v>0.4</v>
      </c>
      <c r="G15" s="63">
        <f t="shared" si="3"/>
        <v>0.4</v>
      </c>
      <c r="H15" s="63">
        <f t="shared" si="3"/>
        <v>0.4</v>
      </c>
      <c r="I15" s="63">
        <f t="shared" si="3"/>
        <v>0.40000859863711602</v>
      </c>
      <c r="J15" s="63">
        <f t="shared" si="3"/>
        <v>0.43000170053566872</v>
      </c>
      <c r="K15" s="63">
        <f t="shared" si="3"/>
        <v>0.42999937002582894</v>
      </c>
      <c r="L15" s="63">
        <f t="shared" si="3"/>
        <v>0.43000041505831571</v>
      </c>
      <c r="M15" s="63">
        <f t="shared" si="3"/>
        <v>0.42999239606239337</v>
      </c>
      <c r="N15" s="63">
        <f t="shared" si="3"/>
        <v>0.43000204792135982</v>
      </c>
      <c r="O15" s="63">
        <f t="shared" si="3"/>
        <v>0.4599951361867704</v>
      </c>
      <c r="P15" s="63">
        <f t="shared" si="3"/>
        <v>0.45999518014218582</v>
      </c>
      <c r="Q15" s="63">
        <f t="shared" si="3"/>
        <v>0.45999364347860633</v>
      </c>
      <c r="R15" s="63">
        <f t="shared" si="3"/>
        <v>0.45999412398393891</v>
      </c>
      <c r="S15" s="63">
        <f t="shared" si="3"/>
        <v>0.46000077480339363</v>
      </c>
      <c r="T15" s="63">
        <f t="shared" si="3"/>
        <v>0.48000153244962074</v>
      </c>
      <c r="U15" s="63">
        <f t="shared" si="3"/>
        <v>0.48000530413533121</v>
      </c>
    </row>
    <row r="16" spans="1:21">
      <c r="A16" s="422" t="s">
        <v>239</v>
      </c>
      <c r="B16" s="423">
        <v>2015</v>
      </c>
      <c r="C16" s="424">
        <v>2016</v>
      </c>
      <c r="D16" s="425">
        <v>2017</v>
      </c>
      <c r="E16" s="424">
        <v>2018</v>
      </c>
      <c r="F16" s="423">
        <v>2019</v>
      </c>
      <c r="G16" s="424">
        <v>2020</v>
      </c>
      <c r="H16" s="426">
        <v>2021</v>
      </c>
      <c r="I16" s="424">
        <v>2022</v>
      </c>
      <c r="J16" s="426">
        <v>2023</v>
      </c>
      <c r="K16" s="424">
        <v>2024</v>
      </c>
      <c r="L16" s="426">
        <v>2025</v>
      </c>
      <c r="M16" s="424">
        <v>2026</v>
      </c>
      <c r="N16" s="426">
        <v>2027</v>
      </c>
      <c r="O16" s="424">
        <v>2028</v>
      </c>
      <c r="P16" s="426">
        <v>2029</v>
      </c>
      <c r="Q16" s="424">
        <v>2030</v>
      </c>
      <c r="R16" s="425">
        <v>2031</v>
      </c>
      <c r="S16" s="424">
        <v>2032</v>
      </c>
      <c r="T16" s="424">
        <v>2033</v>
      </c>
      <c r="U16" s="424">
        <v>2034</v>
      </c>
    </row>
    <row r="17" spans="1:21">
      <c r="A17" s="427" t="s">
        <v>233</v>
      </c>
      <c r="B17" s="428">
        <f>B12-B7</f>
        <v>-1625000</v>
      </c>
      <c r="C17" s="428">
        <f t="shared" ref="C17:U18" si="4">C12-C7</f>
        <v>-1594000</v>
      </c>
      <c r="D17" s="428">
        <f t="shared" si="4"/>
        <v>-1692000</v>
      </c>
      <c r="E17" s="428">
        <f t="shared" si="4"/>
        <v>-1592000</v>
      </c>
      <c r="F17" s="428">
        <f t="shared" si="4"/>
        <v>-1588000</v>
      </c>
      <c r="G17" s="428">
        <f t="shared" si="4"/>
        <v>-1574000</v>
      </c>
      <c r="H17" s="428">
        <f t="shared" si="4"/>
        <v>-1635000</v>
      </c>
      <c r="I17" s="428">
        <f t="shared" si="4"/>
        <v>-1629000</v>
      </c>
      <c r="J17" s="428">
        <f t="shared" si="4"/>
        <v>-1650000</v>
      </c>
      <c r="K17" s="428">
        <f t="shared" si="4"/>
        <v>-1667000</v>
      </c>
      <c r="L17" s="428">
        <f t="shared" si="4"/>
        <v>-1678000</v>
      </c>
      <c r="M17" s="428">
        <f t="shared" si="4"/>
        <v>-1705000</v>
      </c>
      <c r="N17" s="428">
        <f t="shared" si="4"/>
        <v>-1707000</v>
      </c>
      <c r="O17" s="428">
        <f t="shared" si="4"/>
        <v>-1624000</v>
      </c>
      <c r="P17" s="428">
        <f t="shared" si="4"/>
        <v>-1635000</v>
      </c>
      <c r="Q17" s="428">
        <f t="shared" si="4"/>
        <v>-1645000</v>
      </c>
      <c r="R17" s="428">
        <f t="shared" si="4"/>
        <v>-1662000</v>
      </c>
      <c r="S17" s="428">
        <f t="shared" si="4"/>
        <v>-1671000</v>
      </c>
      <c r="T17" s="428">
        <f t="shared" si="4"/>
        <v>-1611000</v>
      </c>
      <c r="U17" s="429">
        <f t="shared" si="4"/>
        <v>-1622000</v>
      </c>
    </row>
    <row r="18" spans="1:21">
      <c r="A18" s="430" t="s">
        <v>234</v>
      </c>
      <c r="B18" s="431">
        <f>B13-B8</f>
        <v>-842000</v>
      </c>
      <c r="C18" s="431">
        <f t="shared" si="4"/>
        <v>-939000</v>
      </c>
      <c r="D18" s="431">
        <f t="shared" si="4"/>
        <v>-1013000</v>
      </c>
      <c r="E18" s="431">
        <f t="shared" si="4"/>
        <v>-1108000</v>
      </c>
      <c r="F18" s="431">
        <f t="shared" si="4"/>
        <v>-1122000</v>
      </c>
      <c r="G18" s="431">
        <f t="shared" si="4"/>
        <v>-1136000</v>
      </c>
      <c r="H18" s="431">
        <f t="shared" si="4"/>
        <v>-1148000</v>
      </c>
      <c r="I18" s="431">
        <f t="shared" si="4"/>
        <v>-1161000</v>
      </c>
      <c r="J18" s="431">
        <f t="shared" si="4"/>
        <v>-1262000</v>
      </c>
      <c r="K18" s="431">
        <f t="shared" si="4"/>
        <v>-1278000</v>
      </c>
      <c r="L18" s="431">
        <f t="shared" si="4"/>
        <v>-1293000</v>
      </c>
      <c r="M18" s="431">
        <f t="shared" si="4"/>
        <v>-1305000</v>
      </c>
      <c r="N18" s="431">
        <f t="shared" si="4"/>
        <v>-1309000</v>
      </c>
      <c r="O18" s="431">
        <f t="shared" si="4"/>
        <v>-1416000</v>
      </c>
      <c r="P18" s="431">
        <f t="shared" si="4"/>
        <v>-1429000</v>
      </c>
      <c r="Q18" s="431">
        <f t="shared" si="4"/>
        <v>-1444000</v>
      </c>
      <c r="R18" s="431">
        <f t="shared" si="4"/>
        <v>-1464000</v>
      </c>
      <c r="S18" s="431">
        <f t="shared" si="4"/>
        <v>-1480000</v>
      </c>
      <c r="T18" s="431">
        <f t="shared" si="4"/>
        <v>-1560000</v>
      </c>
      <c r="U18" s="432">
        <f t="shared" si="4"/>
        <v>-1576000</v>
      </c>
    </row>
    <row r="19" spans="1:21">
      <c r="A19" s="430" t="s">
        <v>235</v>
      </c>
      <c r="B19" s="433">
        <f>SUM(B17:B18)</f>
        <v>-2467000</v>
      </c>
      <c r="C19" s="433">
        <f t="shared" ref="C19:U19" si="5">SUM(C17:C18)</f>
        <v>-2533000</v>
      </c>
      <c r="D19" s="433">
        <f t="shared" si="5"/>
        <v>-2705000</v>
      </c>
      <c r="E19" s="433">
        <f t="shared" si="5"/>
        <v>-2700000</v>
      </c>
      <c r="F19" s="433">
        <f t="shared" si="5"/>
        <v>-2710000</v>
      </c>
      <c r="G19" s="433">
        <f t="shared" si="5"/>
        <v>-2710000</v>
      </c>
      <c r="H19" s="433">
        <f t="shared" si="5"/>
        <v>-2783000</v>
      </c>
      <c r="I19" s="433">
        <f t="shared" si="5"/>
        <v>-2790000</v>
      </c>
      <c r="J19" s="433">
        <f t="shared" si="5"/>
        <v>-2912000</v>
      </c>
      <c r="K19" s="433">
        <f t="shared" si="5"/>
        <v>-2945000</v>
      </c>
      <c r="L19" s="433">
        <f t="shared" si="5"/>
        <v>-2971000</v>
      </c>
      <c r="M19" s="433">
        <f t="shared" si="5"/>
        <v>-3010000</v>
      </c>
      <c r="N19" s="433">
        <f t="shared" si="5"/>
        <v>-3016000</v>
      </c>
      <c r="O19" s="433">
        <f t="shared" si="5"/>
        <v>-3040000</v>
      </c>
      <c r="P19" s="433">
        <f t="shared" si="5"/>
        <v>-3064000</v>
      </c>
      <c r="Q19" s="433">
        <f t="shared" si="5"/>
        <v>-3089000</v>
      </c>
      <c r="R19" s="433">
        <f t="shared" si="5"/>
        <v>-3126000</v>
      </c>
      <c r="S19" s="433">
        <f t="shared" si="5"/>
        <v>-3151000</v>
      </c>
      <c r="T19" s="433">
        <f t="shared" si="5"/>
        <v>-3171000</v>
      </c>
      <c r="U19" s="433">
        <f t="shared" si="5"/>
        <v>-3198000</v>
      </c>
    </row>
    <row r="20" spans="1:21">
      <c r="A20" s="422" t="s">
        <v>240</v>
      </c>
      <c r="B20" s="434">
        <f>B19/B9</f>
        <v>-5.8965533725321477E-2</v>
      </c>
      <c r="C20" s="434">
        <f t="shared" ref="C20:U20" si="6">C19/C9</f>
        <v>-5.7333635129017652E-2</v>
      </c>
      <c r="D20" s="434">
        <f t="shared" si="6"/>
        <v>-5.8158285136849348E-2</v>
      </c>
      <c r="E20" s="434">
        <f t="shared" si="6"/>
        <v>-5.7455365692762751E-2</v>
      </c>
      <c r="F20" s="434">
        <f t="shared" si="6"/>
        <v>-5.6926793404054196E-2</v>
      </c>
      <c r="G20" s="434">
        <f t="shared" si="6"/>
        <v>-5.6241568952993669E-2</v>
      </c>
      <c r="H20" s="434">
        <f t="shared" si="6"/>
        <v>-5.7118814522915257E-2</v>
      </c>
      <c r="I20" s="434">
        <f t="shared" si="6"/>
        <v>-5.6581962724857528E-2</v>
      </c>
      <c r="J20" s="434">
        <f t="shared" si="6"/>
        <v>-5.8291296340779883E-2</v>
      </c>
      <c r="K20" s="434">
        <f t="shared" si="6"/>
        <v>-5.8240715105011269E-2</v>
      </c>
      <c r="L20" s="434">
        <f t="shared" si="6"/>
        <v>-5.8076118615243269E-2</v>
      </c>
      <c r="M20" s="434">
        <f t="shared" si="6"/>
        <v>-5.8255433625578203E-2</v>
      </c>
      <c r="N20" s="434">
        <f t="shared" si="6"/>
        <v>-5.8172279442965706E-2</v>
      </c>
      <c r="O20" s="434">
        <f t="shared" si="6"/>
        <v>-5.8032987171655469E-2</v>
      </c>
      <c r="P20" s="434">
        <f t="shared" si="6"/>
        <v>-5.7966627568201597E-2</v>
      </c>
      <c r="Q20" s="434">
        <f t="shared" si="6"/>
        <v>-5.7812880163201137E-2</v>
      </c>
      <c r="R20" s="434">
        <f t="shared" si="6"/>
        <v>-5.7695502113286945E-2</v>
      </c>
      <c r="S20" s="434">
        <f t="shared" si="6"/>
        <v>-5.7524143344834508E-2</v>
      </c>
      <c r="T20" s="434">
        <f t="shared" si="6"/>
        <v>-5.7264108352144467E-2</v>
      </c>
      <c r="U20" s="434">
        <f t="shared" si="6"/>
        <v>-5.7120402950684983E-2</v>
      </c>
    </row>
    <row r="21" spans="1:21">
      <c r="B21" s="249"/>
      <c r="C21" s="249"/>
      <c r="D21" s="249"/>
      <c r="E21" s="249"/>
      <c r="F21" s="249"/>
      <c r="G21" s="249"/>
      <c r="H21" s="249"/>
      <c r="I21" s="249"/>
      <c r="J21" s="249"/>
      <c r="K21" s="249"/>
      <c r="L21" s="249"/>
      <c r="M21" s="249"/>
      <c r="N21" s="249"/>
      <c r="O21" s="249"/>
      <c r="P21" s="249"/>
      <c r="Q21" s="249"/>
      <c r="R21" s="249"/>
      <c r="S21" s="249"/>
      <c r="T21" s="249"/>
      <c r="U21" s="249"/>
    </row>
    <row r="22" spans="1:21">
      <c r="A22" s="389" t="s">
        <v>241</v>
      </c>
      <c r="B22" s="390">
        <v>2015</v>
      </c>
      <c r="C22" s="391">
        <v>2016</v>
      </c>
      <c r="D22" s="392">
        <v>2017</v>
      </c>
      <c r="E22" s="391">
        <v>2018</v>
      </c>
      <c r="F22" s="392">
        <v>2019</v>
      </c>
      <c r="G22" s="391">
        <v>2020</v>
      </c>
      <c r="H22" s="393">
        <v>2021</v>
      </c>
      <c r="I22" s="392">
        <v>2022</v>
      </c>
      <c r="J22" s="391">
        <v>2023</v>
      </c>
      <c r="K22" s="392">
        <v>2024</v>
      </c>
      <c r="L22" s="391">
        <v>2025</v>
      </c>
      <c r="M22" s="392">
        <v>2026</v>
      </c>
      <c r="N22" s="391">
        <v>2027</v>
      </c>
      <c r="O22" s="392">
        <v>2028</v>
      </c>
      <c r="P22" s="391">
        <v>2029</v>
      </c>
      <c r="Q22" s="392">
        <v>2030</v>
      </c>
      <c r="R22" s="391">
        <v>2031</v>
      </c>
      <c r="S22" s="393">
        <v>2032</v>
      </c>
      <c r="T22" s="391">
        <v>2033</v>
      </c>
      <c r="U22" s="391">
        <v>2034</v>
      </c>
    </row>
    <row r="23" spans="1:21">
      <c r="A23" s="394" t="s">
        <v>233</v>
      </c>
      <c r="B23" s="435">
        <v>65759.87920080364</v>
      </c>
      <c r="C23" s="436">
        <v>64059.684273600185</v>
      </c>
      <c r="D23" s="435">
        <v>62398.82570844033</v>
      </c>
      <c r="E23" s="436">
        <v>58566.981224392926</v>
      </c>
      <c r="F23" s="435">
        <v>58798.647630882813</v>
      </c>
      <c r="G23" s="437">
        <v>58336.905166411481</v>
      </c>
      <c r="H23" s="436">
        <v>56617.240618838063</v>
      </c>
      <c r="I23" s="435">
        <v>55973.205961690088</v>
      </c>
      <c r="J23" s="436">
        <v>52823.290099829552</v>
      </c>
      <c r="K23" s="435">
        <v>54015.261083894387</v>
      </c>
      <c r="L23" s="436">
        <v>53402.922386764476</v>
      </c>
      <c r="M23" s="435">
        <v>53092.716713056841</v>
      </c>
      <c r="N23" s="436">
        <v>52019.421976277816</v>
      </c>
      <c r="O23" s="435">
        <v>48556.051046604269</v>
      </c>
      <c r="P23" s="436">
        <v>49510.231013928984</v>
      </c>
      <c r="Q23" s="435">
        <v>49025.457103610323</v>
      </c>
      <c r="R23" s="436">
        <v>48678.305083895437</v>
      </c>
      <c r="S23" s="435">
        <v>48034.054422633591</v>
      </c>
      <c r="T23" s="436">
        <v>45491.265524741822</v>
      </c>
      <c r="U23" s="435">
        <v>45786.676410337379</v>
      </c>
    </row>
    <row r="24" spans="1:21" ht="17.25">
      <c r="A24" s="399" t="s">
        <v>234</v>
      </c>
      <c r="B24" s="438">
        <v>41478.738263781095</v>
      </c>
      <c r="C24" s="439">
        <v>45600.943315356912</v>
      </c>
      <c r="D24" s="438">
        <v>48704.410215029362</v>
      </c>
      <c r="E24" s="440">
        <v>48064.315711620242</v>
      </c>
      <c r="F24" s="438">
        <v>51069.38592173763</v>
      </c>
      <c r="G24" s="441">
        <v>40785.902300476679</v>
      </c>
      <c r="H24" s="440">
        <v>38044.614061130203</v>
      </c>
      <c r="I24" s="438">
        <v>37194.376086751923</v>
      </c>
      <c r="J24" s="440">
        <v>38792.404836679998</v>
      </c>
      <c r="K24" s="438">
        <v>39528.507517783968</v>
      </c>
      <c r="L24" s="440">
        <v>40269.163790054954</v>
      </c>
      <c r="M24" s="438">
        <v>40939.99879191404</v>
      </c>
      <c r="N24" s="440">
        <v>41170.419055425933</v>
      </c>
      <c r="O24" s="438">
        <v>43054.922497357569</v>
      </c>
      <c r="P24" s="440">
        <v>43153.095244529752</v>
      </c>
      <c r="Q24" s="438">
        <v>43589.915017859901</v>
      </c>
      <c r="R24" s="440">
        <v>44143.376613601402</v>
      </c>
      <c r="S24" s="438">
        <v>44533.360836765161</v>
      </c>
      <c r="T24" s="440">
        <v>45715.803837659747</v>
      </c>
      <c r="U24" s="438">
        <v>46109.821105857605</v>
      </c>
    </row>
    <row r="25" spans="1:21">
      <c r="A25" s="403" t="s">
        <v>14</v>
      </c>
      <c r="B25" s="442">
        <f>SUM(B23:B24)</f>
        <v>107238.61746458473</v>
      </c>
      <c r="C25" s="443">
        <f t="shared" ref="C25:U25" si="7">SUM(C23:C24)</f>
        <v>109660.6275889571</v>
      </c>
      <c r="D25" s="444">
        <f t="shared" si="7"/>
        <v>111103.23592346969</v>
      </c>
      <c r="E25" s="443">
        <f t="shared" si="7"/>
        <v>106631.29693601317</v>
      </c>
      <c r="F25" s="444">
        <f t="shared" si="7"/>
        <v>109868.03355262044</v>
      </c>
      <c r="G25" s="443">
        <f t="shared" si="7"/>
        <v>99122.80746688816</v>
      </c>
      <c r="H25" s="444">
        <f t="shared" si="7"/>
        <v>94661.854679968266</v>
      </c>
      <c r="I25" s="443">
        <f t="shared" si="7"/>
        <v>93167.582048442011</v>
      </c>
      <c r="J25" s="444">
        <f t="shared" si="7"/>
        <v>91615.69493650955</v>
      </c>
      <c r="K25" s="443">
        <f t="shared" si="7"/>
        <v>93543.768601678355</v>
      </c>
      <c r="L25" s="444">
        <f t="shared" si="7"/>
        <v>93672.08617681943</v>
      </c>
      <c r="M25" s="443">
        <f t="shared" si="7"/>
        <v>94032.715504970882</v>
      </c>
      <c r="N25" s="444">
        <f t="shared" si="7"/>
        <v>93189.841031703749</v>
      </c>
      <c r="O25" s="442">
        <f t="shared" si="7"/>
        <v>91610.973543961838</v>
      </c>
      <c r="P25" s="443">
        <f t="shared" si="7"/>
        <v>92663.326258458736</v>
      </c>
      <c r="Q25" s="444">
        <f t="shared" si="7"/>
        <v>92615.372121470224</v>
      </c>
      <c r="R25" s="443">
        <f t="shared" si="7"/>
        <v>92821.681697496839</v>
      </c>
      <c r="S25" s="444">
        <f t="shared" si="7"/>
        <v>92567.415259398753</v>
      </c>
      <c r="T25" s="443">
        <f t="shared" si="7"/>
        <v>91207.069362401569</v>
      </c>
      <c r="U25" s="445">
        <f t="shared" si="7"/>
        <v>91896.497516194984</v>
      </c>
    </row>
    <row r="26" spans="1:21">
      <c r="B26" s="249"/>
      <c r="C26" s="446"/>
      <c r="D26" s="249"/>
      <c r="E26" s="249"/>
      <c r="F26" s="249"/>
      <c r="G26" s="249"/>
      <c r="H26" s="249"/>
      <c r="I26" s="249"/>
      <c r="J26" s="249"/>
      <c r="K26" s="249"/>
      <c r="L26" s="249"/>
      <c r="M26" s="249"/>
      <c r="N26" s="249"/>
      <c r="O26" s="249"/>
      <c r="P26" s="249"/>
      <c r="Q26" s="249"/>
      <c r="R26" s="249"/>
      <c r="S26" s="249"/>
      <c r="T26" s="249"/>
      <c r="U26" s="249"/>
    </row>
    <row r="27" spans="1:21">
      <c r="A27" s="447" t="s">
        <v>242</v>
      </c>
      <c r="B27" s="447">
        <v>2015</v>
      </c>
      <c r="C27" s="448">
        <v>2016</v>
      </c>
      <c r="D27" s="447">
        <v>2017</v>
      </c>
      <c r="E27" s="448">
        <v>2018</v>
      </c>
      <c r="F27" s="447">
        <v>2019</v>
      </c>
      <c r="G27" s="449">
        <v>2020</v>
      </c>
      <c r="H27" s="448">
        <v>2021</v>
      </c>
      <c r="I27" s="447">
        <v>2022</v>
      </c>
      <c r="J27" s="448">
        <v>2023</v>
      </c>
      <c r="K27" s="447">
        <v>2024</v>
      </c>
      <c r="L27" s="448">
        <v>2025</v>
      </c>
      <c r="M27" s="447">
        <v>2026</v>
      </c>
      <c r="N27" s="448">
        <v>2027</v>
      </c>
      <c r="O27" s="447">
        <v>2028</v>
      </c>
      <c r="P27" s="448">
        <v>2029</v>
      </c>
      <c r="Q27" s="447">
        <v>2030</v>
      </c>
      <c r="R27" s="448">
        <v>2031</v>
      </c>
      <c r="S27" s="447">
        <v>2032</v>
      </c>
      <c r="T27" s="448">
        <v>2033</v>
      </c>
      <c r="U27" s="447">
        <v>2034</v>
      </c>
    </row>
    <row r="28" spans="1:21">
      <c r="A28" s="450" t="s">
        <v>233</v>
      </c>
      <c r="B28" s="451">
        <f>B7/B23</f>
        <v>419.86086859573464</v>
      </c>
      <c r="C28" s="451">
        <f t="shared" ref="C28:U29" si="8">C7/C23</f>
        <v>440.96377183740447</v>
      </c>
      <c r="D28" s="451">
        <f t="shared" si="8"/>
        <v>469.39985917135795</v>
      </c>
      <c r="E28" s="451">
        <f t="shared" si="8"/>
        <v>480.95359212859915</v>
      </c>
      <c r="F28" s="451">
        <f t="shared" si="8"/>
        <v>485.13020535897181</v>
      </c>
      <c r="G28" s="451">
        <f t="shared" si="8"/>
        <v>494.69542338039707</v>
      </c>
      <c r="H28" s="451">
        <f t="shared" si="8"/>
        <v>515.72629963680561</v>
      </c>
      <c r="I28" s="451">
        <f t="shared" si="8"/>
        <v>527.75251108929069</v>
      </c>
      <c r="J28" s="451">
        <f t="shared" si="8"/>
        <v>538.87215177632129</v>
      </c>
      <c r="K28" s="451">
        <f t="shared" si="8"/>
        <v>533.38629531479785</v>
      </c>
      <c r="L28" s="451">
        <f t="shared" si="8"/>
        <v>545.73792402086087</v>
      </c>
      <c r="M28" s="451">
        <f t="shared" si="8"/>
        <v>554.52050342640905</v>
      </c>
      <c r="N28" s="451">
        <f t="shared" si="8"/>
        <v>567.86482582353551</v>
      </c>
      <c r="O28" s="451">
        <f t="shared" si="8"/>
        <v>582.21373836324449</v>
      </c>
      <c r="P28" s="451">
        <f t="shared" si="8"/>
        <v>576.12334694974834</v>
      </c>
      <c r="Q28" s="451">
        <f t="shared" si="8"/>
        <v>588.06182957296505</v>
      </c>
      <c r="R28" s="451">
        <f t="shared" si="8"/>
        <v>600.51392400823374</v>
      </c>
      <c r="S28" s="451">
        <f t="shared" si="8"/>
        <v>615.16772538102771</v>
      </c>
      <c r="T28" s="451">
        <f t="shared" si="8"/>
        <v>632.1433283573881</v>
      </c>
      <c r="U28" s="451">
        <f t="shared" si="8"/>
        <v>634.9445358177677</v>
      </c>
    </row>
    <row r="29" spans="1:21">
      <c r="A29" s="452" t="s">
        <v>237</v>
      </c>
      <c r="B29" s="453">
        <f>B8/B24</f>
        <v>343.01911281674103</v>
      </c>
      <c r="C29" s="453">
        <f t="shared" si="8"/>
        <v>349.37873740507956</v>
      </c>
      <c r="D29" s="453">
        <f t="shared" si="8"/>
        <v>353.58194307187995</v>
      </c>
      <c r="E29" s="453">
        <f t="shared" si="8"/>
        <v>391.66270696430166</v>
      </c>
      <c r="F29" s="453">
        <f t="shared" si="8"/>
        <v>373.60934845074411</v>
      </c>
      <c r="G29" s="453">
        <f t="shared" si="8"/>
        <v>473.84019746877419</v>
      </c>
      <c r="H29" s="453">
        <f t="shared" si="8"/>
        <v>513.18696435266179</v>
      </c>
      <c r="I29" s="453">
        <f t="shared" si="8"/>
        <v>531.50508436788698</v>
      </c>
      <c r="J29" s="453">
        <f t="shared" si="8"/>
        <v>554.00019902038332</v>
      </c>
      <c r="K29" s="453">
        <f t="shared" si="8"/>
        <v>550.36229208027589</v>
      </c>
      <c r="L29" s="453">
        <f t="shared" si="8"/>
        <v>546.64656347883795</v>
      </c>
      <c r="M29" s="453">
        <f t="shared" si="8"/>
        <v>542.94090512748619</v>
      </c>
      <c r="N29" s="453">
        <f t="shared" si="8"/>
        <v>541.79676845092126</v>
      </c>
      <c r="O29" s="453">
        <f t="shared" si="8"/>
        <v>560.07533172263777</v>
      </c>
      <c r="P29" s="453">
        <f t="shared" si="8"/>
        <v>563.89929533698205</v>
      </c>
      <c r="Q29" s="453">
        <f t="shared" si="8"/>
        <v>564.37366280526908</v>
      </c>
      <c r="R29" s="453">
        <f t="shared" si="8"/>
        <v>565.18105124547151</v>
      </c>
      <c r="S29" s="453">
        <f t="shared" si="8"/>
        <v>566.4966561242029</v>
      </c>
      <c r="T29" s="453">
        <f t="shared" si="8"/>
        <v>582.24941410901397</v>
      </c>
      <c r="U29" s="453">
        <f t="shared" si="8"/>
        <v>583.71512520530746</v>
      </c>
    </row>
    <row r="30" spans="1:21">
      <c r="B30" s="249"/>
      <c r="C30" s="446"/>
      <c r="D30" s="249"/>
      <c r="E30" s="249"/>
      <c r="F30" s="249"/>
      <c r="G30" s="249"/>
      <c r="H30" s="249"/>
      <c r="I30" s="249"/>
      <c r="J30" s="249"/>
      <c r="K30" s="249"/>
      <c r="L30" s="249"/>
      <c r="M30" s="249"/>
      <c r="N30" s="249"/>
      <c r="O30" s="249"/>
      <c r="P30" s="249"/>
      <c r="Q30" s="249"/>
      <c r="R30" s="249"/>
      <c r="S30" s="249"/>
      <c r="T30" s="249"/>
      <c r="U30" s="249"/>
    </row>
    <row r="31" spans="1:21">
      <c r="A31" s="407" t="s">
        <v>243</v>
      </c>
      <c r="B31" s="454">
        <v>2015</v>
      </c>
      <c r="C31" s="455">
        <v>2016</v>
      </c>
      <c r="D31" s="454">
        <v>2017</v>
      </c>
      <c r="E31" s="455">
        <v>2018</v>
      </c>
      <c r="F31" s="454">
        <v>2019</v>
      </c>
      <c r="G31" s="456">
        <v>2020</v>
      </c>
      <c r="H31" s="455">
        <v>2021</v>
      </c>
      <c r="I31" s="454">
        <v>2022</v>
      </c>
      <c r="J31" s="455">
        <v>2023</v>
      </c>
      <c r="K31" s="454">
        <v>2024</v>
      </c>
      <c r="L31" s="455">
        <v>2025</v>
      </c>
      <c r="M31" s="454">
        <v>2026</v>
      </c>
      <c r="N31" s="455">
        <v>2027</v>
      </c>
      <c r="O31" s="454">
        <v>2028</v>
      </c>
      <c r="P31" s="455">
        <v>2029</v>
      </c>
      <c r="Q31" s="454">
        <v>2030</v>
      </c>
      <c r="R31" s="455">
        <v>2031</v>
      </c>
      <c r="S31" s="454">
        <v>2032</v>
      </c>
      <c r="T31" s="455">
        <v>2033</v>
      </c>
      <c r="U31" s="454">
        <v>2034</v>
      </c>
    </row>
    <row r="32" spans="1:21">
      <c r="A32" s="412" t="s">
        <v>233</v>
      </c>
      <c r="B32" s="457">
        <f>B12/B28</f>
        <v>61889.549476018925</v>
      </c>
      <c r="C32" s="457">
        <f t="shared" ref="C32:U33" si="9">C12/C28</f>
        <v>60444.874845247075</v>
      </c>
      <c r="D32" s="457">
        <f t="shared" si="9"/>
        <v>58794.223007904955</v>
      </c>
      <c r="E32" s="457">
        <f t="shared" si="9"/>
        <v>55256.890550250864</v>
      </c>
      <c r="F32" s="457">
        <f t="shared" si="9"/>
        <v>55525.299605016313</v>
      </c>
      <c r="G32" s="457">
        <f t="shared" si="9"/>
        <v>55155.149432258127</v>
      </c>
      <c r="H32" s="457">
        <f t="shared" si="9"/>
        <v>53446.954362055287</v>
      </c>
      <c r="I32" s="457">
        <f t="shared" si="9"/>
        <v>52886.531875312525</v>
      </c>
      <c r="J32" s="457">
        <f t="shared" si="9"/>
        <v>49761.339329946582</v>
      </c>
      <c r="K32" s="457">
        <f t="shared" si="9"/>
        <v>50889.946439249914</v>
      </c>
      <c r="L32" s="457">
        <f t="shared" si="9"/>
        <v>50328.186462903963</v>
      </c>
      <c r="M32" s="457">
        <f t="shared" si="9"/>
        <v>50017.988205337606</v>
      </c>
      <c r="N32" s="457">
        <f t="shared" si="9"/>
        <v>49013.424910823989</v>
      </c>
      <c r="O32" s="457">
        <f t="shared" si="9"/>
        <v>45766.697424401034</v>
      </c>
      <c r="P32" s="457">
        <f t="shared" si="9"/>
        <v>46672.297073816313</v>
      </c>
      <c r="Q32" s="457">
        <f t="shared" si="9"/>
        <v>46228.13220123644</v>
      </c>
      <c r="R32" s="457">
        <f t="shared" si="9"/>
        <v>45910.675669232245</v>
      </c>
      <c r="S32" s="457">
        <f t="shared" si="9"/>
        <v>45317.722061463304</v>
      </c>
      <c r="T32" s="457">
        <f t="shared" si="9"/>
        <v>42942.792848163634</v>
      </c>
      <c r="U32" s="457">
        <f t="shared" si="9"/>
        <v>43232.122573739718</v>
      </c>
    </row>
    <row r="33" spans="1:21" ht="17.25">
      <c r="A33" s="412" t="s">
        <v>237</v>
      </c>
      <c r="B33" s="458">
        <f>B13/B29</f>
        <v>39024.064548704926</v>
      </c>
      <c r="C33" s="458">
        <f t="shared" si="9"/>
        <v>42913.315536476657</v>
      </c>
      <c r="D33" s="458">
        <f t="shared" si="9"/>
        <v>45839.444908262929</v>
      </c>
      <c r="E33" s="458">
        <f t="shared" si="9"/>
        <v>45235.350940917706</v>
      </c>
      <c r="F33" s="458">
        <f t="shared" si="9"/>
        <v>48066.24907665432</v>
      </c>
      <c r="G33" s="458">
        <f t="shared" si="9"/>
        <v>38388.469566680673</v>
      </c>
      <c r="H33" s="458">
        <f t="shared" si="9"/>
        <v>35807.612578740453</v>
      </c>
      <c r="I33" s="458">
        <f t="shared" si="9"/>
        <v>35010.013163148353</v>
      </c>
      <c r="J33" s="458">
        <f t="shared" si="9"/>
        <v>36514.427315676316</v>
      </c>
      <c r="K33" s="458">
        <f t="shared" si="9"/>
        <v>37206.400755764756</v>
      </c>
      <c r="L33" s="458">
        <f t="shared" si="9"/>
        <v>37903.832904644471</v>
      </c>
      <c r="M33" s="458">
        <f t="shared" si="9"/>
        <v>38536.42229274867</v>
      </c>
      <c r="N33" s="458">
        <f t="shared" si="9"/>
        <v>38754.383973225958</v>
      </c>
      <c r="O33" s="458">
        <f t="shared" si="9"/>
        <v>40526.691168824007</v>
      </c>
      <c r="P33" s="458">
        <f t="shared" si="9"/>
        <v>40618.954819427716</v>
      </c>
      <c r="Q33" s="458">
        <f t="shared" si="9"/>
        <v>41031.326452932066</v>
      </c>
      <c r="R33" s="458">
        <f t="shared" si="9"/>
        <v>41553.056225517204</v>
      </c>
      <c r="S33" s="458">
        <f t="shared" si="9"/>
        <v>41920.812317722339</v>
      </c>
      <c r="T33" s="458">
        <f t="shared" si="9"/>
        <v>43036.539656025168</v>
      </c>
      <c r="U33" s="458">
        <f t="shared" si="9"/>
        <v>43409.873936515913</v>
      </c>
    </row>
    <row r="34" spans="1:21">
      <c r="A34" s="417" t="s">
        <v>244</v>
      </c>
      <c r="B34" s="459">
        <f>SUM(B32:B33)</f>
        <v>100913.61402472385</v>
      </c>
      <c r="C34" s="459">
        <f t="shared" ref="C34:U34" si="10">SUM(C32:C33)</f>
        <v>103358.19038172373</v>
      </c>
      <c r="D34" s="459">
        <f t="shared" si="10"/>
        <v>104633.66791616788</v>
      </c>
      <c r="E34" s="459">
        <f t="shared" si="10"/>
        <v>100492.24149116856</v>
      </c>
      <c r="F34" s="459">
        <f t="shared" si="10"/>
        <v>103591.54868167063</v>
      </c>
      <c r="G34" s="459">
        <f t="shared" si="10"/>
        <v>93543.618998938793</v>
      </c>
      <c r="H34" s="459">
        <f t="shared" si="10"/>
        <v>89254.566940795747</v>
      </c>
      <c r="I34" s="459">
        <f t="shared" si="10"/>
        <v>87896.54503846087</v>
      </c>
      <c r="J34" s="459">
        <f t="shared" si="10"/>
        <v>86275.766645622905</v>
      </c>
      <c r="K34" s="459">
        <f t="shared" si="10"/>
        <v>88096.347195014678</v>
      </c>
      <c r="L34" s="459">
        <f t="shared" si="10"/>
        <v>88232.019367548433</v>
      </c>
      <c r="M34" s="459">
        <f t="shared" si="10"/>
        <v>88554.410498086276</v>
      </c>
      <c r="N34" s="459">
        <f t="shared" si="10"/>
        <v>87767.80888404994</v>
      </c>
      <c r="O34" s="459">
        <f t="shared" si="10"/>
        <v>86293.388593225041</v>
      </c>
      <c r="P34" s="459">
        <f t="shared" si="10"/>
        <v>87291.251893244029</v>
      </c>
      <c r="Q34" s="459">
        <f t="shared" si="10"/>
        <v>87259.458654168498</v>
      </c>
      <c r="R34" s="459">
        <f t="shared" si="10"/>
        <v>87463.73189474945</v>
      </c>
      <c r="S34" s="459">
        <f t="shared" si="10"/>
        <v>87238.534379185643</v>
      </c>
      <c r="T34" s="459">
        <f t="shared" si="10"/>
        <v>85979.332504188802</v>
      </c>
      <c r="U34" s="459">
        <f t="shared" si="10"/>
        <v>86641.996510255631</v>
      </c>
    </row>
    <row r="35" spans="1:21">
      <c r="B35" s="249"/>
      <c r="C35" s="249"/>
      <c r="D35" s="249"/>
      <c r="E35" s="249"/>
      <c r="F35" s="249"/>
      <c r="G35" s="249"/>
      <c r="H35" s="249"/>
      <c r="I35" s="249"/>
      <c r="J35" s="249"/>
      <c r="K35" s="249"/>
      <c r="L35" s="249"/>
      <c r="M35" s="249"/>
      <c r="N35" s="249"/>
      <c r="O35" s="249"/>
      <c r="P35" s="249"/>
      <c r="Q35" s="249"/>
      <c r="R35" s="249"/>
      <c r="S35" s="249"/>
      <c r="T35" s="249"/>
      <c r="U35" s="249"/>
    </row>
    <row r="36" spans="1:21">
      <c r="A36" s="422" t="s">
        <v>245</v>
      </c>
      <c r="B36" s="422">
        <v>2015</v>
      </c>
      <c r="C36" s="460">
        <v>2016</v>
      </c>
      <c r="D36" s="422">
        <v>2017</v>
      </c>
      <c r="E36" s="460">
        <v>2018</v>
      </c>
      <c r="F36" s="422">
        <v>2019</v>
      </c>
      <c r="G36" s="461">
        <v>2020</v>
      </c>
      <c r="H36" s="460">
        <v>2021</v>
      </c>
      <c r="I36" s="422">
        <v>2022</v>
      </c>
      <c r="J36" s="460">
        <v>2023</v>
      </c>
      <c r="K36" s="422">
        <v>2024</v>
      </c>
      <c r="L36" s="460">
        <v>2025</v>
      </c>
      <c r="M36" s="422">
        <v>2026</v>
      </c>
      <c r="N36" s="460">
        <v>2027</v>
      </c>
      <c r="O36" s="422">
        <v>2028</v>
      </c>
      <c r="P36" s="460">
        <v>2029</v>
      </c>
      <c r="Q36" s="422">
        <v>2030</v>
      </c>
      <c r="R36" s="460">
        <v>2031</v>
      </c>
      <c r="S36" s="422">
        <v>2032</v>
      </c>
      <c r="T36" s="460">
        <v>2033</v>
      </c>
      <c r="U36" s="422">
        <v>2034</v>
      </c>
    </row>
    <row r="37" spans="1:21">
      <c r="A37" s="462" t="s">
        <v>233</v>
      </c>
      <c r="B37" s="463">
        <f>B32-B23</f>
        <v>-3870.3297247847149</v>
      </c>
      <c r="C37" s="463">
        <f t="shared" ref="C37:U38" si="11">C32-C23</f>
        <v>-3614.80942835311</v>
      </c>
      <c r="D37" s="463">
        <f t="shared" si="11"/>
        <v>-3604.6027005353753</v>
      </c>
      <c r="E37" s="463">
        <f t="shared" si="11"/>
        <v>-3310.0906741420622</v>
      </c>
      <c r="F37" s="463">
        <f t="shared" si="11"/>
        <v>-3273.3480258665004</v>
      </c>
      <c r="G37" s="463">
        <f t="shared" si="11"/>
        <v>-3181.7557341533538</v>
      </c>
      <c r="H37" s="463">
        <f t="shared" si="11"/>
        <v>-3170.286256782776</v>
      </c>
      <c r="I37" s="463">
        <f t="shared" si="11"/>
        <v>-3086.6740863775631</v>
      </c>
      <c r="J37" s="463">
        <f t="shared" si="11"/>
        <v>-3061.9507698829693</v>
      </c>
      <c r="K37" s="463">
        <f t="shared" si="11"/>
        <v>-3125.3146446444734</v>
      </c>
      <c r="L37" s="463">
        <f t="shared" si="11"/>
        <v>-3074.7359238605131</v>
      </c>
      <c r="M37" s="463">
        <f t="shared" si="11"/>
        <v>-3074.7285077192355</v>
      </c>
      <c r="N37" s="463">
        <f t="shared" si="11"/>
        <v>-3005.9970654538265</v>
      </c>
      <c r="O37" s="463">
        <f t="shared" si="11"/>
        <v>-2789.3536222032344</v>
      </c>
      <c r="P37" s="463">
        <f t="shared" si="11"/>
        <v>-2837.9339401126708</v>
      </c>
      <c r="Q37" s="463">
        <f t="shared" si="11"/>
        <v>-2797.3249023738827</v>
      </c>
      <c r="R37" s="463">
        <f t="shared" si="11"/>
        <v>-2767.6294146631917</v>
      </c>
      <c r="S37" s="463">
        <f t="shared" si="11"/>
        <v>-2716.3323611702872</v>
      </c>
      <c r="T37" s="463">
        <f t="shared" si="11"/>
        <v>-2548.4726765781888</v>
      </c>
      <c r="U37" s="463">
        <f t="shared" si="11"/>
        <v>-2554.5538365976608</v>
      </c>
    </row>
    <row r="38" spans="1:21" ht="17.25">
      <c r="A38" s="462" t="s">
        <v>237</v>
      </c>
      <c r="B38" s="464">
        <f>B33-B24</f>
        <v>-2454.6737150761692</v>
      </c>
      <c r="C38" s="464">
        <f t="shared" si="11"/>
        <v>-2687.6277788802545</v>
      </c>
      <c r="D38" s="464">
        <f t="shared" si="11"/>
        <v>-2864.9653067664331</v>
      </c>
      <c r="E38" s="464">
        <f t="shared" si="11"/>
        <v>-2828.964770702536</v>
      </c>
      <c r="F38" s="464">
        <f t="shared" si="11"/>
        <v>-3003.1368450833106</v>
      </c>
      <c r="G38" s="464">
        <f t="shared" si="11"/>
        <v>-2397.4327337960058</v>
      </c>
      <c r="H38" s="464">
        <f t="shared" si="11"/>
        <v>-2237.0014823897509</v>
      </c>
      <c r="I38" s="464">
        <f t="shared" si="11"/>
        <v>-2184.3629236035704</v>
      </c>
      <c r="J38" s="464">
        <f t="shared" si="11"/>
        <v>-2277.9775210036823</v>
      </c>
      <c r="K38" s="464">
        <f t="shared" si="11"/>
        <v>-2322.1067620192116</v>
      </c>
      <c r="L38" s="464">
        <f t="shared" si="11"/>
        <v>-2365.3308854104835</v>
      </c>
      <c r="M38" s="464">
        <f t="shared" si="11"/>
        <v>-2403.5764991653705</v>
      </c>
      <c r="N38" s="464">
        <f t="shared" si="11"/>
        <v>-2416.0350821999746</v>
      </c>
      <c r="O38" s="464">
        <f t="shared" si="11"/>
        <v>-2528.2313285335622</v>
      </c>
      <c r="P38" s="464">
        <f t="shared" si="11"/>
        <v>-2534.1404251020358</v>
      </c>
      <c r="Q38" s="464">
        <f t="shared" si="11"/>
        <v>-2558.5885649278353</v>
      </c>
      <c r="R38" s="464">
        <f t="shared" si="11"/>
        <v>-2590.3203880841975</v>
      </c>
      <c r="S38" s="464">
        <f t="shared" si="11"/>
        <v>-2612.5485190428226</v>
      </c>
      <c r="T38" s="464">
        <f t="shared" si="11"/>
        <v>-2679.2641816345786</v>
      </c>
      <c r="U38" s="464">
        <f t="shared" si="11"/>
        <v>-2699.9471693416926</v>
      </c>
    </row>
    <row r="39" spans="1:21">
      <c r="A39" s="462" t="s">
        <v>14</v>
      </c>
      <c r="B39" s="465">
        <f>SUM(B37:B38)</f>
        <v>-6325.0034398608841</v>
      </c>
      <c r="C39" s="465">
        <f t="shared" ref="C39:U39" si="12">SUM(C37:C38)</f>
        <v>-6302.4372072333645</v>
      </c>
      <c r="D39" s="465">
        <f t="shared" si="12"/>
        <v>-6469.5680073018084</v>
      </c>
      <c r="E39" s="465">
        <f t="shared" si="12"/>
        <v>-6139.0554448445982</v>
      </c>
      <c r="F39" s="465">
        <f t="shared" si="12"/>
        <v>-6276.484870949811</v>
      </c>
      <c r="G39" s="465">
        <f t="shared" si="12"/>
        <v>-5579.1884679493596</v>
      </c>
      <c r="H39" s="465">
        <f t="shared" si="12"/>
        <v>-5407.2877391725269</v>
      </c>
      <c r="I39" s="465">
        <f t="shared" si="12"/>
        <v>-5271.0370099811335</v>
      </c>
      <c r="J39" s="465">
        <f t="shared" si="12"/>
        <v>-5339.9282908866517</v>
      </c>
      <c r="K39" s="465">
        <f t="shared" si="12"/>
        <v>-5447.421406663685</v>
      </c>
      <c r="L39" s="465">
        <f t="shared" si="12"/>
        <v>-5440.0668092709966</v>
      </c>
      <c r="M39" s="465">
        <f t="shared" si="12"/>
        <v>-5478.305006884606</v>
      </c>
      <c r="N39" s="465">
        <f t="shared" si="12"/>
        <v>-5422.0321476538011</v>
      </c>
      <c r="O39" s="465">
        <f t="shared" si="12"/>
        <v>-5317.5849507367966</v>
      </c>
      <c r="P39" s="465">
        <f t="shared" si="12"/>
        <v>-5372.0743652147066</v>
      </c>
      <c r="Q39" s="465">
        <f t="shared" si="12"/>
        <v>-5355.9134673017179</v>
      </c>
      <c r="R39" s="465">
        <f t="shared" si="12"/>
        <v>-5357.9498027473892</v>
      </c>
      <c r="S39" s="465">
        <f t="shared" si="12"/>
        <v>-5328.8808802131098</v>
      </c>
      <c r="T39" s="465">
        <f t="shared" si="12"/>
        <v>-5227.7368582127674</v>
      </c>
      <c r="U39" s="465">
        <f t="shared" si="12"/>
        <v>-5254.5010059393535</v>
      </c>
    </row>
    <row r="40" spans="1:21">
      <c r="A40" s="422" t="s">
        <v>240</v>
      </c>
      <c r="B40" s="434">
        <f>B39/B25</f>
        <v>-5.8980650715211795E-2</v>
      </c>
      <c r="C40" s="434">
        <f t="shared" ref="C40:U40" si="13">C39/C25</f>
        <v>-5.7472197139495709E-2</v>
      </c>
      <c r="D40" s="434">
        <f t="shared" si="13"/>
        <v>-5.8230239232259506E-2</v>
      </c>
      <c r="E40" s="434">
        <f t="shared" si="13"/>
        <v>-5.7572735409271963E-2</v>
      </c>
      <c r="F40" s="434">
        <f t="shared" si="13"/>
        <v>-5.712748893374648E-2</v>
      </c>
      <c r="G40" s="434">
        <f t="shared" si="13"/>
        <v>-5.6285617917078062E-2</v>
      </c>
      <c r="H40" s="434">
        <f t="shared" si="13"/>
        <v>-5.7122140248080121E-2</v>
      </c>
      <c r="I40" s="434">
        <f t="shared" si="13"/>
        <v>-5.6575869997790483E-2</v>
      </c>
      <c r="J40" s="434">
        <f t="shared" si="13"/>
        <v>-5.8286173505394105E-2</v>
      </c>
      <c r="K40" s="434">
        <f t="shared" si="13"/>
        <v>-5.8233931432242383E-2</v>
      </c>
      <c r="L40" s="434">
        <f t="shared" si="13"/>
        <v>-5.8075644851146947E-2</v>
      </c>
      <c r="M40" s="434">
        <f t="shared" si="13"/>
        <v>-5.8259563998181087E-2</v>
      </c>
      <c r="N40" s="434">
        <f t="shared" si="13"/>
        <v>-5.8182652611341971E-2</v>
      </c>
      <c r="O40" s="434">
        <f t="shared" si="13"/>
        <v>-5.8045283714674413E-2</v>
      </c>
      <c r="P40" s="434">
        <f t="shared" si="13"/>
        <v>-5.7974115349915131E-2</v>
      </c>
      <c r="Q40" s="434">
        <f t="shared" si="13"/>
        <v>-5.7829638262178969E-2</v>
      </c>
      <c r="R40" s="434">
        <f t="shared" si="13"/>
        <v>-5.7723041694167879E-2</v>
      </c>
      <c r="S40" s="434">
        <f t="shared" si="13"/>
        <v>-5.7567567002709916E-2</v>
      </c>
      <c r="T40" s="434">
        <f t="shared" si="13"/>
        <v>-5.7317233135086409E-2</v>
      </c>
      <c r="U40" s="434">
        <f t="shared" si="13"/>
        <v>-5.7178468689879601E-2</v>
      </c>
    </row>
    <row r="41" spans="1:21">
      <c r="A41" s="466"/>
      <c r="B41" s="467"/>
      <c r="C41" s="467"/>
      <c r="D41" s="467"/>
      <c r="E41" s="467"/>
      <c r="F41" s="467"/>
      <c r="G41" s="467"/>
      <c r="H41" s="467"/>
      <c r="I41" s="467"/>
      <c r="J41" s="467"/>
      <c r="K41" s="467"/>
      <c r="L41" s="467"/>
      <c r="M41" s="467"/>
      <c r="N41" s="467"/>
      <c r="O41" s="467"/>
      <c r="P41" s="467"/>
      <c r="Q41" s="467"/>
      <c r="R41" s="467"/>
      <c r="S41" s="467"/>
      <c r="T41" s="467"/>
      <c r="U41" s="467"/>
    </row>
    <row r="42" spans="1:21">
      <c r="A42" s="378"/>
      <c r="B42" s="378"/>
      <c r="C42" s="378"/>
      <c r="E42" s="378"/>
      <c r="F42" s="378"/>
      <c r="G42" s="378"/>
      <c r="H42" s="378"/>
      <c r="I42" s="378"/>
      <c r="J42" s="378"/>
      <c r="K42" s="378"/>
      <c r="L42" s="378"/>
      <c r="M42" s="378"/>
      <c r="N42" s="378"/>
      <c r="O42" s="378"/>
      <c r="P42" s="378"/>
      <c r="Q42" s="378"/>
      <c r="R42" s="378"/>
      <c r="S42" s="379"/>
      <c r="T42" s="379"/>
      <c r="U42" s="379"/>
    </row>
    <row r="43" spans="1:21">
      <c r="L43" s="468"/>
      <c r="M43" s="468"/>
      <c r="N43" s="468"/>
      <c r="O43" s="468"/>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A2:V79"/>
  <sheetViews>
    <sheetView workbookViewId="0">
      <selection activeCell="B9" sqref="B9"/>
    </sheetView>
  </sheetViews>
  <sheetFormatPr defaultRowHeight="15"/>
  <cols>
    <col min="1" max="1" width="47.7109375" customWidth="1"/>
    <col min="2" max="2" width="15.5703125" bestFit="1" customWidth="1"/>
    <col min="3" max="21" width="14.85546875" bestFit="1" customWidth="1"/>
    <col min="22" max="22" width="13.85546875" bestFit="1" customWidth="1"/>
  </cols>
  <sheetData>
    <row r="2" spans="1:21" s="4" customFormat="1">
      <c r="B2" s="4">
        <f>'Scen 2 Budgets'!B4</f>
        <v>2015</v>
      </c>
      <c r="C2" s="4">
        <f>'Scen 2 Budgets'!C4</f>
        <v>2016</v>
      </c>
      <c r="D2" s="4">
        <f>'Scen 2 Budgets'!D4</f>
        <v>2017</v>
      </c>
      <c r="E2" s="4">
        <f>'Scen 2 Budgets'!E4</f>
        <v>2018</v>
      </c>
      <c r="F2" s="4">
        <f>'Scen 2 Budgets'!F4</f>
        <v>2019</v>
      </c>
      <c r="G2" s="4">
        <f>'Scen 2 Budgets'!G4</f>
        <v>2020</v>
      </c>
      <c r="H2" s="4">
        <f>'Scen 2 Budgets'!H4</f>
        <v>2021</v>
      </c>
      <c r="I2" s="4">
        <f>'Scen 2 Budgets'!I4</f>
        <v>2022</v>
      </c>
      <c r="J2" s="4">
        <f>'Scen 2 Budgets'!J4</f>
        <v>2023</v>
      </c>
      <c r="K2" s="4">
        <f>'Scen 2 Budgets'!K4</f>
        <v>2024</v>
      </c>
      <c r="L2" s="4">
        <f>'Scen 2 Budgets'!L4</f>
        <v>2025</v>
      </c>
      <c r="M2" s="4">
        <f>'Scen 2 Budgets'!M4</f>
        <v>2026</v>
      </c>
      <c r="N2" s="4">
        <f>'Scen 2 Budgets'!N4</f>
        <v>2027</v>
      </c>
      <c r="O2" s="4">
        <f>'Scen 2 Budgets'!O4</f>
        <v>2028</v>
      </c>
      <c r="P2" s="4">
        <f>'Scen 2 Budgets'!P4</f>
        <v>2029</v>
      </c>
      <c r="Q2" s="4">
        <f>'Scen 2 Budgets'!Q4</f>
        <v>2030</v>
      </c>
      <c r="R2" s="4">
        <f>'Scen 2 Budgets'!R4</f>
        <v>2031</v>
      </c>
      <c r="S2" s="4">
        <f>'Scen 2 Budgets'!S4</f>
        <v>2032</v>
      </c>
      <c r="T2" s="4">
        <f>'Scen 2 Budgets'!T4</f>
        <v>2033</v>
      </c>
      <c r="U2" s="4">
        <f>'Scen 2 Budgets'!U4</f>
        <v>2034</v>
      </c>
    </row>
    <row r="3" spans="1:21">
      <c r="A3" s="4" t="s">
        <v>220</v>
      </c>
      <c r="B3" s="362"/>
      <c r="C3" s="362"/>
      <c r="D3" s="362"/>
      <c r="E3" s="362"/>
      <c r="F3" s="362"/>
      <c r="G3" s="362"/>
      <c r="H3" s="362"/>
      <c r="I3" s="362"/>
      <c r="J3" s="362"/>
      <c r="K3" s="362"/>
      <c r="L3" s="362"/>
      <c r="M3" s="362"/>
      <c r="N3" s="362"/>
      <c r="O3" s="362"/>
      <c r="P3" s="362"/>
      <c r="Q3" s="362"/>
      <c r="R3" s="362"/>
      <c r="S3" s="362"/>
      <c r="T3" s="362"/>
      <c r="U3" s="362"/>
    </row>
    <row r="4" spans="1:21">
      <c r="A4" s="310" t="s">
        <v>247</v>
      </c>
      <c r="B4" s="362">
        <f t="shared" ref="B4:U4" si="0">B6*B44</f>
        <v>25972036.746183228</v>
      </c>
      <c r="C4" s="362">
        <f t="shared" si="0"/>
        <v>27174362.008757703</v>
      </c>
      <c r="D4" s="362">
        <f t="shared" si="0"/>
        <v>28700145.25157775</v>
      </c>
      <c r="E4" s="362">
        <f t="shared" si="0"/>
        <v>28820647.378379285</v>
      </c>
      <c r="F4" s="362">
        <f t="shared" si="0"/>
        <v>29787504.066899318</v>
      </c>
      <c r="G4" s="362">
        <f t="shared" si="0"/>
        <v>30767492.332014173</v>
      </c>
      <c r="H4" s="362">
        <f t="shared" si="0"/>
        <v>31697185.924243663</v>
      </c>
      <c r="I4" s="362">
        <f t="shared" si="0"/>
        <v>32729487.965110224</v>
      </c>
      <c r="J4" s="362">
        <f t="shared" si="0"/>
        <v>32065204.9722743</v>
      </c>
      <c r="K4" s="362">
        <f t="shared" si="0"/>
        <v>33099825.404301282</v>
      </c>
      <c r="L4" s="362">
        <f t="shared" si="0"/>
        <v>34154898.95694229</v>
      </c>
      <c r="M4" s="362">
        <f t="shared" si="0"/>
        <v>35173651.108337492</v>
      </c>
      <c r="N4" s="362">
        <f t="shared" si="0"/>
        <v>35999632.76436273</v>
      </c>
      <c r="O4" s="362">
        <f t="shared" si="0"/>
        <v>35147102.75959719</v>
      </c>
      <c r="P4" s="362">
        <f t="shared" si="0"/>
        <v>36170732.607754841</v>
      </c>
      <c r="Q4" s="362">
        <f t="shared" si="0"/>
        <v>37292164.567941837</v>
      </c>
      <c r="R4" s="362">
        <f t="shared" si="0"/>
        <v>38566668.100504324</v>
      </c>
      <c r="S4" s="362">
        <f t="shared" si="0"/>
        <v>39110508.296408474</v>
      </c>
      <c r="T4" s="362">
        <f t="shared" si="0"/>
        <v>38582969.541178584</v>
      </c>
      <c r="U4" s="362">
        <f t="shared" si="0"/>
        <v>39503738.54958804</v>
      </c>
    </row>
    <row r="5" spans="1:21">
      <c r="A5" s="310" t="s">
        <v>246</v>
      </c>
      <c r="B5" s="470">
        <f t="shared" ref="B5:U5" si="1">B6*B43</f>
        <v>13379322.065976858</v>
      </c>
      <c r="C5" s="470">
        <f t="shared" si="1"/>
        <v>15285706.070282293</v>
      </c>
      <c r="D5" s="470">
        <f t="shared" si="1"/>
        <v>16855277.709891014</v>
      </c>
      <c r="E5" s="470">
        <f t="shared" si="1"/>
        <v>19213403.431770988</v>
      </c>
      <c r="F5" s="470">
        <f t="shared" si="1"/>
        <v>19858336.044599544</v>
      </c>
      <c r="G5" s="470">
        <f t="shared" si="1"/>
        <v>20511661.554676116</v>
      </c>
      <c r="H5" s="470">
        <f t="shared" si="1"/>
        <v>21131457.28282911</v>
      </c>
      <c r="I5" s="470">
        <f t="shared" si="1"/>
        <v>21820440.401804704</v>
      </c>
      <c r="J5" s="470">
        <f t="shared" si="1"/>
        <v>24189708.423797749</v>
      </c>
      <c r="K5" s="470">
        <f t="shared" si="1"/>
        <v>24969979.546267215</v>
      </c>
      <c r="L5" s="470">
        <f t="shared" si="1"/>
        <v>25766020.038878769</v>
      </c>
      <c r="M5" s="470">
        <f t="shared" si="1"/>
        <v>26533685.540083114</v>
      </c>
      <c r="N5" s="470">
        <f t="shared" si="1"/>
        <v>27157844.614426192</v>
      </c>
      <c r="O5" s="470">
        <f t="shared" si="1"/>
        <v>29939538.333608687</v>
      </c>
      <c r="P5" s="470">
        <f t="shared" si="1"/>
        <v>30811507.693875734</v>
      </c>
      <c r="Q5" s="470">
        <f t="shared" si="1"/>
        <v>31766586.533008244</v>
      </c>
      <c r="R5" s="470">
        <f t="shared" si="1"/>
        <v>32852310.494753141</v>
      </c>
      <c r="S5" s="470">
        <f t="shared" si="1"/>
        <v>33316462.838909119</v>
      </c>
      <c r="T5" s="470">
        <f t="shared" si="1"/>
        <v>35615267.470819011</v>
      </c>
      <c r="U5" s="470">
        <f t="shared" si="1"/>
        <v>36465764.339089662</v>
      </c>
    </row>
    <row r="6" spans="1:21" s="4" customFormat="1">
      <c r="A6" s="78" t="s">
        <v>222</v>
      </c>
      <c r="B6" s="471">
        <f>'DPS Recommendation'!C7</f>
        <v>39351358.812160082</v>
      </c>
      <c r="C6" s="471">
        <f>'DPS Recommendation'!D7</f>
        <v>42460068.079039998</v>
      </c>
      <c r="D6" s="471">
        <f>'DPS Recommendation'!E7</f>
        <v>45555422.961468764</v>
      </c>
      <c r="E6" s="471">
        <f>'DPS Recommendation'!G7</f>
        <v>48034050.810150273</v>
      </c>
      <c r="F6" s="471">
        <f>'DPS Recommendation'!H7</f>
        <v>49645840.111498863</v>
      </c>
      <c r="G6" s="471">
        <f>'DPS Recommendation'!I7</f>
        <v>51279153.886690289</v>
      </c>
      <c r="H6" s="471">
        <f>'DPS Recommendation'!J7</f>
        <v>52828643.207072772</v>
      </c>
      <c r="I6" s="471">
        <f>'DPS Recommendation'!K7</f>
        <v>54549928.366914928</v>
      </c>
      <c r="J6" s="471">
        <f>'DPS Recommendation'!L7</f>
        <v>56254913.396072045</v>
      </c>
      <c r="K6" s="471">
        <f>'DPS Recommendation'!M7</f>
        <v>58069804.950568497</v>
      </c>
      <c r="L6" s="471">
        <f>'DPS Recommendation'!N7</f>
        <v>59920918.995821059</v>
      </c>
      <c r="M6" s="471">
        <f>'DPS Recommendation'!O7</f>
        <v>61707336.648420602</v>
      </c>
      <c r="N6" s="471">
        <f>'DPS Recommendation'!P7</f>
        <v>63157477.378788918</v>
      </c>
      <c r="O6" s="471">
        <f>'DPS Recommendation'!Q7</f>
        <v>65086641.093205884</v>
      </c>
      <c r="P6" s="471">
        <f>'DPS Recommendation'!R7</f>
        <v>66982240.301630571</v>
      </c>
      <c r="Q6" s="471">
        <f>'DPS Recommendation'!S7</f>
        <v>69058751.100950077</v>
      </c>
      <c r="R6" s="471">
        <f>'DPS Recommendation'!T7</f>
        <v>71418978.595257461</v>
      </c>
      <c r="S6" s="471">
        <f>'DPS Recommendation'!U7</f>
        <v>72426971.135317594</v>
      </c>
      <c r="T6" s="471">
        <f>'DPS Recommendation'!V7</f>
        <v>74198237.011997595</v>
      </c>
      <c r="U6" s="471">
        <f>'DPS Recommendation'!W7</f>
        <v>75969502.888677701</v>
      </c>
    </row>
    <row r="7" spans="1:21" s="4" customFormat="1">
      <c r="B7" s="471"/>
      <c r="C7" s="471"/>
      <c r="D7" s="471"/>
      <c r="E7" s="471"/>
      <c r="F7" s="471"/>
      <c r="G7" s="471"/>
      <c r="H7" s="471"/>
      <c r="I7" s="471"/>
      <c r="J7" s="471"/>
      <c r="K7" s="471"/>
      <c r="L7" s="471"/>
      <c r="M7" s="471"/>
      <c r="N7" s="471"/>
      <c r="O7" s="471"/>
      <c r="P7" s="471"/>
      <c r="Q7" s="471"/>
      <c r="R7" s="471"/>
      <c r="S7" s="471"/>
      <c r="T7" s="471"/>
      <c r="U7" s="471"/>
    </row>
    <row r="8" spans="1:21" s="4" customFormat="1">
      <c r="A8" s="4" t="s">
        <v>412</v>
      </c>
      <c r="B8" s="471"/>
      <c r="C8" s="471"/>
      <c r="D8" s="471"/>
      <c r="E8" s="471"/>
      <c r="F8" s="471"/>
      <c r="G8" s="471"/>
      <c r="H8" s="471"/>
      <c r="I8" s="471"/>
      <c r="J8" s="471"/>
      <c r="K8" s="471"/>
      <c r="L8" s="471"/>
      <c r="M8" s="471"/>
      <c r="N8" s="471"/>
      <c r="O8" s="471"/>
      <c r="P8" s="471"/>
      <c r="Q8" s="471"/>
      <c r="R8" s="471"/>
      <c r="S8" s="471"/>
      <c r="T8" s="471"/>
      <c r="U8" s="471"/>
    </row>
    <row r="9" spans="1:21" s="4" customFormat="1">
      <c r="A9" s="253" t="s">
        <v>247</v>
      </c>
      <c r="B9" s="477">
        <f>B4/B23</f>
        <v>59673.68528976466</v>
      </c>
      <c r="C9" s="477">
        <f t="shared" ref="C9:U9" si="2">C4/C23</f>
        <v>57636.172062282407</v>
      </c>
      <c r="D9" s="477">
        <f t="shared" si="2"/>
        <v>55407.103483241757</v>
      </c>
      <c r="E9" s="477">
        <f t="shared" si="2"/>
        <v>52647.221049080312</v>
      </c>
      <c r="F9" s="477">
        <f t="shared" si="2"/>
        <v>52782.60604536302</v>
      </c>
      <c r="G9" s="477">
        <f t="shared" si="2"/>
        <v>52348.848605076004</v>
      </c>
      <c r="H9" s="477">
        <f t="shared" si="2"/>
        <v>50497.530108899336</v>
      </c>
      <c r="I9" s="477">
        <f t="shared" si="2"/>
        <v>49837.455725973836</v>
      </c>
      <c r="J9" s="477">
        <f t="shared" si="2"/>
        <v>46624.530659007316</v>
      </c>
      <c r="K9" s="477">
        <f t="shared" si="2"/>
        <v>47675.203708187648</v>
      </c>
      <c r="L9" s="477">
        <f t="shared" si="2"/>
        <v>47014.321224476429</v>
      </c>
      <c r="M9" s="477">
        <f t="shared" si="2"/>
        <v>46632.242203136775</v>
      </c>
      <c r="N9" s="477">
        <f t="shared" si="2"/>
        <v>45506.455487614956</v>
      </c>
      <c r="O9" s="477">
        <f t="shared" si="2"/>
        <v>42089.564690904088</v>
      </c>
      <c r="P9" s="477">
        <f t="shared" si="2"/>
        <v>42889.65131792747</v>
      </c>
      <c r="Q9" s="477">
        <f t="shared" si="2"/>
        <v>42340.934037168139</v>
      </c>
      <c r="R9" s="477">
        <f t="shared" si="2"/>
        <v>41922.471127253739</v>
      </c>
      <c r="S9" s="477">
        <f t="shared" si="2"/>
        <v>41215.561504882076</v>
      </c>
      <c r="T9" s="477">
        <f t="shared" si="2"/>
        <v>38675.463815272014</v>
      </c>
      <c r="U9" s="477">
        <f t="shared" si="2"/>
        <v>38826.971028115069</v>
      </c>
    </row>
    <row r="10" spans="1:21">
      <c r="A10" s="253" t="s">
        <v>237</v>
      </c>
      <c r="B10" s="478">
        <f t="shared" ref="B10:U10" si="3">B5/B24</f>
        <v>30854.387863315838</v>
      </c>
      <c r="C10" s="478">
        <f t="shared" si="3"/>
        <v>34338.147079203074</v>
      </c>
      <c r="D10" s="478">
        <f t="shared" si="3"/>
        <v>36890.952954748864</v>
      </c>
      <c r="E10" s="478">
        <f t="shared" si="3"/>
        <v>36637.257003086204</v>
      </c>
      <c r="F10" s="478">
        <f t="shared" si="3"/>
        <v>39449.627017212522</v>
      </c>
      <c r="G10" s="478">
        <f t="shared" si="3"/>
        <v>28780.543863090508</v>
      </c>
      <c r="H10" s="478">
        <f t="shared" si="3"/>
        <v>25643.759686890888</v>
      </c>
      <c r="I10" s="478">
        <f t="shared" si="3"/>
        <v>24381.080282546322</v>
      </c>
      <c r="J10" s="478">
        <f t="shared" si="3"/>
        <v>25501.782955330244</v>
      </c>
      <c r="K10" s="478">
        <f t="shared" si="3"/>
        <v>25962.285980858833</v>
      </c>
      <c r="L10" s="478">
        <f t="shared" si="3"/>
        <v>26434.578597251206</v>
      </c>
      <c r="M10" s="478">
        <f t="shared" si="3"/>
        <v>26853.148736089497</v>
      </c>
      <c r="N10" s="478">
        <f t="shared" si="3"/>
        <v>26779.952290744634</v>
      </c>
      <c r="O10" s="478">
        <f t="shared" si="3"/>
        <v>28306.760763722756</v>
      </c>
      <c r="P10" s="478">
        <f t="shared" si="3"/>
        <v>28172.733071069408</v>
      </c>
      <c r="Q10" s="478">
        <f t="shared" si="3"/>
        <v>28326.130200346011</v>
      </c>
      <c r="R10" s="478">
        <f t="shared" si="3"/>
        <v>28396.065019941678</v>
      </c>
      <c r="S10" s="478">
        <f t="shared" si="3"/>
        <v>28564.79221246365</v>
      </c>
      <c r="T10" s="478">
        <f t="shared" si="3"/>
        <v>29374.737522182608</v>
      </c>
      <c r="U10" s="478">
        <f t="shared" si="3"/>
        <v>29480.064071281573</v>
      </c>
    </row>
    <row r="11" spans="1:21" s="4" customFormat="1">
      <c r="A11" s="4" t="s">
        <v>248</v>
      </c>
      <c r="B11" s="479">
        <f>SUM(B9:B10)</f>
        <v>90528.073153080506</v>
      </c>
      <c r="C11" s="479">
        <f t="shared" ref="C11:U11" si="4">SUM(C9:C10)</f>
        <v>91974.319141485481</v>
      </c>
      <c r="D11" s="479">
        <f t="shared" si="4"/>
        <v>92298.056437990628</v>
      </c>
      <c r="E11" s="479">
        <f t="shared" si="4"/>
        <v>89284.478052166523</v>
      </c>
      <c r="F11" s="479">
        <f t="shared" si="4"/>
        <v>92232.233062575542</v>
      </c>
      <c r="G11" s="479">
        <f t="shared" si="4"/>
        <v>81129.392468166508</v>
      </c>
      <c r="H11" s="479">
        <f t="shared" si="4"/>
        <v>76141.289795790217</v>
      </c>
      <c r="I11" s="479">
        <f t="shared" si="4"/>
        <v>74218.536008520154</v>
      </c>
      <c r="J11" s="479">
        <f t="shared" si="4"/>
        <v>72126.31361433756</v>
      </c>
      <c r="K11" s="479">
        <f t="shared" si="4"/>
        <v>73637.489689046488</v>
      </c>
      <c r="L11" s="479">
        <f t="shared" si="4"/>
        <v>73448.899821727638</v>
      </c>
      <c r="M11" s="479">
        <f t="shared" si="4"/>
        <v>73485.390939226272</v>
      </c>
      <c r="N11" s="479">
        <f t="shared" si="4"/>
        <v>72286.407778359586</v>
      </c>
      <c r="O11" s="479">
        <f t="shared" si="4"/>
        <v>70396.325454626844</v>
      </c>
      <c r="P11" s="479">
        <f t="shared" si="4"/>
        <v>71062.38438899687</v>
      </c>
      <c r="Q11" s="479">
        <f t="shared" si="4"/>
        <v>70667.064237514147</v>
      </c>
      <c r="R11" s="479">
        <f t="shared" si="4"/>
        <v>70318.536147195409</v>
      </c>
      <c r="S11" s="479">
        <f t="shared" si="4"/>
        <v>69780.35371734573</v>
      </c>
      <c r="T11" s="479">
        <f t="shared" si="4"/>
        <v>68050.201337454622</v>
      </c>
      <c r="U11" s="479">
        <f t="shared" si="4"/>
        <v>68307.035099396642</v>
      </c>
    </row>
    <row r="12" spans="1:21" s="4" customFormat="1">
      <c r="B12" s="479"/>
      <c r="C12" s="479"/>
      <c r="D12" s="479"/>
      <c r="E12" s="479"/>
      <c r="F12" s="479"/>
      <c r="G12" s="479"/>
      <c r="H12" s="479"/>
      <c r="I12" s="479"/>
      <c r="J12" s="479"/>
      <c r="K12" s="479"/>
      <c r="L12" s="479"/>
      <c r="M12" s="479"/>
      <c r="N12" s="479"/>
      <c r="O12" s="479"/>
      <c r="P12" s="479"/>
      <c r="Q12" s="479"/>
      <c r="R12" s="479"/>
      <c r="S12" s="479"/>
      <c r="T12" s="479"/>
      <c r="U12" s="479"/>
    </row>
    <row r="13" spans="1:21" s="4" customFormat="1">
      <c r="A13" s="4" t="s">
        <v>249</v>
      </c>
      <c r="B13" s="479"/>
      <c r="C13" s="479"/>
      <c r="D13" s="479"/>
      <c r="E13" s="479"/>
      <c r="F13" s="479"/>
      <c r="G13" s="479"/>
      <c r="H13" s="479"/>
      <c r="I13" s="479"/>
      <c r="J13" s="479"/>
      <c r="K13" s="479"/>
      <c r="L13" s="479"/>
      <c r="M13" s="479"/>
      <c r="N13" s="479"/>
      <c r="O13" s="479"/>
      <c r="P13" s="479"/>
      <c r="Q13" s="479"/>
      <c r="R13" s="479"/>
      <c r="S13" s="479"/>
      <c r="T13" s="479"/>
      <c r="U13" s="479"/>
    </row>
    <row r="14" spans="1:21">
      <c r="A14" t="s">
        <v>250</v>
      </c>
      <c r="B14" s="312">
        <f>B6/B32</f>
        <v>14.239202851066498</v>
      </c>
      <c r="C14" s="312">
        <f t="shared" ref="C14:U14" si="5">C6/C32</f>
        <v>14.038509764474169</v>
      </c>
      <c r="D14" s="312">
        <f t="shared" si="5"/>
        <v>13.43166398384029</v>
      </c>
      <c r="E14" s="312">
        <f t="shared" si="5"/>
        <v>13.245179041922366</v>
      </c>
      <c r="F14" s="312">
        <f t="shared" si="5"/>
        <v>13.503468428010942</v>
      </c>
      <c r="G14" s="312">
        <f t="shared" si="5"/>
        <v>11.664321838296829</v>
      </c>
      <c r="H14" s="312">
        <f t="shared" si="5"/>
        <v>11.10905682481126</v>
      </c>
      <c r="I14" s="312">
        <f t="shared" si="5"/>
        <v>10.66070418834987</v>
      </c>
      <c r="J14" s="312">
        <f t="shared" si="5"/>
        <v>10.017088481490813</v>
      </c>
      <c r="K14" s="312">
        <f t="shared" si="5"/>
        <v>9.9505804495494896</v>
      </c>
      <c r="L14" s="312">
        <f t="shared" si="5"/>
        <v>9.6702825276501709</v>
      </c>
      <c r="M14" s="312">
        <f t="shared" si="5"/>
        <v>9.4278023528284667</v>
      </c>
      <c r="N14" s="312">
        <f t="shared" si="5"/>
        <v>9.0777467244588159</v>
      </c>
      <c r="O14" s="312">
        <f t="shared" si="5"/>
        <v>8.5816334729442065</v>
      </c>
      <c r="P14" s="312">
        <f t="shared" si="5"/>
        <v>8.5506324130601108</v>
      </c>
      <c r="Q14" s="312">
        <f t="shared" si="5"/>
        <v>8.3095219282056938</v>
      </c>
      <c r="R14" s="312">
        <f t="shared" si="5"/>
        <v>8.0987533097728139</v>
      </c>
      <c r="S14" s="312">
        <f t="shared" si="5"/>
        <v>7.9967421031925303</v>
      </c>
      <c r="T14" s="312">
        <f t="shared" si="5"/>
        <v>7.6561428786142782</v>
      </c>
      <c r="U14" s="312">
        <f t="shared" si="5"/>
        <v>7.5742220347500879</v>
      </c>
    </row>
    <row r="15" spans="1:21">
      <c r="A15" t="s">
        <v>251</v>
      </c>
      <c r="B15" s="312">
        <f>B6/B33</f>
        <v>14.593177203608542</v>
      </c>
      <c r="C15" s="312">
        <f t="shared" ref="C15:U15" si="6">C6/C33</f>
        <v>14.598694259117385</v>
      </c>
      <c r="D15" s="312">
        <f t="shared" si="6"/>
        <v>14.333004653630148</v>
      </c>
      <c r="E15" s="312">
        <f t="shared" si="6"/>
        <v>15.192663913297503</v>
      </c>
      <c r="F15" s="312">
        <f t="shared" si="6"/>
        <v>15.544561999441729</v>
      </c>
      <c r="G15" s="312">
        <f t="shared" si="6"/>
        <v>11.698715980184645</v>
      </c>
      <c r="H15" s="312">
        <f t="shared" si="6"/>
        <v>11.050467566697188</v>
      </c>
      <c r="I15" s="312">
        <f t="shared" si="6"/>
        <v>10.293302109486602</v>
      </c>
      <c r="J15" s="312">
        <f t="shared" si="6"/>
        <v>9.614212454319901</v>
      </c>
      <c r="K15" s="312">
        <f t="shared" si="6"/>
        <v>9.4622976651833213</v>
      </c>
      <c r="L15" s="312">
        <f t="shared" si="6"/>
        <v>9.1170915394226508</v>
      </c>
      <c r="M15" s="312">
        <f t="shared" si="6"/>
        <v>8.9306373861080051</v>
      </c>
      <c r="N15" s="312">
        <f t="shared" si="6"/>
        <v>8.6324197761744212</v>
      </c>
      <c r="O15" s="312">
        <f t="shared" si="6"/>
        <v>8.3012910704816676</v>
      </c>
      <c r="P15" s="312">
        <f t="shared" si="6"/>
        <v>8.2169874914866572</v>
      </c>
      <c r="Q15" s="312">
        <f t="shared" si="6"/>
        <v>7.9916037518566609</v>
      </c>
      <c r="R15" s="312">
        <f t="shared" si="6"/>
        <v>7.770312646810754</v>
      </c>
      <c r="S15" s="312">
        <f t="shared" si="6"/>
        <v>7.7147157258167089</v>
      </c>
      <c r="T15" s="312">
        <f t="shared" si="6"/>
        <v>7.4869394649769898</v>
      </c>
      <c r="U15" s="312">
        <f t="shared" si="6"/>
        <v>7.4570013512347355</v>
      </c>
    </row>
    <row r="16" spans="1:21">
      <c r="B16" s="312"/>
      <c r="C16" s="312"/>
      <c r="D16" s="312"/>
      <c r="E16" s="312"/>
      <c r="F16" s="312"/>
      <c r="G16" s="312"/>
      <c r="H16" s="312"/>
      <c r="I16" s="312"/>
      <c r="J16" s="312"/>
      <c r="K16" s="312"/>
      <c r="L16" s="312"/>
      <c r="M16" s="312"/>
      <c r="N16" s="312"/>
      <c r="O16" s="312"/>
      <c r="P16" s="312"/>
      <c r="Q16" s="312"/>
      <c r="R16" s="312"/>
      <c r="S16" s="312"/>
      <c r="T16" s="312"/>
      <c r="U16" s="312"/>
    </row>
    <row r="17" spans="1:22">
      <c r="A17" s="4" t="s">
        <v>423</v>
      </c>
      <c r="B17" s="312"/>
      <c r="C17" s="312"/>
      <c r="D17" s="312"/>
      <c r="E17" s="312"/>
      <c r="F17" s="312"/>
      <c r="G17" s="312"/>
      <c r="H17" s="312"/>
      <c r="I17" s="312"/>
      <c r="J17" s="312"/>
      <c r="K17" s="312"/>
      <c r="L17" s="312"/>
      <c r="M17" s="312"/>
      <c r="N17" s="312"/>
      <c r="O17" s="312"/>
      <c r="P17" s="312"/>
      <c r="Q17" s="312"/>
      <c r="R17" s="312"/>
      <c r="S17" s="312"/>
      <c r="T17" s="312"/>
      <c r="U17" s="312"/>
    </row>
    <row r="18" spans="1:22">
      <c r="A18" s="253" t="s">
        <v>233</v>
      </c>
      <c r="B18" s="365">
        <f>B4/B36</f>
        <v>66048252.119063757</v>
      </c>
      <c r="C18" s="365">
        <f t="shared" ref="C18:U18" si="7">C4/C71</f>
        <v>66624426.133367352</v>
      </c>
      <c r="D18" s="365">
        <f t="shared" si="7"/>
        <v>66316696.077559792</v>
      </c>
      <c r="E18" s="365">
        <f t="shared" si="7"/>
        <v>64610267.491622046</v>
      </c>
      <c r="F18" s="365">
        <f t="shared" si="7"/>
        <v>67256761.222436786</v>
      </c>
      <c r="G18" s="365">
        <f t="shared" si="7"/>
        <v>68451486.548187181</v>
      </c>
      <c r="H18" s="365">
        <f t="shared" si="7"/>
        <v>64851812.722424343</v>
      </c>
      <c r="I18" s="365">
        <f t="shared" si="7"/>
        <v>64591451.815498687</v>
      </c>
      <c r="J18" s="365">
        <f t="shared" si="7"/>
        <v>61055056.783178397</v>
      </c>
      <c r="K18" s="365">
        <f t="shared" si="7"/>
        <v>63058145.111900151</v>
      </c>
      <c r="L18" s="365">
        <f t="shared" si="7"/>
        <v>62817928.568693273</v>
      </c>
      <c r="M18" s="365">
        <f t="shared" si="7"/>
        <v>62998179.340791449</v>
      </c>
      <c r="N18" s="365">
        <f t="shared" si="7"/>
        <v>62107003.516101301</v>
      </c>
      <c r="O18" s="365">
        <f t="shared" si="7"/>
        <v>57999314.516301304</v>
      </c>
      <c r="P18" s="365">
        <f t="shared" si="7"/>
        <v>59780245.966632262</v>
      </c>
      <c r="Q18" s="365">
        <f t="shared" si="7"/>
        <v>59696887.049009621</v>
      </c>
      <c r="R18" s="365">
        <f t="shared" si="7"/>
        <v>59755292.23688554</v>
      </c>
      <c r="S18" s="365">
        <f t="shared" si="7"/>
        <v>58344019.042294241</v>
      </c>
      <c r="T18" s="365">
        <f t="shared" si="7"/>
        <v>54816941.806267187</v>
      </c>
      <c r="U18" s="365">
        <f t="shared" si="7"/>
        <v>55006627.085252039</v>
      </c>
    </row>
    <row r="19" spans="1:22">
      <c r="A19" s="253" t="s">
        <v>237</v>
      </c>
      <c r="B19" s="777">
        <f>B5/B37</f>
        <v>46637114.914615527</v>
      </c>
      <c r="C19" s="777">
        <f t="shared" ref="C19:U19" si="8">C5/C75</f>
        <v>50510654.241983555</v>
      </c>
      <c r="D19" s="777">
        <f t="shared" si="8"/>
        <v>53958817.251559258</v>
      </c>
      <c r="E19" s="777">
        <f t="shared" si="8"/>
        <v>55460428.586366259</v>
      </c>
      <c r="F19" s="777">
        <f t="shared" si="8"/>
        <v>57753352.841736674</v>
      </c>
      <c r="G19" s="777">
        <f t="shared" si="8"/>
        <v>61535109.594705746</v>
      </c>
      <c r="H19" s="777">
        <f t="shared" si="8"/>
        <v>58967936.992933676</v>
      </c>
      <c r="I19" s="777">
        <f t="shared" si="8"/>
        <v>57616631.224397406</v>
      </c>
      <c r="J19" s="777">
        <f t="shared" si="8"/>
        <v>59487989.7776559</v>
      </c>
      <c r="K19" s="777">
        <f t="shared" si="8"/>
        <v>59712471.597063385</v>
      </c>
      <c r="L19" s="777">
        <f t="shared" si="8"/>
        <v>60890935.200774573</v>
      </c>
      <c r="M19" s="777">
        <f t="shared" si="8"/>
        <v>61881159.843633465</v>
      </c>
      <c r="N19" s="777">
        <f t="shared" si="8"/>
        <v>61775579.07440313</v>
      </c>
      <c r="O19" s="777">
        <f t="shared" si="8"/>
        <v>65270980.113018505</v>
      </c>
      <c r="P19" s="777">
        <f t="shared" si="8"/>
        <v>65970456.256019928</v>
      </c>
      <c r="Q19" s="777">
        <f t="shared" si="8"/>
        <v>66298542.82723701</v>
      </c>
      <c r="R19" s="777">
        <f t="shared" si="8"/>
        <v>67089499.541094027</v>
      </c>
      <c r="S19" s="777">
        <f t="shared" si="8"/>
        <v>66867016.628045596</v>
      </c>
      <c r="T19" s="777">
        <f t="shared" si="8"/>
        <v>67808126.720391154</v>
      </c>
      <c r="U19" s="777">
        <f t="shared" si="8"/>
        <v>67923416.526354536</v>
      </c>
    </row>
    <row r="20" spans="1:22">
      <c r="A20" s="4" t="s">
        <v>248</v>
      </c>
      <c r="B20" s="782">
        <f>SUM(B18:B19)</f>
        <v>112685367.03367928</v>
      </c>
      <c r="C20" s="782">
        <f t="shared" ref="C20:U20" si="9">SUM(C18:C19)</f>
        <v>117135080.37535091</v>
      </c>
      <c r="D20" s="782">
        <f t="shared" si="9"/>
        <v>120275513.32911906</v>
      </c>
      <c r="E20" s="782">
        <f t="shared" si="9"/>
        <v>120070696.0779883</v>
      </c>
      <c r="F20" s="782">
        <f t="shared" si="9"/>
        <v>125010114.06417346</v>
      </c>
      <c r="G20" s="782">
        <f t="shared" si="9"/>
        <v>129986596.14289293</v>
      </c>
      <c r="H20" s="782">
        <f t="shared" si="9"/>
        <v>123819749.71535802</v>
      </c>
      <c r="I20" s="782">
        <f t="shared" si="9"/>
        <v>122208083.0398961</v>
      </c>
      <c r="J20" s="782">
        <f t="shared" si="9"/>
        <v>120543046.56083429</v>
      </c>
      <c r="K20" s="782">
        <f t="shared" si="9"/>
        <v>122770616.70896354</v>
      </c>
      <c r="L20" s="782">
        <f t="shared" si="9"/>
        <v>123708863.76946785</v>
      </c>
      <c r="M20" s="782">
        <f t="shared" si="9"/>
        <v>124879339.18442491</v>
      </c>
      <c r="N20" s="782">
        <f t="shared" si="9"/>
        <v>123882582.59050444</v>
      </c>
      <c r="O20" s="782">
        <f t="shared" si="9"/>
        <v>123270294.62931982</v>
      </c>
      <c r="P20" s="782">
        <f t="shared" si="9"/>
        <v>125750702.2226522</v>
      </c>
      <c r="Q20" s="782">
        <f t="shared" si="9"/>
        <v>125995429.87624663</v>
      </c>
      <c r="R20" s="782">
        <f t="shared" si="9"/>
        <v>126844791.77797957</v>
      </c>
      <c r="S20" s="782">
        <f t="shared" si="9"/>
        <v>125211035.67033984</v>
      </c>
      <c r="T20" s="782">
        <f t="shared" si="9"/>
        <v>122625068.52665834</v>
      </c>
      <c r="U20" s="782">
        <f t="shared" si="9"/>
        <v>122930043.61160657</v>
      </c>
      <c r="V20" s="143"/>
    </row>
    <row r="21" spans="1:22">
      <c r="A21" s="4"/>
      <c r="B21" s="362"/>
      <c r="C21" s="362"/>
      <c r="D21" s="362"/>
      <c r="E21" s="362"/>
      <c r="F21" s="362"/>
      <c r="G21" s="362"/>
      <c r="H21" s="362"/>
      <c r="I21" s="362"/>
      <c r="J21" s="362"/>
      <c r="K21" s="362"/>
      <c r="L21" s="362"/>
      <c r="M21" s="362"/>
      <c r="N21" s="362"/>
      <c r="O21" s="362"/>
      <c r="P21" s="362"/>
      <c r="Q21" s="362"/>
      <c r="R21" s="362"/>
      <c r="S21" s="362"/>
      <c r="T21" s="362"/>
      <c r="U21" s="362"/>
    </row>
    <row r="22" spans="1:22" s="253" customFormat="1" ht="30">
      <c r="A22" s="476" t="s">
        <v>448</v>
      </c>
      <c r="B22" s="472"/>
      <c r="C22" s="472"/>
      <c r="D22" s="472"/>
      <c r="E22" s="472"/>
      <c r="F22" s="472"/>
      <c r="G22" s="472"/>
      <c r="H22" s="472"/>
      <c r="I22" s="472"/>
      <c r="J22" s="472"/>
      <c r="K22" s="472"/>
      <c r="L22" s="472"/>
      <c r="M22" s="472"/>
      <c r="N22" s="472"/>
      <c r="O22" s="472"/>
      <c r="P22" s="472"/>
      <c r="Q22" s="472"/>
      <c r="R22" s="472"/>
      <c r="S22" s="472"/>
      <c r="T22" s="472"/>
      <c r="U22" s="472"/>
    </row>
    <row r="23" spans="1:22" s="253" customFormat="1">
      <c r="A23" s="475" t="s">
        <v>233</v>
      </c>
      <c r="B23" s="473">
        <f>B51*'VEIC RA Supplemental'!B2</f>
        <v>435.23433520265587</v>
      </c>
      <c r="C23" s="473">
        <f>C51*'VEIC RA Supplemental'!C2</f>
        <v>471.48103415668771</v>
      </c>
      <c r="D23" s="473">
        <f>D51*'VEIC RA Supplemental'!D2</f>
        <v>517.98674623477291</v>
      </c>
      <c r="E23" s="473">
        <f>E51*'VEIC RA Supplemental'!E2</f>
        <v>547.429604147791</v>
      </c>
      <c r="F23" s="473">
        <f>F51*'VEIC RA Supplemental'!F2</f>
        <v>564.34318611133006</v>
      </c>
      <c r="G23" s="473">
        <f>G51*'VEIC RA Supplemental'!G2</f>
        <v>587.73961895755633</v>
      </c>
      <c r="H23" s="473">
        <f>H51*'VEIC RA Supplemental'!H2</f>
        <v>627.69774790742827</v>
      </c>
      <c r="I23" s="473">
        <f>I51*'VEIC RA Supplemental'!I2</f>
        <v>656.72469608139659</v>
      </c>
      <c r="J23" s="473">
        <f>J51*'VEIC RA Supplemental'!J2</f>
        <v>687.73249873089446</v>
      </c>
      <c r="K23" s="473">
        <f>K51*'VEIC RA Supplemental'!K2</f>
        <v>694.27758729464608</v>
      </c>
      <c r="L23" s="473">
        <f>L51*'VEIC RA Supplemental'!L2</f>
        <v>726.4786147579365</v>
      </c>
      <c r="M23" s="473">
        <f>M51*'VEIC RA Supplemental'!M2</f>
        <v>754.27750085693913</v>
      </c>
      <c r="N23" s="473">
        <f>N51*'VEIC RA Supplemental'!N2</f>
        <v>791.08848137294274</v>
      </c>
      <c r="O23" s="473">
        <f>O51*'VEIC RA Supplemental'!O2</f>
        <v>835.05503128172711</v>
      </c>
      <c r="P23" s="473">
        <f>P51*'VEIC RA Supplemental'!P2</f>
        <v>843.34405844506875</v>
      </c>
      <c r="Q23" s="473">
        <f>Q51*'VEIC RA Supplemental'!Q2</f>
        <v>880.75913807677591</v>
      </c>
      <c r="R23" s="473">
        <f>R51*'VEIC RA Supplemental'!R2</f>
        <v>919.95216559245694</v>
      </c>
      <c r="S23" s="473">
        <f>S51*'VEIC RA Supplemental'!S2</f>
        <v>948.92576658881001</v>
      </c>
      <c r="T23" s="473">
        <f>T51*'VEIC RA Supplemental'!T2</f>
        <v>997.60845081172863</v>
      </c>
      <c r="U23" s="473">
        <f>U51*'VEIC RA Supplemental'!U2</f>
        <v>1017.4303455446708</v>
      </c>
    </row>
    <row r="24" spans="1:22" s="253" customFormat="1">
      <c r="A24" s="475" t="s">
        <v>237</v>
      </c>
      <c r="B24" s="474">
        <f>B55*'VEIC RA Supplemental'!B2</f>
        <v>433.62785627920795</v>
      </c>
      <c r="C24" s="474">
        <f>C55*'VEIC RA Supplemental'!C2</f>
        <v>445.15232679925509</v>
      </c>
      <c r="D24" s="474">
        <f>D55*'VEIC RA Supplemental'!D2</f>
        <v>456.89461398750024</v>
      </c>
      <c r="E24" s="474">
        <f>E55*'VEIC RA Supplemental'!E2</f>
        <v>524.42254151702764</v>
      </c>
      <c r="F24" s="474">
        <f>F55*'VEIC RA Supplemental'!F2</f>
        <v>503.38463367308964</v>
      </c>
      <c r="G24" s="474">
        <f>G55*'VEIC RA Supplemental'!G2</f>
        <v>712.69193703393535</v>
      </c>
      <c r="H24" s="474">
        <f>H55*'VEIC RA Supplemental'!H2</f>
        <v>824.03896857727648</v>
      </c>
      <c r="I24" s="474">
        <f>I55*'VEIC RA Supplemental'!I2</f>
        <v>894.9743058524482</v>
      </c>
      <c r="J24" s="474">
        <f>J55*'VEIC RA Supplemental'!J2</f>
        <v>948.54969419860697</v>
      </c>
      <c r="K24" s="474">
        <f>K55*'VEIC RA Supplemental'!K2</f>
        <v>961.77892673537247</v>
      </c>
      <c r="L24" s="474">
        <f>L55*'VEIC RA Supplemental'!L2</f>
        <v>974.7089382978869</v>
      </c>
      <c r="M24" s="474">
        <f>M55*'VEIC RA Supplemental'!M2</f>
        <v>988.10332452458215</v>
      </c>
      <c r="N24" s="474">
        <f>N55*'VEIC RA Supplemental'!N2</f>
        <v>1014.1110155678716</v>
      </c>
      <c r="O24" s="474">
        <f>O55*'VEIC RA Supplemental'!O2</f>
        <v>1057.6815405872387</v>
      </c>
      <c r="P24" s="474">
        <f>P55*'VEIC RA Supplemental'!P2</f>
        <v>1093.6641331939529</v>
      </c>
      <c r="Q24" s="474">
        <f>Q55*'VEIC RA Supplemental'!Q2</f>
        <v>1121.4587488064362</v>
      </c>
      <c r="R24" s="474">
        <f>R55*'VEIC RA Supplemental'!R2</f>
        <v>1156.9317957147225</v>
      </c>
      <c r="S24" s="474">
        <f>S55*'VEIC RA Supplemental'!S2</f>
        <v>1166.3471097952597</v>
      </c>
      <c r="T24" s="474">
        <f>T55*'VEIC RA Supplemental'!T2</f>
        <v>1212.4454710079983</v>
      </c>
      <c r="U24" s="474">
        <f>U55*'VEIC RA Supplemental'!U2</f>
        <v>1236.9635374915385</v>
      </c>
    </row>
    <row r="25" spans="1:22" s="253" customFormat="1">
      <c r="A25" s="466"/>
      <c r="B25" s="474"/>
      <c r="C25" s="474"/>
      <c r="D25" s="474"/>
      <c r="E25" s="474"/>
      <c r="F25" s="474"/>
      <c r="G25" s="474"/>
      <c r="H25" s="474"/>
      <c r="I25" s="474"/>
      <c r="J25" s="474"/>
      <c r="K25" s="474"/>
      <c r="L25" s="474"/>
      <c r="M25" s="474"/>
      <c r="N25" s="474"/>
      <c r="O25" s="474"/>
      <c r="P25" s="474"/>
      <c r="Q25" s="474"/>
      <c r="R25" s="474"/>
      <c r="S25" s="474"/>
      <c r="T25" s="474"/>
      <c r="U25" s="474"/>
    </row>
    <row r="26" spans="1:22">
      <c r="A26" s="4" t="s">
        <v>449</v>
      </c>
      <c r="B26" s="364"/>
      <c r="C26" s="363"/>
      <c r="D26" s="363"/>
      <c r="E26" s="363"/>
      <c r="F26" s="363"/>
      <c r="G26" s="363"/>
      <c r="H26" s="363"/>
      <c r="I26" s="363"/>
      <c r="J26" s="363"/>
      <c r="K26" s="363"/>
      <c r="L26" s="363"/>
      <c r="M26" s="363"/>
      <c r="N26" s="363"/>
      <c r="O26" s="363"/>
      <c r="P26" s="363"/>
      <c r="Q26" s="363"/>
      <c r="R26" s="363"/>
      <c r="S26" s="363"/>
      <c r="T26" s="363"/>
      <c r="U26" s="363"/>
    </row>
    <row r="27" spans="1:22">
      <c r="A27" t="s">
        <v>200</v>
      </c>
      <c r="B27" s="54">
        <f>'Scen 2 Budgets'!B56</f>
        <v>41837369.228604779</v>
      </c>
      <c r="C27" s="54">
        <f>'Scen 2 Budgets'!C56</f>
        <v>44179417.168210618</v>
      </c>
      <c r="D27" s="54">
        <f>'Scen 2 Budgets'!D56</f>
        <v>46511268.898549445</v>
      </c>
      <c r="E27" s="54">
        <f>'Scen 2 Budgets'!E56</f>
        <v>46993743.274219558</v>
      </c>
      <c r="F27" s="54">
        <f>'Scen 2 Budgets'!F56</f>
        <v>47604968.327128492</v>
      </c>
      <c r="G27" s="54">
        <f>'Scen 2 Budgets'!G56</f>
        <v>48185144.630116791</v>
      </c>
      <c r="H27" s="54">
        <f>'Scen 2 Budgets'!H56</f>
        <v>48722853.076405793</v>
      </c>
      <c r="I27" s="54">
        <f>'Scen 2 Budgets'!I56</f>
        <v>49308827.816836938</v>
      </c>
      <c r="J27" s="54">
        <f>'Scen 2 Budgets'!J56</f>
        <v>49956291.225610055</v>
      </c>
      <c r="K27" s="54">
        <f>'Scen 2 Budgets'!K56</f>
        <v>50565856.852196604</v>
      </c>
      <c r="L27" s="54">
        <f>'Scen 2 Budgets'!L56</f>
        <v>51157015.205495417</v>
      </c>
      <c r="M27" s="54">
        <f>'Scen 2 Budgets'!M56</f>
        <v>51669190.58486782</v>
      </c>
      <c r="N27" s="54">
        <f>'Scen 2 Budgets'!N56</f>
        <v>51846053.08540462</v>
      </c>
      <c r="O27" s="54">
        <f>'Scen 2 Budgets'!O56</f>
        <v>52383804.033507407</v>
      </c>
      <c r="P27" s="54">
        <f>'Scen 2 Budgets'!P56</f>
        <v>52857834.400018424</v>
      </c>
      <c r="Q27" s="54">
        <f>'Scen 2 Budgets'!Q56</f>
        <v>53431083.596479073</v>
      </c>
      <c r="R27" s="54">
        <f>'Scen 2 Budgets'!R56</f>
        <v>54180648.607315198</v>
      </c>
      <c r="S27" s="54">
        <f>'Scen 2 Budgets'!S56</f>
        <v>54776799.380205229</v>
      </c>
      <c r="T27" s="54">
        <f>'Scen 2 Budgets'!T56</f>
        <v>55375039.628109261</v>
      </c>
      <c r="U27" s="54">
        <f>'Scen 2 Budgets'!U56</f>
        <v>55987829.973272532</v>
      </c>
    </row>
    <row r="28" spans="1:22">
      <c r="A28" t="s">
        <v>197</v>
      </c>
      <c r="B28" s="312">
        <f>'Scen 2 Summer &amp; Winter MW'!B20</f>
        <v>16.817235667708573</v>
      </c>
      <c r="C28" s="312">
        <f>'Scen 2 Summer &amp; Winter MW'!C20</f>
        <v>17.040639276402842</v>
      </c>
      <c r="D28" s="312">
        <f>'Scen 2 Summer &amp; Winter MW'!D20</f>
        <v>16.84853122713109</v>
      </c>
      <c r="E28" s="312">
        <f>'Scen 2 Summer &amp; Winter MW'!E20</f>
        <v>16.711088469909882</v>
      </c>
      <c r="F28" s="312">
        <f>'Scen 2 Summer &amp; Winter MW'!F20</f>
        <v>17.334167304726652</v>
      </c>
      <c r="G28" s="312">
        <f>'Scen 2 Summer &amp; Winter MW'!G20</f>
        <v>15.605115858272189</v>
      </c>
      <c r="H28" s="312">
        <f>'Scen 2 Summer &amp; Winter MW'!H20</f>
        <v>15.303180082104834</v>
      </c>
      <c r="I28" s="312">
        <f>'Scen 2 Summer &amp; Winter MW'!I20</f>
        <v>15.094694660918442</v>
      </c>
      <c r="J28" s="312">
        <f>'Scen 2 Summer &amp; Winter MW'!J20</f>
        <v>14.663284509741779</v>
      </c>
      <c r="K28" s="312">
        <f>'Scen 2 Summer &amp; Winter MW'!K20</f>
        <v>14.889736747664141</v>
      </c>
      <c r="L28" s="312">
        <f>'Scen 2 Summer &amp; Winter MW'!L20</f>
        <v>14.835830827046447</v>
      </c>
      <c r="M28" s="312">
        <f>'Scen 2 Summer &amp; Winter MW'!M20</f>
        <v>14.824152126323238</v>
      </c>
      <c r="N28" s="312">
        <f>'Scen 2 Summer &amp; Winter MW'!N20</f>
        <v>14.667847786541701</v>
      </c>
      <c r="O28" s="312">
        <f>'Scen 2 Summer &amp; Winter MW'!O20</f>
        <v>14.303306107362138</v>
      </c>
      <c r="P28" s="312">
        <f>'Scen 2 Summer &amp; Winter MW'!P20</f>
        <v>14.555107284600824</v>
      </c>
      <c r="Q28" s="312">
        <f>'Scen 2 Summer &amp; Winter MW'!Q20</f>
        <v>14.509910182886165</v>
      </c>
      <c r="R28" s="312">
        <f>'Scen 2 Summer &amp; Winter MW'!R20</f>
        <v>14.522836456078942</v>
      </c>
      <c r="S28" s="312">
        <f>'Scen 2 Summer &amp; Winter MW'!S20</f>
        <v>14.450760558872672</v>
      </c>
      <c r="T28" s="312">
        <f>'Scen 2 Summer &amp; Winter MW'!T20</f>
        <v>14.169326411379661</v>
      </c>
      <c r="U28" s="312">
        <f>'Scen 2 Summer &amp; Winter MW'!U20</f>
        <v>14.254063369035402</v>
      </c>
    </row>
    <row r="29" spans="1:22">
      <c r="A29" t="s">
        <v>198</v>
      </c>
      <c r="B29" s="312">
        <f>'Scen 2 Summer &amp; Winter MW'!B38</f>
        <v>17.169038997335146</v>
      </c>
      <c r="C29" s="312">
        <f>'Scen 2 Summer &amp; Winter MW'!C38</f>
        <v>17.596810511416336</v>
      </c>
      <c r="D29" s="312">
        <f>'Scen 2 Summer &amp; Winter MW'!D38</f>
        <v>17.769952795735968</v>
      </c>
      <c r="E29" s="312">
        <f>'Scen 2 Summer &amp; Winter MW'!E38</f>
        <v>18.742523355671182</v>
      </c>
      <c r="F29" s="312">
        <f>'Scen 2 Summer &amp; Winter MW'!F38</f>
        <v>19.516014008020726</v>
      </c>
      <c r="G29" s="312">
        <f>'Scen 2 Summer &amp; Winter MW'!G38</f>
        <v>15.580969415532905</v>
      </c>
      <c r="H29" s="312">
        <f>'Scen 2 Summer &amp; Winter MW'!H38</f>
        <v>15.17755578503796</v>
      </c>
      <c r="I29" s="312">
        <f>'Scen 2 Summer &amp; Winter MW'!I38</f>
        <v>14.611172176319005</v>
      </c>
      <c r="J29" s="312">
        <f>'Scen 2 Summer &amp; Winter MW'!J38</f>
        <v>14.132323406066217</v>
      </c>
      <c r="K29" s="312">
        <f>'Scen 2 Summer &amp; Winter MW'!K38</f>
        <v>14.248974755904335</v>
      </c>
      <c r="L29" s="312">
        <f>'Scen 2 Summer &amp; Winter MW'!L38</f>
        <v>14.107249267614215</v>
      </c>
      <c r="M29" s="312">
        <f>'Scen 2 Summer &amp; Winter MW'!M38</f>
        <v>14.157388626318532</v>
      </c>
      <c r="N29" s="312">
        <f>'Scen 2 Summer &amp; Winter MW'!N38</f>
        <v>14.060366904424461</v>
      </c>
      <c r="O29" s="312">
        <f>'Scen 2 Summer &amp; Winter MW'!O38</f>
        <v>13.90626197651992</v>
      </c>
      <c r="P29" s="312">
        <f>'Scen 2 Summer &amp; Winter MW'!P38</f>
        <v>14.083450047289585</v>
      </c>
      <c r="Q29" s="312">
        <f>'Scen 2 Summer &amp; Winter MW'!Q38</f>
        <v>14.055835486557319</v>
      </c>
      <c r="R29" s="312">
        <f>'Scen 2 Summer &amp; Winter MW'!R38</f>
        <v>14.050418666347367</v>
      </c>
      <c r="S29" s="312">
        <f>'Scen 2 Summer &amp; Winter MW'!S38</f>
        <v>14.047493490435066</v>
      </c>
      <c r="T29" s="312">
        <f>'Scen 2 Summer &amp; Winter MW'!T38</f>
        <v>13.925892360828055</v>
      </c>
      <c r="U29" s="312">
        <f>'Scen 2 Summer &amp; Winter MW'!U38</f>
        <v>14.087131746875052</v>
      </c>
    </row>
    <row r="30" spans="1:22">
      <c r="A30" t="s">
        <v>419</v>
      </c>
      <c r="B30" s="365">
        <f>B27/B28*'VEIC RA Supplemental'!B2</f>
        <v>2549044.2520933724</v>
      </c>
      <c r="C30" s="365">
        <f>C27/C28*'VEIC RA Supplemental'!C2</f>
        <v>2706029.8561193943</v>
      </c>
      <c r="D30" s="365">
        <f>D27/D28*'VEIC RA Supplemental'!D2</f>
        <v>2935666.574387359</v>
      </c>
      <c r="E30" s="365">
        <f>E27/E28*'VEIC RA Supplemental'!E2</f>
        <v>3049645.9196706819</v>
      </c>
      <c r="F30" s="365">
        <f>F27/F28*'VEIC RA Supplemental'!F2</f>
        <v>3036925.8270569905</v>
      </c>
      <c r="G30" s="365">
        <f>G27/G28*'VEIC RA Supplemental'!G2</f>
        <v>3481884.1125642513</v>
      </c>
      <c r="H30" s="365">
        <f>H27/H28*'VEIC RA Supplemental'!H2</f>
        <v>3661250.875940409</v>
      </c>
      <c r="I30" s="365">
        <f>I27/I28*'VEIC RA Supplemental'!I2</f>
        <v>3830576.6795882131</v>
      </c>
      <c r="J30" s="365">
        <f>J27/J28*'VEIC RA Supplemental'!J2</f>
        <v>4073944.8600747688</v>
      </c>
      <c r="K30" s="365">
        <f>K27/K28*'VEIC RA Supplemental'!K2</f>
        <v>4141161.8813426727</v>
      </c>
      <c r="L30" s="365">
        <f>L27/L28*'VEIC RA Supplemental'!L2</f>
        <v>4287961.8622767376</v>
      </c>
      <c r="M30" s="365">
        <f>M27/M28*'VEIC RA Supplemental'!M2</f>
        <v>4420133.8209034083</v>
      </c>
      <c r="N30" s="365">
        <f>N27/N28*'VEIC RA Supplemental'!N2</f>
        <v>4571801.4034754876</v>
      </c>
      <c r="O30" s="365">
        <f>O27/O28*'VEIC RA Supplemental'!O2</f>
        <v>4830789.4312509159</v>
      </c>
      <c r="P30" s="365">
        <f>P27/P28*'VEIC RA Supplemental'!P2</f>
        <v>4885135.4403641513</v>
      </c>
      <c r="Q30" s="365">
        <f>Q27/Q28*'VEIC RA Supplemental'!Q2</f>
        <v>5051466.9101258181</v>
      </c>
      <c r="R30" s="365">
        <f>R27/R28*'VEIC RA Supplemental'!R2</f>
        <v>5218769.4004827738</v>
      </c>
      <c r="S30" s="365">
        <f>S27/S28*'VEIC RA Supplemental'!S2</f>
        <v>5317870.9521431392</v>
      </c>
      <c r="T30" s="365">
        <f>T27/T28*'VEIC RA Supplemental'!T2</f>
        <v>5554623.7960271351</v>
      </c>
      <c r="U30" s="365">
        <f>U27/U28*'VEIC RA Supplemental'!U2</f>
        <v>5652633.1268033851</v>
      </c>
    </row>
    <row r="31" spans="1:22">
      <c r="A31" t="s">
        <v>420</v>
      </c>
      <c r="B31" s="365">
        <f>B27/B29*'VEIC RA Supplemental'!B2</f>
        <v>2496812.892179104</v>
      </c>
      <c r="C31" s="365">
        <f>C27/C29*'VEIC RA Supplemental'!C2</f>
        <v>2620502.0858405191</v>
      </c>
      <c r="D31" s="365">
        <f>D27/D29*'VEIC RA Supplemental'!D2</f>
        <v>2783444.0822419669</v>
      </c>
      <c r="E31" s="365">
        <f>E27/E29*'VEIC RA Supplemental'!E2</f>
        <v>2719105.7361065475</v>
      </c>
      <c r="F31" s="365">
        <f>F27/F29*'VEIC RA Supplemental'!F2</f>
        <v>2697404.3140477398</v>
      </c>
      <c r="G31" s="365">
        <f>G27/G29*'VEIC RA Supplemental'!G2</f>
        <v>3487280.1256817044</v>
      </c>
      <c r="H31" s="365">
        <f>H27/H29*'VEIC RA Supplemental'!H2</f>
        <v>3691554.9693128676</v>
      </c>
      <c r="I31" s="365">
        <f>I27/I29*'VEIC RA Supplemental'!I2</f>
        <v>3957340.6333088493</v>
      </c>
      <c r="J31" s="365">
        <f>J27/J29*'VEIC RA Supplemental'!J2</f>
        <v>4227005.7685372923</v>
      </c>
      <c r="K31" s="365">
        <f>K27/K29*'VEIC RA Supplemental'!K2</f>
        <v>4327385.7452167664</v>
      </c>
      <c r="L31" s="365">
        <f>L27/L29*'VEIC RA Supplemental'!L2</f>
        <v>4509417.5040633716</v>
      </c>
      <c r="M31" s="365">
        <f>M27/M29*'VEIC RA Supplemental'!M2</f>
        <v>4628306.6679379186</v>
      </c>
      <c r="N31" s="365">
        <f>N27/N29*'VEIC RA Supplemental'!N2</f>
        <v>4769326.9707901059</v>
      </c>
      <c r="O31" s="365">
        <f>O27/O29*'VEIC RA Supplemental'!O2</f>
        <v>4968715.5392338745</v>
      </c>
      <c r="P31" s="365">
        <f>P27/P29*'VEIC RA Supplemental'!P2</f>
        <v>5048739.49178313</v>
      </c>
      <c r="Q31" s="365">
        <f>Q27/Q29*'VEIC RA Supplemental'!Q2</f>
        <v>5214654.8832224207</v>
      </c>
      <c r="R31" s="365">
        <f>R27/R29*'VEIC RA Supplemental'!R2</f>
        <v>5394240.2931188708</v>
      </c>
      <c r="S31" s="365">
        <f>S27/S29*'VEIC RA Supplemental'!S2</f>
        <v>5470533.2210853146</v>
      </c>
      <c r="T31" s="365">
        <f>T27/T29*'VEIC RA Supplemental'!T2</f>
        <v>5651722.3901366768</v>
      </c>
      <c r="U31" s="365">
        <f>U27/U29*'VEIC RA Supplemental'!U2</f>
        <v>5719616.4726178329</v>
      </c>
    </row>
    <row r="32" spans="1:22">
      <c r="A32" t="s">
        <v>421</v>
      </c>
      <c r="B32" s="365">
        <f>B61*'VEIC RA Supplemental'!B2</f>
        <v>2763592.8235415732</v>
      </c>
      <c r="C32" s="365">
        <f>C61*'VEIC RA Supplemental'!C2</f>
        <v>3024542.4045285336</v>
      </c>
      <c r="D32" s="365">
        <f>D61*'VEIC RA Supplemental'!D2</f>
        <v>3391644.0298295692</v>
      </c>
      <c r="E32" s="365">
        <f>E61*'VEIC RA Supplemental'!E2</f>
        <v>3626530.880263492</v>
      </c>
      <c r="F32" s="365">
        <f>F61*'VEIC RA Supplemental'!F2</f>
        <v>3676525.0628879862</v>
      </c>
      <c r="G32" s="365">
        <f>G61*'VEIC RA Supplemental'!G2</f>
        <v>4396239.6269218372</v>
      </c>
      <c r="H32" s="365">
        <f>H61*'VEIC RA Supplemental'!H2</f>
        <v>4755457.1049707737</v>
      </c>
      <c r="I32" s="365">
        <f>I61*'VEIC RA Supplemental'!I2</f>
        <v>5116916.0501168082</v>
      </c>
      <c r="J32" s="365">
        <f>J61*'VEIC RA Supplemental'!J2</f>
        <v>5615894.6284659151</v>
      </c>
      <c r="K32" s="365">
        <f>K61*'VEIC RA Supplemental'!K2</f>
        <v>5835820.8593949508</v>
      </c>
      <c r="L32" s="365">
        <f>L61*'VEIC RA Supplemental'!L2</f>
        <v>6196397.9671213944</v>
      </c>
      <c r="M32" s="365">
        <f>M61*'VEIC RA Supplemental'!M2</f>
        <v>6545251.4105694601</v>
      </c>
      <c r="N32" s="365">
        <f>N61*'VEIC RA Supplemental'!N2</f>
        <v>6957395.8489742018</v>
      </c>
      <c r="O32" s="365">
        <f>O61*'VEIC RA Supplemental'!O2</f>
        <v>7584411.6738856491</v>
      </c>
      <c r="P32" s="365">
        <f>P61*'VEIC RA Supplemental'!P2</f>
        <v>7833600.7286809431</v>
      </c>
      <c r="Q32" s="365">
        <f>Q61*'VEIC RA Supplemental'!Q2</f>
        <v>8310797.1430387925</v>
      </c>
      <c r="R32" s="365">
        <f>R61*'VEIC RA Supplemental'!R2</f>
        <v>8818515.129862735</v>
      </c>
      <c r="S32" s="365">
        <f>S61*'VEIC RA Supplemental'!S2</f>
        <v>9057059.7626754344</v>
      </c>
      <c r="T32" s="365">
        <f>T61*'VEIC RA Supplemental'!T2</f>
        <v>9691333.898594521</v>
      </c>
      <c r="U32" s="365">
        <f>U61*'VEIC RA Supplemental'!U2</f>
        <v>10030007.377673121</v>
      </c>
    </row>
    <row r="33" spans="1:21">
      <c r="A33" t="s">
        <v>422</v>
      </c>
      <c r="B33" s="365">
        <f>B65*'VEIC RA Supplemental'!B2</f>
        <v>2696558.6906208084</v>
      </c>
      <c r="C33" s="365">
        <f>C65*'VEIC RA Supplemental'!C2</f>
        <v>2908483.9592775381</v>
      </c>
      <c r="D33" s="365">
        <f>D65*'VEIC RA Supplemental'!D2</f>
        <v>3178358.2062767874</v>
      </c>
      <c r="E33" s="365">
        <f>E65*'VEIC RA Supplemental'!E2</f>
        <v>3161660.8571264502</v>
      </c>
      <c r="F33" s="365">
        <f>F65*'VEIC RA Supplemental'!F2</f>
        <v>3193775.4253405053</v>
      </c>
      <c r="G33" s="365">
        <f>G65*'VEIC RA Supplemental'!G2</f>
        <v>4383314.7136444058</v>
      </c>
      <c r="H33" s="365">
        <f>H65*'VEIC RA Supplemental'!H2</f>
        <v>4780670.4004346877</v>
      </c>
      <c r="I33" s="365">
        <f>I65*'VEIC RA Supplemental'!I2</f>
        <v>5299555.7486494202</v>
      </c>
      <c r="J33" s="365">
        <f>J65*'VEIC RA Supplemental'!J2</f>
        <v>5851224.2852294501</v>
      </c>
      <c r="K33" s="365">
        <f>K65*'VEIC RA Supplemental'!K2</f>
        <v>6136966.6232586708</v>
      </c>
      <c r="L33" s="365">
        <f>L65*'VEIC RA Supplemental'!L2</f>
        <v>6572372.2018936332</v>
      </c>
      <c r="M33" s="365">
        <f>M65*'VEIC RA Supplemental'!M2</f>
        <v>6909622.9060211368</v>
      </c>
      <c r="N33" s="365">
        <f>N65*'VEIC RA Supplemental'!N2</f>
        <v>7316312.1136792134</v>
      </c>
      <c r="O33" s="365">
        <f>O65*'VEIC RA Supplemental'!O2</f>
        <v>7840544.3852758855</v>
      </c>
      <c r="P33" s="365">
        <f>P65*'VEIC RA Supplemental'!P2</f>
        <v>8151678.5039564203</v>
      </c>
      <c r="Q33" s="365">
        <f>Q65*'VEIC RA Supplemental'!Q2</f>
        <v>8641413.3189356271</v>
      </c>
      <c r="R33" s="365">
        <f>R65*'VEIC RA Supplemental'!R2</f>
        <v>9191261.9017422237</v>
      </c>
      <c r="S33" s="365">
        <f>S65*'VEIC RA Supplemental'!S2</f>
        <v>9388158.1265459005</v>
      </c>
      <c r="T33" s="365">
        <f>T65*'VEIC RA Supplemental'!T2</f>
        <v>9910356.208847167</v>
      </c>
      <c r="U33" s="365">
        <f>U65*'VEIC RA Supplemental'!U2</f>
        <v>10187674.550454335</v>
      </c>
    </row>
    <row r="34" spans="1:21">
      <c r="B34" s="365"/>
      <c r="C34" s="365"/>
      <c r="D34" s="365"/>
      <c r="E34" s="365"/>
      <c r="F34" s="365"/>
      <c r="G34" s="365"/>
      <c r="H34" s="365"/>
      <c r="I34" s="365"/>
      <c r="J34" s="365"/>
      <c r="K34" s="365"/>
      <c r="L34" s="365"/>
      <c r="M34" s="365"/>
      <c r="N34" s="365"/>
      <c r="O34" s="365"/>
      <c r="P34" s="365"/>
      <c r="Q34" s="365"/>
      <c r="R34" s="365"/>
      <c r="S34" s="365"/>
      <c r="T34" s="365"/>
      <c r="U34" s="365"/>
    </row>
    <row r="35" spans="1:21">
      <c r="A35" s="4" t="s">
        <v>425</v>
      </c>
      <c r="B35" s="365"/>
      <c r="C35" s="365"/>
      <c r="D35" s="365"/>
      <c r="E35" s="365"/>
      <c r="F35" s="365"/>
      <c r="G35" s="365"/>
      <c r="H35" s="365"/>
      <c r="I35" s="365"/>
      <c r="J35" s="365"/>
      <c r="K35" s="365"/>
      <c r="L35" s="365"/>
      <c r="M35" s="365"/>
      <c r="N35" s="365"/>
      <c r="O35" s="365"/>
      <c r="P35" s="365"/>
      <c r="Q35" s="365"/>
      <c r="R35" s="365"/>
      <c r="S35" s="365"/>
      <c r="T35" s="365"/>
      <c r="U35" s="365"/>
    </row>
    <row r="36" spans="1:21">
      <c r="A36" s="475" t="s">
        <v>233</v>
      </c>
      <c r="B36" s="775">
        <f>B71</f>
        <v>0.39322822198782792</v>
      </c>
      <c r="C36" s="775">
        <f t="shared" ref="C36:U36" si="10">C71</f>
        <v>0.40787386227328465</v>
      </c>
      <c r="D36" s="775">
        <f t="shared" si="10"/>
        <v>0.43277405162060373</v>
      </c>
      <c r="E36" s="775">
        <f t="shared" si="10"/>
        <v>0.44606915428908311</v>
      </c>
      <c r="F36" s="775">
        <f t="shared" si="10"/>
        <v>0.44289233566248859</v>
      </c>
      <c r="G36" s="775">
        <f t="shared" si="10"/>
        <v>0.4494788043844023</v>
      </c>
      <c r="H36" s="775">
        <f t="shared" si="10"/>
        <v>0.48876329887512099</v>
      </c>
      <c r="I36" s="775">
        <f t="shared" si="10"/>
        <v>0.5067154715549651</v>
      </c>
      <c r="J36" s="775">
        <f t="shared" si="10"/>
        <v>0.52518508149367171</v>
      </c>
      <c r="K36" s="775">
        <f t="shared" si="10"/>
        <v>0.52490959487571065</v>
      </c>
      <c r="L36" s="775">
        <f t="shared" si="10"/>
        <v>0.54371259503714597</v>
      </c>
      <c r="M36" s="775">
        <f t="shared" si="10"/>
        <v>0.55832805767392202</v>
      </c>
      <c r="N36" s="775">
        <f t="shared" si="10"/>
        <v>0.57963886077726789</v>
      </c>
      <c r="O36" s="775">
        <f t="shared" si="10"/>
        <v>0.60599169236248018</v>
      </c>
      <c r="P36" s="775">
        <f t="shared" si="10"/>
        <v>0.60506162232829186</v>
      </c>
      <c r="Q36" s="775">
        <f t="shared" si="10"/>
        <v>0.62469194645486159</v>
      </c>
      <c r="R36" s="775">
        <f t="shared" si="10"/>
        <v>0.64541008263529209</v>
      </c>
      <c r="S36" s="775">
        <f t="shared" si="10"/>
        <v>0.67034306066671245</v>
      </c>
      <c r="T36" s="775">
        <f t="shared" si="10"/>
        <v>0.70385118669220281</v>
      </c>
      <c r="U36" s="775">
        <f t="shared" si="10"/>
        <v>0.71816325855361318</v>
      </c>
    </row>
    <row r="37" spans="1:21">
      <c r="A37" s="475" t="s">
        <v>237</v>
      </c>
      <c r="B37" s="775">
        <f>B75</f>
        <v>0.28688142674503081</v>
      </c>
      <c r="C37" s="775">
        <f t="shared" ref="C37:U37" si="11">C75</f>
        <v>0.3026234029171827</v>
      </c>
      <c r="D37" s="775">
        <f t="shared" si="11"/>
        <v>0.31237300164143134</v>
      </c>
      <c r="E37" s="775">
        <f t="shared" si="11"/>
        <v>0.34643445644944376</v>
      </c>
      <c r="F37" s="775">
        <f t="shared" si="11"/>
        <v>0.34384732777364402</v>
      </c>
      <c r="G37" s="775">
        <f t="shared" si="11"/>
        <v>0.33333265658863576</v>
      </c>
      <c r="H37" s="775">
        <f t="shared" si="11"/>
        <v>0.35835503767685417</v>
      </c>
      <c r="I37" s="775">
        <f t="shared" si="11"/>
        <v>0.37871774066105018</v>
      </c>
      <c r="J37" s="775">
        <f t="shared" si="11"/>
        <v>0.40663180104437774</v>
      </c>
      <c r="K37" s="775">
        <f t="shared" si="11"/>
        <v>0.41817025620314835</v>
      </c>
      <c r="L37" s="775">
        <f t="shared" si="11"/>
        <v>0.42315034173676164</v>
      </c>
      <c r="M37" s="775">
        <f t="shared" si="11"/>
        <v>0.42878455425093304</v>
      </c>
      <c r="N37" s="775">
        <f t="shared" si="11"/>
        <v>0.43962104477753272</v>
      </c>
      <c r="O37" s="775">
        <f t="shared" si="11"/>
        <v>0.45869601286463829</v>
      </c>
      <c r="P37" s="775">
        <f t="shared" si="11"/>
        <v>0.46705009245807855</v>
      </c>
      <c r="Q37" s="775">
        <f t="shared" si="11"/>
        <v>0.47914456605459177</v>
      </c>
      <c r="R37" s="775">
        <f t="shared" si="11"/>
        <v>0.4896788725429419</v>
      </c>
      <c r="S37" s="775">
        <f t="shared" si="11"/>
        <v>0.4982495783270135</v>
      </c>
      <c r="T37" s="775">
        <f t="shared" si="11"/>
        <v>0.52523597381888509</v>
      </c>
      <c r="U37" s="775">
        <f t="shared" si="11"/>
        <v>0.53686587341996861</v>
      </c>
    </row>
    <row r="38" spans="1:21">
      <c r="B38" s="365"/>
      <c r="C38" s="365"/>
      <c r="D38" s="365"/>
      <c r="E38" s="365"/>
      <c r="F38" s="365"/>
      <c r="G38" s="365"/>
      <c r="H38" s="365"/>
      <c r="I38" s="365"/>
      <c r="J38" s="365"/>
      <c r="K38" s="365"/>
      <c r="L38" s="365"/>
      <c r="M38" s="365"/>
      <c r="N38" s="365"/>
      <c r="O38" s="365"/>
      <c r="P38" s="365"/>
      <c r="Q38" s="365"/>
      <c r="R38" s="365"/>
      <c r="S38" s="365"/>
      <c r="T38" s="365"/>
      <c r="U38" s="365"/>
    </row>
    <row r="39" spans="1:21">
      <c r="A39" s="315" t="s">
        <v>221</v>
      </c>
      <c r="B39" s="316">
        <v>40340758.812160082</v>
      </c>
      <c r="C39" s="316">
        <v>43469256.079039998</v>
      </c>
      <c r="D39" s="316">
        <v>46584794.721468762</v>
      </c>
      <c r="E39" s="316">
        <v>48034050.810150273</v>
      </c>
      <c r="F39" s="316">
        <v>49645840.111498863</v>
      </c>
      <c r="G39" s="316">
        <v>51279153.886690289</v>
      </c>
      <c r="H39" s="316">
        <v>52828643.207072772</v>
      </c>
      <c r="I39" s="316">
        <v>54549928.366914928</v>
      </c>
      <c r="J39" s="316">
        <v>56254913.396072045</v>
      </c>
      <c r="K39" s="316">
        <v>58069804.950568497</v>
      </c>
      <c r="L39" s="316">
        <v>59920918.995821059</v>
      </c>
      <c r="M39" s="316">
        <v>61707336.648420602</v>
      </c>
      <c r="N39" s="316">
        <v>63157477.378788918</v>
      </c>
      <c r="O39" s="316">
        <v>65086641.093205884</v>
      </c>
      <c r="P39" s="316">
        <v>66982240.301630571</v>
      </c>
      <c r="Q39" s="316">
        <v>69058751.100950077</v>
      </c>
      <c r="R39" s="316">
        <v>71418978.595257461</v>
      </c>
      <c r="S39" s="316">
        <v>72664867.861289605</v>
      </c>
      <c r="T39" s="316">
        <v>74474758.483421698</v>
      </c>
      <c r="U39" s="316">
        <v>76284649.105553806</v>
      </c>
    </row>
    <row r="40" spans="1:21">
      <c r="A40" s="315" t="s">
        <v>199</v>
      </c>
      <c r="B40" s="316">
        <v>970000</v>
      </c>
      <c r="C40" s="316">
        <v>970000</v>
      </c>
      <c r="D40" s="316">
        <v>970000</v>
      </c>
      <c r="E40" s="316"/>
      <c r="F40" s="316"/>
      <c r="G40" s="316"/>
      <c r="H40" s="316"/>
      <c r="I40" s="316"/>
      <c r="J40" s="316"/>
      <c r="K40" s="316"/>
      <c r="L40" s="316"/>
      <c r="M40" s="316"/>
      <c r="N40" s="316"/>
      <c r="O40" s="316"/>
      <c r="P40" s="316"/>
      <c r="Q40" s="316"/>
      <c r="R40" s="316"/>
      <c r="S40" s="316"/>
      <c r="T40" s="316"/>
      <c r="U40" s="316"/>
    </row>
    <row r="41" spans="1:21">
      <c r="B41" s="143">
        <f>B39-B40</f>
        <v>39370758.812160082</v>
      </c>
      <c r="C41" s="143">
        <f t="shared" ref="C41:D41" si="12">C39-C40</f>
        <v>42499256.079039998</v>
      </c>
      <c r="D41" s="143">
        <f t="shared" si="12"/>
        <v>45614794.721468762</v>
      </c>
    </row>
    <row r="43" spans="1:21">
      <c r="A43" s="252" t="s">
        <v>246</v>
      </c>
      <c r="B43" s="63">
        <v>0.33999644408320845</v>
      </c>
      <c r="C43" s="63">
        <v>0.36000192090666794</v>
      </c>
      <c r="D43" s="63">
        <v>0.3699949778569146</v>
      </c>
      <c r="E43" s="63">
        <v>0.39999548461382162</v>
      </c>
      <c r="F43" s="63">
        <v>0.4</v>
      </c>
      <c r="G43" s="63">
        <v>0.4</v>
      </c>
      <c r="H43" s="63">
        <v>0.4</v>
      </c>
      <c r="I43" s="63">
        <v>0.40000859863711602</v>
      </c>
      <c r="J43" s="63">
        <v>0.43000170053566872</v>
      </c>
      <c r="K43" s="63">
        <v>0.42999937002582894</v>
      </c>
      <c r="L43" s="63">
        <v>0.43000041505831571</v>
      </c>
      <c r="M43" s="63">
        <v>0.42999239606239337</v>
      </c>
      <c r="N43" s="63">
        <v>0.43000204792135982</v>
      </c>
      <c r="O43" s="63">
        <v>0.4599951361867704</v>
      </c>
      <c r="P43" s="63">
        <v>0.45999518014218582</v>
      </c>
      <c r="Q43" s="63">
        <v>0.45999364347860633</v>
      </c>
      <c r="R43" s="63">
        <v>0.45999412398393891</v>
      </c>
      <c r="S43" s="63">
        <v>0.46000077480339363</v>
      </c>
      <c r="T43" s="63">
        <v>0.48000153244962074</v>
      </c>
      <c r="U43" s="63">
        <v>0.48000530413533121</v>
      </c>
    </row>
    <row r="44" spans="1:21">
      <c r="A44" s="252" t="s">
        <v>247</v>
      </c>
      <c r="B44" s="469">
        <f>1-B43</f>
        <v>0.66000355591679161</v>
      </c>
      <c r="C44" s="469">
        <f t="shared" ref="C44:U44" si="13">1-C43</f>
        <v>0.63999807909333206</v>
      </c>
      <c r="D44" s="469">
        <f t="shared" si="13"/>
        <v>0.6300050221430854</v>
      </c>
      <c r="E44" s="469">
        <f t="shared" si="13"/>
        <v>0.60000451538617838</v>
      </c>
      <c r="F44" s="469">
        <f t="shared" si="13"/>
        <v>0.6</v>
      </c>
      <c r="G44" s="469">
        <f t="shared" si="13"/>
        <v>0.6</v>
      </c>
      <c r="H44" s="469">
        <f t="shared" si="13"/>
        <v>0.6</v>
      </c>
      <c r="I44" s="469">
        <f t="shared" si="13"/>
        <v>0.59999140136288398</v>
      </c>
      <c r="J44" s="469">
        <f t="shared" si="13"/>
        <v>0.56999829946433134</v>
      </c>
      <c r="K44" s="469">
        <f t="shared" si="13"/>
        <v>0.57000062997417111</v>
      </c>
      <c r="L44" s="469">
        <f t="shared" si="13"/>
        <v>0.56999958494168435</v>
      </c>
      <c r="M44" s="469">
        <f t="shared" si="13"/>
        <v>0.57000760393760663</v>
      </c>
      <c r="N44" s="469">
        <f t="shared" si="13"/>
        <v>0.56999795207864024</v>
      </c>
      <c r="O44" s="469">
        <f t="shared" si="13"/>
        <v>0.54000486381322954</v>
      </c>
      <c r="P44" s="469">
        <f t="shared" si="13"/>
        <v>0.54000481985781423</v>
      </c>
      <c r="Q44" s="469">
        <f t="shared" si="13"/>
        <v>0.54000635652139373</v>
      </c>
      <c r="R44" s="469">
        <f t="shared" si="13"/>
        <v>0.54000587601606109</v>
      </c>
      <c r="S44" s="469">
        <f t="shared" si="13"/>
        <v>0.53999922519660637</v>
      </c>
      <c r="T44" s="469">
        <f t="shared" si="13"/>
        <v>0.51999846755037926</v>
      </c>
      <c r="U44" s="469">
        <f t="shared" si="13"/>
        <v>0.51999469586466884</v>
      </c>
    </row>
    <row r="47" spans="1:21">
      <c r="A47" s="4" t="s">
        <v>413</v>
      </c>
    </row>
    <row r="48" spans="1:21">
      <c r="A48" t="s">
        <v>417</v>
      </c>
    </row>
    <row r="49" spans="1:21">
      <c r="A49" t="s">
        <v>409</v>
      </c>
      <c r="B49" s="54">
        <f>'Scen 2 Yields'!B36</f>
        <v>419.85424586743505</v>
      </c>
      <c r="C49" s="54">
        <f>'Scen 2 Yields'!C36</f>
        <v>440.95845266518779</v>
      </c>
      <c r="D49" s="54">
        <f>'Scen 2 Yields'!D36</f>
        <v>469.39635735438475</v>
      </c>
      <c r="E49" s="54">
        <f>'Scen 2 Yields'!E36</f>
        <v>480.95844384934435</v>
      </c>
      <c r="F49" s="54">
        <f>'Scen 2 Yields'!F36</f>
        <v>485.12300643691663</v>
      </c>
      <c r="G49" s="54">
        <f>'Scen 2 Yields'!G36</f>
        <v>494.69174486522513</v>
      </c>
      <c r="H49" s="54">
        <f>'Scen 2 Yields'!H36</f>
        <v>515.71773032149326</v>
      </c>
      <c r="I49" s="54">
        <f>'Scen 2 Yields'!I36</f>
        <v>527.74408889537153</v>
      </c>
      <c r="J49" s="54">
        <f>'Scen 2 Yields'!J36</f>
        <v>538.87250775240614</v>
      </c>
      <c r="K49" s="54">
        <f>'Scen 2 Yields'!K36</f>
        <v>533.37992052261404</v>
      </c>
      <c r="L49" s="54">
        <f>'Scen 2 Yields'!L36</f>
        <v>545.73578018760588</v>
      </c>
      <c r="M49" s="54">
        <f>'Scen 2 Yields'!M36</f>
        <v>554.52257144799012</v>
      </c>
      <c r="N49" s="54">
        <f>'Scen 2 Yields'!N36</f>
        <v>567.86490646481866</v>
      </c>
      <c r="O49" s="54">
        <f>'Scen 2 Yields'!O36</f>
        <v>582.21014959458557</v>
      </c>
      <c r="P49" s="54">
        <f>'Scen 2 Yields'!P36</f>
        <v>576.12166024606188</v>
      </c>
      <c r="Q49" s="54">
        <f>'Scen 2 Yields'!Q36</f>
        <v>588.06669416499994</v>
      </c>
      <c r="R49" s="54">
        <f>'Scen 2 Yields'!R36</f>
        <v>600.5119148812496</v>
      </c>
      <c r="S49" s="54">
        <f>'Scen 2 Yields'!S36</f>
        <v>615.17159826978502</v>
      </c>
      <c r="T49" s="54">
        <f>'Scen 2 Yields'!T36</f>
        <v>632.13364186207036</v>
      </c>
      <c r="U49" s="54">
        <f>'Scen 2 Yields'!U36</f>
        <v>634.95515943738155</v>
      </c>
    </row>
    <row r="50" spans="1:21">
      <c r="A50" t="s">
        <v>410</v>
      </c>
      <c r="B50" s="54">
        <f>'Scen 2 Yields'!B85</f>
        <v>264.02985240733568</v>
      </c>
      <c r="C50" s="54">
        <f>'Scen 2 Yields'!C85</f>
        <v>267.99674136288911</v>
      </c>
      <c r="D50" s="54">
        <f>'Scen 2 Yields'!D85</f>
        <v>276.05964990056714</v>
      </c>
      <c r="E50" s="54">
        <f>'Scen 2 Yields'!E85</f>
        <v>286.5445863243342</v>
      </c>
      <c r="F50" s="54">
        <f>'Scen 2 Yields'!F85</f>
        <v>284.13065888261747</v>
      </c>
      <c r="G50" s="54">
        <f>'Scen 2 Yields'!G85</f>
        <v>290.72808351302717</v>
      </c>
      <c r="H50" s="54">
        <f>'Scen 2 Yields'!H85</f>
        <v>297.41276774090272</v>
      </c>
      <c r="I50" s="54">
        <f>'Scen 2 Yields'!I85</f>
        <v>303.821271777356</v>
      </c>
      <c r="J50" s="54">
        <f>'Scen 2 Yields'!J85</f>
        <v>310.86310580991227</v>
      </c>
      <c r="K50" s="54">
        <f>'Scen 2 Yields'!K85</f>
        <v>308.01873292957293</v>
      </c>
      <c r="L50" s="54">
        <f>'Scen 2 Yields'!L85</f>
        <v>315.16407476792386</v>
      </c>
      <c r="M50" s="54">
        <f>'Scen 2 Yields'!M85</f>
        <v>322.44152409200694</v>
      </c>
      <c r="N50" s="54">
        <f>'Scen 2 Yields'!N85</f>
        <v>329.52802958785958</v>
      </c>
      <c r="O50" s="54">
        <f>'Scen 2 Yields'!O85</f>
        <v>335.52166167098949</v>
      </c>
      <c r="P50" s="54">
        <f>'Scen 2 Yields'!P85</f>
        <v>331.96522283146481</v>
      </c>
      <c r="Q50" s="54">
        <f>'Scen 2 Yields'!Q85</f>
        <v>339.23509020484818</v>
      </c>
      <c r="R50" s="54">
        <f>'Scen 2 Yields'!R85</f>
        <v>347.09458750982964</v>
      </c>
      <c r="S50" s="54">
        <f>'Scen 2 Yields'!S85</f>
        <v>355.87368281505758</v>
      </c>
      <c r="T50" s="54">
        <f>'Scen 2 Yields'!T85</f>
        <v>364.25523346826088</v>
      </c>
      <c r="U50" s="54">
        <f>'Scen 2 Yields'!U85</f>
        <v>364.34561756396971</v>
      </c>
    </row>
    <row r="51" spans="1:21">
      <c r="A51" t="s">
        <v>411</v>
      </c>
      <c r="B51" s="773">
        <f>(B49-('Scen 2 MWh Savings'!B25/'Scen 2 MWh Savings'!B18)*B50)/(1-('Scen 2 MWh Savings'!B25/'Scen 2 MWh Savings'!B18))</f>
        <v>424.77165813991849</v>
      </c>
      <c r="C51" s="773">
        <f>(C49-('Scen 2 MWh Savings'!C25/'Scen 2 MWh Savings'!C18)*C50)/(1-('Scen 2 MWh Savings'!C25/'Scen 2 MWh Savings'!C18))</f>
        <v>451.71627951994202</v>
      </c>
      <c r="D51" s="773">
        <f>(D49-('Scen 2 MWh Savings'!D25/'Scen 2 MWh Savings'!D18)*D50)/(1-('Scen 2 MWh Savings'!D25/'Scen 2 MWh Savings'!D18))</f>
        <v>487.08870654534132</v>
      </c>
      <c r="E51" s="773">
        <f>(E49-('Scen 2 MWh Savings'!E25/'Scen 2 MWh Savings'!E18)*E50)/(1-('Scen 2 MWh Savings'!E25/'Scen 2 MWh Savings'!E18))</f>
        <v>504.79397526461184</v>
      </c>
      <c r="F51" s="773">
        <f>(F49-('Scen 2 MWh Savings'!F25/'Scen 2 MWh Savings'!F18)*F50)/(1-('Scen 2 MWh Savings'!F25/'Scen 2 MWh Savings'!F18))</f>
        <v>510.33857587193586</v>
      </c>
      <c r="G51" s="773">
        <f>(G49-('Scen 2 MWh Savings'!G25/'Scen 2 MWh Savings'!G18)*G50)/(1-('Scen 2 MWh Savings'!G25/'Scen 2 MWh Savings'!G18))</f>
        <v>521.21490208581804</v>
      </c>
      <c r="H51" s="773">
        <f>(H49-('Scen 2 MWh Savings'!H25/'Scen 2 MWh Savings'!H18)*H50)/(1-('Scen 2 MWh Savings'!H25/'Scen 2 MWh Savings'!H18))</f>
        <v>545.84847893664232</v>
      </c>
      <c r="I51" s="773">
        <f>(I49-('Scen 2 MWh Savings'!I25/'Scen 2 MWh Savings'!I18)*I50)/(1-('Scen 2 MWh Savings'!I25/'Scen 2 MWh Savings'!I18))</f>
        <v>560.04062794589242</v>
      </c>
      <c r="J51" s="773">
        <f>(J49-('Scen 2 MWh Savings'!J25/'Scen 2 MWh Savings'!J18)*J50)/(1-('Scen 2 MWh Savings'!J25/'Scen 2 MWh Savings'!J18))</f>
        <v>575.12643282382635</v>
      </c>
      <c r="K51" s="773">
        <f>(K49-('Scen 2 MWh Savings'!K25/'Scen 2 MWh Savings'!K18)*K50)/(1-('Scen 2 MWh Savings'!K25/'Scen 2 MWh Savings'!K18))</f>
        <v>569.35257510684414</v>
      </c>
      <c r="L51" s="773">
        <f>(L49-('Scen 2 MWh Savings'!L25/'Scen 2 MWh Savings'!L18)*L50)/(1-('Scen 2 MWh Savings'!L25/'Scen 2 MWh Savings'!L18))</f>
        <v>584.20496743661897</v>
      </c>
      <c r="M51" s="773">
        <f>(M49-('Scen 2 MWh Savings'!M25/'Scen 2 MWh Savings'!M18)*M50)/(1-('Scen 2 MWh Savings'!M25/'Scen 2 MWh Savings'!M18))</f>
        <v>594.78160795224005</v>
      </c>
      <c r="N51" s="773">
        <f>(N49-('Scen 2 MWh Savings'!N25/'Scen 2 MWh Savings'!N18)*N50)/(1-('Scen 2 MWh Savings'!N25/'Scen 2 MWh Savings'!N18))</f>
        <v>611.62750870752916</v>
      </c>
      <c r="O51" s="773">
        <f>(O49-('Scen 2 MWh Savings'!O25/'Scen 2 MWh Savings'!O18)*O50)/(1-('Scen 2 MWh Savings'!O25/'Scen 2 MWh Savings'!O18))</f>
        <v>633.07853610941288</v>
      </c>
      <c r="P51" s="773">
        <f>(P49-('Scen 2 MWh Savings'!P25/'Scen 2 MWh Savings'!P18)*P50)/(1-('Scen 2 MWh Savings'!P25/'Scen 2 MWh Savings'!P18))</f>
        <v>626.93445093969922</v>
      </c>
      <c r="Q51" s="773">
        <f>(Q49-('Scen 2 MWh Savings'!Q25/'Scen 2 MWh Savings'!Q18)*Q50)/(1-('Scen 2 MWh Savings'!Q25/'Scen 2 MWh Savings'!Q18))</f>
        <v>642.05007797268217</v>
      </c>
      <c r="R51" s="773">
        <f>(R49-('Scen 2 MWh Savings'!R25/'Scen 2 MWh Savings'!R18)*R50)/(1-('Scen 2 MWh Savings'!R25/'Scen 2 MWh Savings'!R18))</f>
        <v>657.6425305729839</v>
      </c>
      <c r="S51" s="773">
        <f>(S49-('Scen 2 MWh Savings'!S25/'Scen 2 MWh Savings'!S18)*S50)/(1-('Scen 2 MWh Savings'!S25/'Scen 2 MWh Savings'!S18))</f>
        <v>676.39500669420181</v>
      </c>
      <c r="T51" s="773">
        <f>(T49-('Scen 2 MWh Savings'!T25/'Scen 2 MWh Savings'!T18)*T50)/(1-('Scen 2 MWh Savings'!T25/'Scen 2 MWh Savings'!T18))</f>
        <v>701.89203495164531</v>
      </c>
      <c r="U51" s="773">
        <f>(U49-('Scen 2 MWh Savings'!U25/'Scen 2 MWh Savings'!U18)*U50)/(1-('Scen 2 MWh Savings'!U25/'Scen 2 MWh Savings'!U18))</f>
        <v>706.98278215220876</v>
      </c>
    </row>
    <row r="52" spans="1:21">
      <c r="A52" t="s">
        <v>418</v>
      </c>
      <c r="B52" s="54"/>
      <c r="C52" s="54"/>
      <c r="D52" s="54"/>
    </row>
    <row r="53" spans="1:21">
      <c r="A53" t="s">
        <v>409</v>
      </c>
      <c r="B53" s="54">
        <f>'Scen 2 Yields'!B30</f>
        <v>343.01440530656987</v>
      </c>
      <c r="C53" s="54">
        <f>'Scen 2 Yields'!C30</f>
        <v>349.37342858295921</v>
      </c>
      <c r="D53" s="54">
        <f>'Scen 2 Yields'!D30</f>
        <v>353.59195053966914</v>
      </c>
      <c r="E53" s="54">
        <f>'Scen 2 Yields'!E30</f>
        <v>391.67225923972615</v>
      </c>
      <c r="F53" s="54">
        <f>'Scen 2 Yields'!F30</f>
        <v>373.61701672406809</v>
      </c>
      <c r="G53" s="54">
        <f>'Scen 2 Yields'!G30</f>
        <v>473.84900500488982</v>
      </c>
      <c r="H53" s="54">
        <f>'Scen 2 Yields'!H30</f>
        <v>513.19585516154802</v>
      </c>
      <c r="I53" s="54">
        <f>'Scen 2 Yields'!I30</f>
        <v>531.51312950974216</v>
      </c>
      <c r="J53" s="54">
        <f>'Scen 2 Yields'!J30</f>
        <v>554.00722157500991</v>
      </c>
      <c r="K53" s="54">
        <f>'Scen 2 Yields'!K30</f>
        <v>550.36738178068185</v>
      </c>
      <c r="L53" s="54">
        <f>'Scen 2 Yields'!L30</f>
        <v>546.64978411825871</v>
      </c>
      <c r="M53" s="54">
        <f>'Scen 2 Yields'!M30</f>
        <v>542.94287845396957</v>
      </c>
      <c r="N53" s="54">
        <f>'Scen 2 Yields'!N30</f>
        <v>541.79795596595807</v>
      </c>
      <c r="O53" s="54">
        <f>'Scen 2 Yields'!O30</f>
        <v>560.07482748160908</v>
      </c>
      <c r="P53" s="54">
        <f>'Scen 2 Yields'!P30</f>
        <v>563.89739301938619</v>
      </c>
      <c r="Q53" s="54">
        <f>'Scen 2 Yields'!Q30</f>
        <v>564.37010940607115</v>
      </c>
      <c r="R53" s="54">
        <f>'Scen 2 Yields'!R30</f>
        <v>565.17530651527693</v>
      </c>
      <c r="S53" s="54">
        <f>'Scen 2 Yields'!S30</f>
        <v>566.48797386135891</v>
      </c>
      <c r="T53" s="54">
        <f>'Scen 2 Yields'!T30</f>
        <v>582.25991986412373</v>
      </c>
      <c r="U53" s="54">
        <f>'Scen 2 Yields'!U30</f>
        <v>583.72257596158272</v>
      </c>
    </row>
    <row r="54" spans="1:21">
      <c r="A54" t="s">
        <v>410</v>
      </c>
      <c r="B54" s="54">
        <f>'Scen 2 Yields'!B84</f>
        <v>112.24407904019782</v>
      </c>
      <c r="C54" s="54">
        <f>'Scen 2 Yields'!C84</f>
        <v>111.91193145849805</v>
      </c>
      <c r="D54" s="54">
        <f>'Scen 2 Yields'!D84</f>
        <v>111.32636616001722</v>
      </c>
      <c r="E54" s="54">
        <f>'Scen 2 Yields'!E84</f>
        <v>110.54375213150885</v>
      </c>
      <c r="F54" s="54">
        <f>'Scen 2 Yields'!F84</f>
        <v>109.26008618894274</v>
      </c>
      <c r="G54" s="54">
        <f>'Scen 2 Yields'!G84</f>
        <v>107.40227091191645</v>
      </c>
      <c r="H54" s="54">
        <f>'Scen 2 Yields'!H84</f>
        <v>105.12718734885463</v>
      </c>
      <c r="I54" s="54">
        <f>'Scen 2 Yields'!I84</f>
        <v>102.72261781220155</v>
      </c>
      <c r="J54" s="54">
        <f>'Scen 2 Yields'!J84</f>
        <v>100.44402975184457</v>
      </c>
      <c r="K54" s="54">
        <f>'Scen 2 Yields'!K84</f>
        <v>99.180800582974939</v>
      </c>
      <c r="L54" s="54">
        <f>'Scen 2 Yields'!L84</f>
        <v>98.130994434719298</v>
      </c>
      <c r="M54" s="54">
        <f>'Scen 2 Yields'!M84</f>
        <v>97.03754849492195</v>
      </c>
      <c r="N54" s="54">
        <f>'Scen 2 Yields'!N84</f>
        <v>95.195714188613053</v>
      </c>
      <c r="O54" s="54">
        <f>'Scen 2 Yields'!O84</f>
        <v>94.164274203127235</v>
      </c>
      <c r="P54" s="54">
        <f>'Scen 2 Yields'!P84</f>
        <v>93.138082596969454</v>
      </c>
      <c r="Q54" s="54">
        <f>'Scen 2 Yields'!Q84</f>
        <v>92.172704298223522</v>
      </c>
      <c r="R54" s="54">
        <f>'Scen 2 Yields'!R84</f>
        <v>90.274815418099266</v>
      </c>
      <c r="S54" s="54">
        <f>'Scen 2 Yields'!S84</f>
        <v>89.315997193536077</v>
      </c>
      <c r="T54" s="54">
        <f>'Scen 2 Yields'!T84</f>
        <v>88.413008292382429</v>
      </c>
      <c r="U54" s="54">
        <f>'Scen 2 Yields'!U84</f>
        <v>87.336370865131471</v>
      </c>
    </row>
    <row r="55" spans="1:21">
      <c r="A55" t="s">
        <v>411</v>
      </c>
      <c r="B55" s="773">
        <f>(B53-('Scen 2 MWh Savings'!B24/'Scen 2 MWh Savings'!B12)*B54)/(1-('Scen 2 MWh Savings'!B24/'Scen 2 MWh Savings'!B12))</f>
        <v>423.20379765445824</v>
      </c>
      <c r="C55" s="773">
        <f>(C53-('Scen 2 MWh Savings'!C24/'Scen 2 MWh Savings'!C12)*C54)/(1-('Scen 2 MWh Savings'!C24/'Scen 2 MWh Savings'!C12))</f>
        <v>426.4912866348277</v>
      </c>
      <c r="D55" s="773">
        <f>(D53-('Scen 2 MWh Savings'!D24/'Scen 2 MWh Savings'!D12)*D54)/(1-('Scen 2 MWh Savings'!D24/'Scen 2 MWh Savings'!D12))</f>
        <v>429.64073535162709</v>
      </c>
      <c r="E55" s="773">
        <f>(E53-('Scen 2 MWh Savings'!E24/'Scen 2 MWh Savings'!E12)*E54)/(1-('Scen 2 MWh Savings'!E24/'Scen 2 MWh Savings'!E12))</f>
        <v>483.57877879633764</v>
      </c>
      <c r="F55" s="773">
        <f>(F53-('Scen 2 MWh Savings'!F24/'Scen 2 MWh Savings'!F12)*F54)/(1-('Scen 2 MWh Savings'!F24/'Scen 2 MWh Savings'!F12))</f>
        <v>455.2134293225289</v>
      </c>
      <c r="G55" s="773">
        <f>(G53-('Scen 2 MWh Savings'!G24/'Scen 2 MWh Savings'!G12)*G54)/(1-('Scen 2 MWh Savings'!G24/'Scen 2 MWh Savings'!G12))</f>
        <v>632.02419268135134</v>
      </c>
      <c r="H55" s="773">
        <f>(H53-('Scen 2 MWh Savings'!H24/'Scen 2 MWh Savings'!H12)*H54)/(1-('Scen 2 MWh Savings'!H24/'Scen 2 MWh Savings'!H12))</f>
        <v>716.58759184963924</v>
      </c>
      <c r="I55" s="773">
        <f>(I53-('Scen 2 MWh Savings'!I24/'Scen 2 MWh Savings'!I12)*I54)/(1-('Scen 2 MWh Savings'!I24/'Scen 2 MWh Savings'!I12))</f>
        <v>763.21474620305924</v>
      </c>
      <c r="J55" s="773">
        <f>(J53-('Scen 2 MWh Savings'!J24/'Scen 2 MWh Savings'!J12)*J54)/(1-('Scen 2 MWh Savings'!J24/'Scen 2 MWh Savings'!J12))</f>
        <v>793.23865454559689</v>
      </c>
      <c r="K55" s="773">
        <f>(K53-('Scen 2 MWh Savings'!K24/'Scen 2 MWh Savings'!K12)*K54)/(1-('Scen 2 MWh Savings'!K24/'Scen 2 MWh Savings'!K12))</f>
        <v>788.72099379450015</v>
      </c>
      <c r="L55" s="773">
        <f>(L53-('Scen 2 MWh Savings'!L24/'Scen 2 MWh Savings'!L12)*L54)/(1-('Scen 2 MWh Savings'!L24/'Scen 2 MWh Savings'!L12))</f>
        <v>783.82183864866158</v>
      </c>
      <c r="M55" s="773">
        <f>(M53-('Scen 2 MWh Savings'!M24/'Scen 2 MWh Savings'!M12)*M54)/(1-('Scen 2 MWh Savings'!M24/'Scen 2 MWh Savings'!M12))</f>
        <v>779.16374744837162</v>
      </c>
      <c r="N55" s="773">
        <f>(N53-('Scen 2 MWh Savings'!N24/'Scen 2 MWh Savings'!N12)*N54)/(1-('Scen 2 MWh Savings'!N24/'Scen 2 MWh Savings'!N12))</f>
        <v>784.05666194023547</v>
      </c>
      <c r="O55" s="773">
        <f>(O53-('Scen 2 MWh Savings'!O24/'Scen 2 MWh Savings'!O12)*O54)/(1-('Scen 2 MWh Savings'!O24/'Scen 2 MWh Savings'!O12))</f>
        <v>801.85790912145603</v>
      </c>
      <c r="P55" s="773">
        <f>(P53-('Scen 2 MWh Savings'!P24/'Scen 2 MWh Savings'!P12)*P54)/(1-('Scen 2 MWh Savings'!P24/'Scen 2 MWh Savings'!P12))</f>
        <v>813.0201618074874</v>
      </c>
      <c r="Q55" s="773">
        <f>(Q53-('Scen 2 MWh Savings'!Q24/'Scen 2 MWh Savings'!Q12)*Q54)/(1-('Scen 2 MWh Savings'!Q24/'Scen 2 MWh Savings'!Q12))</f>
        <v>817.51371741266416</v>
      </c>
      <c r="R55" s="773">
        <f>(R53-('Scen 2 MWh Savings'!R24/'Scen 2 MWh Savings'!R12)*R54)/(1-('Scen 2 MWh Savings'!R24/'Scen 2 MWh Savings'!R12))</f>
        <v>827.05121232491945</v>
      </c>
      <c r="S55" s="773">
        <f>(S53-('Scen 2 MWh Savings'!S24/'Scen 2 MWh Savings'!S12)*S54)/(1-('Scen 2 MWh Savings'!S24/'Scen 2 MWh Savings'!S12))</f>
        <v>831.37310516258754</v>
      </c>
      <c r="T55" s="773">
        <f>(T53-('Scen 2 MWh Savings'!T24/'Scen 2 MWh Savings'!T12)*T54)/(1-('Scen 2 MWh Savings'!T24/'Scen 2 MWh Savings'!T12))</f>
        <v>853.04592019170263</v>
      </c>
      <c r="U55" s="773">
        <f>(U53-('Scen 2 MWh Savings'!U24/'Scen 2 MWh Savings'!U12)*U54)/(1-('Scen 2 MWh Savings'!U24/'Scen 2 MWh Savings'!U12))</f>
        <v>859.53001793793078</v>
      </c>
    </row>
    <row r="57" spans="1:21">
      <c r="A57" s="4" t="s">
        <v>414</v>
      </c>
    </row>
    <row r="58" spans="1:21">
      <c r="A58" t="s">
        <v>415</v>
      </c>
    </row>
    <row r="59" spans="1:21">
      <c r="A59" t="s">
        <v>409</v>
      </c>
      <c r="B59" s="143">
        <f>B30</f>
        <v>2549044.2520933724</v>
      </c>
      <c r="C59" s="143">
        <f t="shared" ref="C59:U59" si="14">C30</f>
        <v>2706029.8561193943</v>
      </c>
      <c r="D59" s="143">
        <f t="shared" si="14"/>
        <v>2935666.574387359</v>
      </c>
      <c r="E59" s="143">
        <f t="shared" si="14"/>
        <v>3049645.9196706819</v>
      </c>
      <c r="F59" s="143">
        <f t="shared" si="14"/>
        <v>3036925.8270569905</v>
      </c>
      <c r="G59" s="143">
        <f t="shared" si="14"/>
        <v>3481884.1125642513</v>
      </c>
      <c r="H59" s="143">
        <f t="shared" si="14"/>
        <v>3661250.875940409</v>
      </c>
      <c r="I59" s="143">
        <f t="shared" si="14"/>
        <v>3830576.6795882131</v>
      </c>
      <c r="J59" s="143">
        <f t="shared" si="14"/>
        <v>4073944.8600747688</v>
      </c>
      <c r="K59" s="143">
        <f t="shared" si="14"/>
        <v>4141161.8813426727</v>
      </c>
      <c r="L59" s="143">
        <f t="shared" si="14"/>
        <v>4287961.8622767376</v>
      </c>
      <c r="M59" s="143">
        <f t="shared" si="14"/>
        <v>4420133.8209034083</v>
      </c>
      <c r="N59" s="143">
        <f t="shared" si="14"/>
        <v>4571801.4034754876</v>
      </c>
      <c r="O59" s="143">
        <f t="shared" si="14"/>
        <v>4830789.4312509159</v>
      </c>
      <c r="P59" s="143">
        <f t="shared" si="14"/>
        <v>4885135.4403641513</v>
      </c>
      <c r="Q59" s="143">
        <f t="shared" si="14"/>
        <v>5051466.9101258181</v>
      </c>
      <c r="R59" s="143">
        <f t="shared" si="14"/>
        <v>5218769.4004827738</v>
      </c>
      <c r="S59" s="143">
        <f t="shared" si="14"/>
        <v>5317870.9521431392</v>
      </c>
      <c r="T59" s="143">
        <f t="shared" si="14"/>
        <v>5554623.7960271351</v>
      </c>
      <c r="U59" s="143">
        <f t="shared" si="14"/>
        <v>5652633.1268033851</v>
      </c>
    </row>
    <row r="60" spans="1:21">
      <c r="A60" t="s">
        <v>410</v>
      </c>
      <c r="B60" s="365">
        <f>'Scen 2 Yields'!B86*'Scen 2 Yields'!B91*1000</f>
        <v>1106144.762021095</v>
      </c>
      <c r="C60" s="365">
        <f>'Scen 2 Yields'!C86*'Scen 2 Yields'!C91*1000</f>
        <v>1183741.4017220195</v>
      </c>
      <c r="D60" s="365">
        <f>'Scen 2 Yields'!D86*'Scen 2 Yields'!D91*1000</f>
        <v>1245807.9605842605</v>
      </c>
      <c r="E60" s="365">
        <f>'Scen 2 Yields'!E86*'Scen 2 Yields'!E91*1000</f>
        <v>1303187.399563517</v>
      </c>
      <c r="F60" s="365">
        <f>'Scen 2 Yields'!F86*'Scen 2 Yields'!F91*1000</f>
        <v>1293920.1457134169</v>
      </c>
      <c r="G60" s="365">
        <f>'Scen 2 Yields'!G86*'Scen 2 Yields'!G91*1000</f>
        <v>1305037.2468956036</v>
      </c>
      <c r="H60" s="365">
        <f>'Scen 2 Yields'!H86*'Scen 2 Yields'!H91*1000</f>
        <v>1312275.9819731698</v>
      </c>
      <c r="I60" s="365">
        <f>'Scen 2 Yields'!I86*'Scen 2 Yields'!I91*1000</f>
        <v>1318542.1112209058</v>
      </c>
      <c r="J60" s="365">
        <f>'Scen 2 Yields'!J86*'Scen 2 Yields'!J91*1000</f>
        <v>1327982.9299703005</v>
      </c>
      <c r="K60" s="365">
        <f>'Scen 2 Yields'!K86*'Scen 2 Yields'!K91*1000</f>
        <v>1317350.6296281265</v>
      </c>
      <c r="L60" s="365">
        <f>'Scen 2 Yields'!L86*'Scen 2 Yields'!L91*1000</f>
        <v>1335084.7150024935</v>
      </c>
      <c r="M60" s="365">
        <f>'Scen 2 Yields'!M86*'Scen 2 Yields'!M91*1000</f>
        <v>1353838.5124640588</v>
      </c>
      <c r="N60" s="365">
        <f>'Scen 2 Yields'!N86*'Scen 2 Yields'!N91*1000</f>
        <v>1367769.4043268806</v>
      </c>
      <c r="O60" s="365">
        <f>'Scen 2 Yields'!O86*'Scen 2 Yields'!O91*1000</f>
        <v>1384662.3658344839</v>
      </c>
      <c r="P60" s="365">
        <f>'Scen 2 Yields'!P86*'Scen 2 Yields'!P91*1000</f>
        <v>1375207.4883289151</v>
      </c>
      <c r="Q60" s="365">
        <f>'Scen 2 Yields'!Q86*'Scen 2 Yields'!Q91*1000</f>
        <v>1394185.5611107734</v>
      </c>
      <c r="R60" s="365">
        <f>'Scen 2 Yields'!R86*'Scen 2 Yields'!R91*1000</f>
        <v>1406086.6149123188</v>
      </c>
      <c r="S60" s="365">
        <f>'Scen 2 Yields'!S86*'Scen 2 Yields'!S91*1000</f>
        <v>1431407.8737503155</v>
      </c>
      <c r="T60" s="365">
        <f>'Scen 2 Yields'!T86*'Scen 2 Yields'!T91*1000</f>
        <v>1454202.254511548</v>
      </c>
      <c r="U60" s="365">
        <f>'Scen 2 Yields'!U86*'Scen 2 Yields'!U91*1000</f>
        <v>1453231.0338285414</v>
      </c>
    </row>
    <row r="61" spans="1:21">
      <c r="A61" t="s">
        <v>411</v>
      </c>
      <c r="B61" s="365">
        <f>(B59-('Scen 2 Summer &amp; Winter MW'!B45/'Scen 2 Summer &amp; Winter MW'!B20)*B60)/(1-('Scen 2 Summer &amp; Winter MW'!B45/'Scen 2 Summer &amp; Winter MW'!B20))</f>
        <v>2697158.3148023887</v>
      </c>
      <c r="C61" s="365">
        <f>(C59-('Scen 2 Summer &amp; Winter MW'!C45/'Scen 2 Summer &amp; Winter MW'!C20)*C60)/(1-('Scen 2 Summer &amp; Winter MW'!C45/'Scen 2 Summer &amp; Winter MW'!C20))</f>
        <v>2897751.856906903</v>
      </c>
      <c r="D61" s="365">
        <f>(D59-('Scen 2 Summer &amp; Winter MW'!D45/'Scen 2 Summer &amp; Winter MW'!D20)*D60)/(1-('Scen 2 Summer &amp; Winter MW'!D45/'Scen 2 Summer &amp; Winter MW'!D20))</f>
        <v>3189331.6104330304</v>
      </c>
      <c r="E61" s="365">
        <f>(E59-('Scen 2 Summer &amp; Winter MW'!E45/'Scen 2 Summer &amp; Winter MW'!E20)*E60)/(1-('Scen 2 Summer &amp; Winter MW'!E45/'Scen 2 Summer &amp; Winter MW'!E20))</f>
        <v>3344084.6559950649</v>
      </c>
      <c r="F61" s="365">
        <f>(F59-('Scen 2 Summer &amp; Winter MW'!F45/'Scen 2 Summer &amp; Winter MW'!F20)*F60)/(1-('Scen 2 Summer &amp; Winter MW'!F45/'Scen 2 Summer &amp; Winter MW'!F20))</f>
        <v>3324701.3713063514</v>
      </c>
      <c r="G61" s="365">
        <f>(G59-('Scen 2 Summer &amp; Winter MW'!G45/'Scen 2 Summer &amp; Winter MW'!G20)*G60)/(1-('Scen 2 Summer &amp; Winter MW'!G45/'Scen 2 Summer &amp; Winter MW'!G20))</f>
        <v>3898640.7122867978</v>
      </c>
      <c r="H61" s="365">
        <f>(H59-('Scen 2 Summer &amp; Winter MW'!H45/'Scen 2 Summer &amp; Winter MW'!H20)*H60)/(1-('Scen 2 Summer &amp; Winter MW'!H45/'Scen 2 Summer &amp; Winter MW'!H20))</f>
        <v>4135364.5700503024</v>
      </c>
      <c r="I61" s="365">
        <f>(I59-('Scen 2 Summer &amp; Winter MW'!I45/'Scen 2 Summer &amp; Winter MW'!I20)*I60)/(1-('Scen 2 Summer &amp; Winter MW'!I45/'Scen 2 Summer &amp; Winter MW'!I20))</f>
        <v>4363595.4227898428</v>
      </c>
      <c r="J61" s="365">
        <f>(J59-('Scen 2 Summer &amp; Winter MW'!J45/'Scen 2 Summer &amp; Winter MW'!J20)*J60)/(1-('Scen 2 Summer &amp; Winter MW'!J45/'Scen 2 Summer &amp; Winter MW'!J20))</f>
        <v>4696374.6089421166</v>
      </c>
      <c r="K61" s="365">
        <f>(K59-('Scen 2 Summer &amp; Winter MW'!K45/'Scen 2 Summer &amp; Winter MW'!K20)*K60)/(1-('Scen 2 Summer &amp; Winter MW'!K45/'Scen 2 Summer &amp; Winter MW'!K20))</f>
        <v>4785750.9661314311</v>
      </c>
      <c r="L61" s="365">
        <f>(L59-('Scen 2 Summer &amp; Winter MW'!L45/'Scen 2 Summer &amp; Winter MW'!L20)*L60)/(1-('Scen 2 Summer &amp; Winter MW'!L45/'Scen 2 Summer &amp; Winter MW'!L20))</f>
        <v>4982894.7460658057</v>
      </c>
      <c r="M61" s="365">
        <f>(M59-('Scen 2 Summer &amp; Winter MW'!M45/'Scen 2 Summer &amp; Winter MW'!M20)*M60)/(1-('Scen 2 Summer &amp; Winter MW'!M45/'Scen 2 Summer &amp; Winter MW'!M20))</f>
        <v>5161224.0243243584</v>
      </c>
      <c r="N61" s="365">
        <f>(N59-('Scen 2 Summer &amp; Winter MW'!N45/'Scen 2 Summer &amp; Winter MW'!N20)*N60)/(1-('Scen 2 Summer &amp; Winter MW'!N45/'Scen 2 Summer &amp; Winter MW'!N20))</f>
        <v>5379088.1682602884</v>
      </c>
      <c r="O61" s="365">
        <f>(O59-('Scen 2 Summer &amp; Winter MW'!O45/'Scen 2 Summer &amp; Winter MW'!O20)*O60)/(1-('Scen 2 Summer &amp; Winter MW'!O45/'Scen 2 Summer &amp; Winter MW'!O20))</f>
        <v>5749954.2663491247</v>
      </c>
      <c r="P61" s="365">
        <f>(P59-('Scen 2 Summer &amp; Winter MW'!P45/'Scen 2 Summer &amp; Winter MW'!P20)*P60)/(1-('Scen 2 Summer &amp; Winter MW'!P45/'Scen 2 Summer &amp; Winter MW'!P20))</f>
        <v>5823428.910818968</v>
      </c>
      <c r="Q61" s="365">
        <f>(Q59-('Scen 2 Summer &amp; Winter MW'!Q45/'Scen 2 Summer &amp; Winter MW'!Q20)*Q60)/(1-('Scen 2 Summer &amp; Winter MW'!Q45/'Scen 2 Summer &amp; Winter MW'!Q20))</f>
        <v>6058350.9418417932</v>
      </c>
      <c r="R61" s="365">
        <f>(R59-('Scen 2 Summer &amp; Winter MW'!R45/'Scen 2 Summer &amp; Winter MW'!R20)*R60)/(1-('Scen 2 Summer &amp; Winter MW'!R45/'Scen 2 Summer &amp; Winter MW'!R20))</f>
        <v>6304056.6920826724</v>
      </c>
      <c r="S61" s="365">
        <f>(S59-('Scen 2 Summer &amp; Winter MW'!S45/'Scen 2 Summer &amp; Winter MW'!S20)*S60)/(1-('Scen 2 Summer &amp; Winter MW'!S45/'Scen 2 Summer &amp; Winter MW'!S20))</f>
        <v>6455879.0734778615</v>
      </c>
      <c r="T61" s="365">
        <f>(T59-('Scen 2 Summer &amp; Winter MW'!T45/'Scen 2 Summer &amp; Winter MW'!T20)*T60)/(1-('Scen 2 Summer &amp; Winter MW'!T45/'Scen 2 Summer &amp; Winter MW'!T20))</f>
        <v>6818577.0338508431</v>
      </c>
      <c r="U61" s="365">
        <f>(U59-('Scen 2 Summer &amp; Winter MW'!U45/'Scen 2 Summer &amp; Winter MW'!U20)*U60)/(1-('Scen 2 Summer &amp; Winter MW'!U45/'Scen 2 Summer &amp; Winter MW'!U20))</f>
        <v>6969560.6701001311</v>
      </c>
    </row>
    <row r="62" spans="1:21">
      <c r="A62" t="s">
        <v>416</v>
      </c>
    </row>
    <row r="63" spans="1:21">
      <c r="A63" t="s">
        <v>409</v>
      </c>
      <c r="B63" s="143">
        <f>B31</f>
        <v>2496812.892179104</v>
      </c>
      <c r="C63" s="143">
        <f t="shared" ref="C63:U63" si="15">C31</f>
        <v>2620502.0858405191</v>
      </c>
      <c r="D63" s="143">
        <f t="shared" si="15"/>
        <v>2783444.0822419669</v>
      </c>
      <c r="E63" s="143">
        <f t="shared" si="15"/>
        <v>2719105.7361065475</v>
      </c>
      <c r="F63" s="143">
        <f t="shared" si="15"/>
        <v>2697404.3140477398</v>
      </c>
      <c r="G63" s="143">
        <f t="shared" si="15"/>
        <v>3487280.1256817044</v>
      </c>
      <c r="H63" s="143">
        <f t="shared" si="15"/>
        <v>3691554.9693128676</v>
      </c>
      <c r="I63" s="143">
        <f t="shared" si="15"/>
        <v>3957340.6333088493</v>
      </c>
      <c r="J63" s="143">
        <f t="shared" si="15"/>
        <v>4227005.7685372923</v>
      </c>
      <c r="K63" s="143">
        <f t="shared" si="15"/>
        <v>4327385.7452167664</v>
      </c>
      <c r="L63" s="143">
        <f t="shared" si="15"/>
        <v>4509417.5040633716</v>
      </c>
      <c r="M63" s="143">
        <f t="shared" si="15"/>
        <v>4628306.6679379186</v>
      </c>
      <c r="N63" s="143">
        <f t="shared" si="15"/>
        <v>4769326.9707901059</v>
      </c>
      <c r="O63" s="143">
        <f t="shared" si="15"/>
        <v>4968715.5392338745</v>
      </c>
      <c r="P63" s="143">
        <f t="shared" si="15"/>
        <v>5048739.49178313</v>
      </c>
      <c r="Q63" s="143">
        <f t="shared" si="15"/>
        <v>5214654.8832224207</v>
      </c>
      <c r="R63" s="143">
        <f t="shared" si="15"/>
        <v>5394240.2931188708</v>
      </c>
      <c r="S63" s="143">
        <f t="shared" si="15"/>
        <v>5470533.2210853146</v>
      </c>
      <c r="T63" s="143">
        <f t="shared" si="15"/>
        <v>5651722.3901366768</v>
      </c>
      <c r="U63" s="143">
        <f t="shared" si="15"/>
        <v>5719616.4726178329</v>
      </c>
    </row>
    <row r="64" spans="1:21">
      <c r="A64" t="s">
        <v>410</v>
      </c>
      <c r="B64" s="365">
        <f>'Scen 2 Yields'!B86*'Scen 2 Yields'!B96*1000</f>
        <v>1125804.4976363338</v>
      </c>
      <c r="C64" s="365">
        <f>'Scen 2 Yields'!C86*'Scen 2 Yields'!C96*1000</f>
        <v>1214156.761287892</v>
      </c>
      <c r="D64" s="365">
        <f>'Scen 2 Yields'!D86*'Scen 2 Yields'!D96*1000</f>
        <v>1281736.9446409913</v>
      </c>
      <c r="E64" s="365">
        <f>'Scen 2 Yields'!E86*'Scen 2 Yields'!E96*1000</f>
        <v>1342829.150724676</v>
      </c>
      <c r="F64" s="365">
        <f>'Scen 2 Yields'!F86*'Scen 2 Yields'!F96*1000</f>
        <v>1330192.3440631996</v>
      </c>
      <c r="G64" s="365">
        <f>'Scen 2 Yields'!G86*'Scen 2 Yields'!G96*1000</f>
        <v>1338542.7644345106</v>
      </c>
      <c r="H64" s="365">
        <f>'Scen 2 Yields'!H86*'Scen 2 Yields'!H96*1000</f>
        <v>1342825.9094327271</v>
      </c>
      <c r="I64" s="365">
        <f>'Scen 2 Yields'!I86*'Scen 2 Yields'!I96*1000</f>
        <v>1346244.5663738903</v>
      </c>
      <c r="J64" s="365">
        <f>'Scen 2 Yields'!J86*'Scen 2 Yields'!J96*1000</f>
        <v>1353048.751685824</v>
      </c>
      <c r="K64" s="365">
        <f>'Scen 2 Yields'!K86*'Scen 2 Yields'!K96*1000</f>
        <v>1339570.1294574838</v>
      </c>
      <c r="L64" s="365">
        <f>'Scen 2 Yields'!L86*'Scen 2 Yields'!L96*1000</f>
        <v>1355016.8105792927</v>
      </c>
      <c r="M64" s="365">
        <f>'Scen 2 Yields'!M86*'Scen 2 Yields'!M96*1000</f>
        <v>1371515.2706409963</v>
      </c>
      <c r="N64" s="365">
        <f>'Scen 2 Yields'!N86*'Scen 2 Yields'!N96*1000</f>
        <v>1383106.4386438108</v>
      </c>
      <c r="O64" s="365">
        <f>'Scen 2 Yields'!O86*'Scen 2 Yields'!O96*1000</f>
        <v>1397737.9389981481</v>
      </c>
      <c r="P64" s="365">
        <f>'Scen 2 Yields'!P86*'Scen 2 Yields'!P96*1000</f>
        <v>1385822.7406865552</v>
      </c>
      <c r="Q64" s="365">
        <f>'Scen 2 Yields'!Q86*'Scen 2 Yields'!Q96*1000</f>
        <v>1402592.5150297126</v>
      </c>
      <c r="R64" s="365">
        <f>'Scen 2 Yields'!R86*'Scen 2 Yields'!R96*1000</f>
        <v>1412210.5122572754</v>
      </c>
      <c r="S64" s="365">
        <f>'Scen 2 Yields'!S86*'Scen 2 Yields'!S96*1000</f>
        <v>1435378.3160756878</v>
      </c>
      <c r="T64" s="365">
        <f>'Scen 2 Yields'!T86*'Scen 2 Yields'!T96*1000</f>
        <v>1455977.5089431393</v>
      </c>
      <c r="U64" s="365">
        <f>'Scen 2 Yields'!U86*'Scen 2 Yields'!U96*1000</f>
        <v>1452802.507964131</v>
      </c>
    </row>
    <row r="65" spans="1:21">
      <c r="A65" t="s">
        <v>411</v>
      </c>
      <c r="B65" s="365">
        <f>(B63-('Scen 2 Summer &amp; Winter MW'!B50/'Scen 2 Summer &amp; Winter MW'!B38)*B64)/(1-('Scen 2 Summer &amp; Winter MW'!B50/'Scen 2 Summer &amp; Winter MW'!B38))</f>
        <v>2631735.6275516995</v>
      </c>
      <c r="C65" s="365">
        <f>(C63-('Scen 2 Summer &amp; Winter MW'!C50/'Scen 2 Summer &amp; Winter MW'!C38)*C64)/(1-('Scen 2 Summer &amp; Winter MW'!C50/'Scen 2 Summer &amp; Winter MW'!C38))</f>
        <v>2786558.6480657049</v>
      </c>
      <c r="D65" s="365">
        <f>(D63-('Scen 2 Summer &amp; Winter MW'!D50/'Scen 2 Summer &amp; Winter MW'!D38)*D64)/(1-('Scen 2 Summer &amp; Winter MW'!D50/'Scen 2 Summer &amp; Winter MW'!D38))</f>
        <v>2988768.339897735</v>
      </c>
      <c r="E65" s="365">
        <f>(E63-('Scen 2 Summer &amp; Winter MW'!E50/'Scen 2 Summer &amp; Winter MW'!E38)*E64)/(1-('Scen 2 Summer &amp; Winter MW'!E50/'Scen 2 Summer &amp; Winter MW'!E38))</f>
        <v>2915420.2484024009</v>
      </c>
      <c r="F65" s="365">
        <f>(F63-('Scen 2 Summer &amp; Winter MW'!F50/'Scen 2 Summer &amp; Winter MW'!F38)*F64)/(1-('Scen 2 Summer &amp; Winter MW'!F50/'Scen 2 Summer &amp; Winter MW'!F38))</f>
        <v>2888148.2798687005</v>
      </c>
      <c r="G65" s="365">
        <f>(G63-('Scen 2 Summer &amp; Winter MW'!G50/'Scen 2 Summer &amp; Winter MW'!G38)*G64)/(1-('Scen 2 Summer &amp; Winter MW'!G50/'Scen 2 Summer &amp; Winter MW'!G38))</f>
        <v>3887178.7362840357</v>
      </c>
      <c r="H65" s="365">
        <f>(H63-('Scen 2 Summer &amp; Winter MW'!H50/'Scen 2 Summer &amp; Winter MW'!H38)*H64)/(1-('Scen 2 Summer &amp; Winter MW'!H50/'Scen 2 Summer &amp; Winter MW'!H38))</f>
        <v>4157290.1529026199</v>
      </c>
      <c r="I65" s="365">
        <f>(I63-('Scen 2 Summer &amp; Winter MW'!I50/'Scen 2 Summer &amp; Winter MW'!I38)*I64)/(1-('Scen 2 Summer &amp; Winter MW'!I50/'Scen 2 Summer &amp; Winter MW'!I38))</f>
        <v>4519346.610562101</v>
      </c>
      <c r="J65" s="365">
        <f>(J63-('Scen 2 Summer &amp; Winter MW'!J50/'Scen 2 Summer &amp; Winter MW'!J38)*J64)/(1-('Scen 2 Summer &amp; Winter MW'!J50/'Scen 2 Summer &amp; Winter MW'!J38))</f>
        <v>4893172.5009740107</v>
      </c>
      <c r="K65" s="365">
        <f>(K63-('Scen 2 Summer &amp; Winter MW'!K50/'Scen 2 Summer &amp; Winter MW'!K38)*K64)/(1-('Scen 2 Summer &amp; Winter MW'!K50/'Scen 2 Summer &amp; Winter MW'!K38))</f>
        <v>5032709.991276457</v>
      </c>
      <c r="L65" s="365">
        <f>(L63-('Scen 2 Summer &amp; Winter MW'!L50/'Scen 2 Summer &amp; Winter MW'!L38)*L64)/(1-('Scen 2 Summer &amp; Winter MW'!L50/'Scen 2 Summer &amp; Winter MW'!L38))</f>
        <v>5285238.147674826</v>
      </c>
      <c r="M65" s="365">
        <f>(M63-('Scen 2 Summer &amp; Winter MW'!M50/'Scen 2 Summer &amp; Winter MW'!M38)*M64)/(1-('Scen 2 Summer &amp; Winter MW'!M50/'Scen 2 Summer &amp; Winter MW'!M38))</f>
        <v>5448547.2756615542</v>
      </c>
      <c r="N65" s="365">
        <f>(N63-('Scen 2 Summer &amp; Winter MW'!N50/'Scen 2 Summer &amp; Winter MW'!N38)*N64)/(1-('Scen 2 Summer &amp; Winter MW'!N50/'Scen 2 Summer &amp; Winter MW'!N38))</f>
        <v>5656583.1210816894</v>
      </c>
      <c r="O65" s="365">
        <f>(O63-('Scen 2 Summer &amp; Winter MW'!O50/'Scen 2 Summer &amp; Winter MW'!O38)*O64)/(1-('Scen 2 Summer &amp; Winter MW'!O50/'Scen 2 Summer &amp; Winter MW'!O38))</f>
        <v>5944135.626741359</v>
      </c>
      <c r="P65" s="365">
        <f>(P63-('Scen 2 Summer &amp; Winter MW'!P50/'Scen 2 Summer &amp; Winter MW'!P38)*P64)/(1-('Scen 2 Summer &amp; Winter MW'!P50/'Scen 2 Summer &amp; Winter MW'!P38))</f>
        <v>6059885.0919013666</v>
      </c>
      <c r="Q65" s="365">
        <f>(Q63-('Scen 2 Summer &amp; Winter MW'!Q50/'Scen 2 Summer &amp; Winter MW'!Q38)*Q64)/(1-('Scen 2 Summer &amp; Winter MW'!Q50/'Scen 2 Summer &amp; Winter MW'!Q38))</f>
        <v>6299361.3751562973</v>
      </c>
      <c r="R65" s="365">
        <f>(R63-('Scen 2 Summer &amp; Winter MW'!R50/'Scen 2 Summer &amp; Winter MW'!R38)*R64)/(1-('Scen 2 Summer &amp; Winter MW'!R50/'Scen 2 Summer &amp; Winter MW'!R38))</f>
        <v>6570520.6882447647</v>
      </c>
      <c r="S65" s="365">
        <f>(S63-('Scen 2 Summer &amp; Winter MW'!S50/'Scen 2 Summer &amp; Winter MW'!S38)*S64)/(1-('Scen 2 Summer &amp; Winter MW'!S50/'Scen 2 Summer &amp; Winter MW'!S38))</f>
        <v>6691886.2385606151</v>
      </c>
      <c r="T65" s="365">
        <f>(T63-('Scen 2 Summer &amp; Winter MW'!T50/'Scen 2 Summer &amp; Winter MW'!T38)*T64)/(1-('Scen 2 Summer &amp; Winter MW'!T50/'Scen 2 Summer &amp; Winter MW'!T38))</f>
        <v>6972675.583154384</v>
      </c>
      <c r="U65" s="365">
        <f>(U63-('Scen 2 Summer &amp; Winter MW'!U50/'Scen 2 Summer &amp; Winter MW'!U38)*U64)/(1-('Scen 2 Summer &amp; Winter MW'!U50/'Scen 2 Summer &amp; Winter MW'!U38))</f>
        <v>7079119.0068993559</v>
      </c>
    </row>
    <row r="67" spans="1:21">
      <c r="A67" s="4" t="s">
        <v>424</v>
      </c>
    </row>
    <row r="68" spans="1:21">
      <c r="A68" t="s">
        <v>417</v>
      </c>
    </row>
    <row r="69" spans="1:21">
      <c r="A69" t="s">
        <v>409</v>
      </c>
      <c r="B69" s="774">
        <f>'Scen 2 Budgets'!B54/'Scen 2 TRB'!B18</f>
        <v>0.39995556782977176</v>
      </c>
      <c r="C69" s="774">
        <f>'Scen 2 Budgets'!C54/'Scen 2 TRB'!C18</f>
        <v>0.42103365584407604</v>
      </c>
      <c r="D69" s="774">
        <f>'Scen 2 Budgets'!D54/'Scen 2 TRB'!D18</f>
        <v>0.45231790659333265</v>
      </c>
      <c r="E69" s="774">
        <f>'Scen 2 Budgets'!E54/'Scen 2 TRB'!E18</f>
        <v>0.47301231741441052</v>
      </c>
      <c r="F69" s="774">
        <f>'Scen 2 Budgets'!F54/'Scen 2 TRB'!F18</f>
        <v>0.46963191727726872</v>
      </c>
      <c r="G69" s="774">
        <f>'Scen 2 Budgets'!G54/'Scen 2 TRB'!G18</f>
        <v>0.4771688544896639</v>
      </c>
      <c r="H69" s="774">
        <f>'Scen 2 Budgets'!H54/'Scen 2 TRB'!H18</f>
        <v>0.51956351928915234</v>
      </c>
      <c r="I69" s="774">
        <f>'Scen 2 Budgets'!I54/'Scen 2 TRB'!I18</f>
        <v>0.53991922518990543</v>
      </c>
      <c r="J69" s="774">
        <f>'Scen 2 Budgets'!J54/'Scen 2 TRB'!J18</f>
        <v>0.56287962459270224</v>
      </c>
      <c r="K69" s="774">
        <f>'Scen 2 Budgets'!K54/'Scen 2 TRB'!K18</f>
        <v>0.56280557342421644</v>
      </c>
      <c r="L69" s="774">
        <f>'Scen 2 Budgets'!L54/'Scen 2 TRB'!L18</f>
        <v>0.58453628844454741</v>
      </c>
      <c r="M69" s="774">
        <f>'Scen 2 Budgets'!M54/'Scen 2 TRB'!M18</f>
        <v>0.60218814623650185</v>
      </c>
      <c r="N69" s="774">
        <f>'Scen 2 Budgets'!N54/'Scen 2 TRB'!N18</f>
        <v>0.62743733062550588</v>
      </c>
      <c r="O69" s="774">
        <f>'Scen 2 Budgets'!O54/'Scen 2 TRB'!O18</f>
        <v>0.66095727006898997</v>
      </c>
      <c r="P69" s="774">
        <f>'Scen 2 Budgets'!P54/'Scen 2 TRB'!P18</f>
        <v>0.66039477328328744</v>
      </c>
      <c r="Q69" s="774">
        <f>'Scen 2 Budgets'!Q54/'Scen 2 TRB'!Q18</f>
        <v>0.68405911083680693</v>
      </c>
      <c r="R69" s="774">
        <f>'Scen 2 Budgets'!R54/'Scen 2 TRB'!R18</f>
        <v>0.70902023866804331</v>
      </c>
      <c r="S69" s="774">
        <f>'Scen 2 Budgets'!S54/'Scen 2 TRB'!S18</f>
        <v>0.7391994147339298</v>
      </c>
      <c r="T69" s="774">
        <f>'Scen 2 Budgets'!T54/'Scen 2 TRB'!T18</f>
        <v>0.78208245859362391</v>
      </c>
      <c r="U69" s="774">
        <f>'Scen 2 Budgets'!U54/'Scen 2 TRB'!U18</f>
        <v>0.79894513579547255</v>
      </c>
    </row>
    <row r="70" spans="1:21">
      <c r="A70" t="s">
        <v>443</v>
      </c>
      <c r="B70" s="774">
        <f>'Scen 2 Budgets'!B71/'Scen 2 TRB'!B27</f>
        <v>3.1287716551343174</v>
      </c>
      <c r="C70" s="774">
        <f>'Scen 2 Budgets'!C71/'Scen 2 TRB'!C27</f>
        <v>3.3508201395126429</v>
      </c>
      <c r="D70" s="774">
        <f>'Scen 2 Budgets'!D71/'Scen 2 TRB'!D27</f>
        <v>3.4989871724079036</v>
      </c>
      <c r="E70" s="774">
        <f>'Scen 2 Budgets'!E71/'Scen 2 TRB'!E27</f>
        <v>3.5807699474282915</v>
      </c>
      <c r="F70" s="774">
        <f>'Scen 2 Budgets'!F71/'Scen 2 TRB'!F27</f>
        <v>3.4629924959034319</v>
      </c>
      <c r="G70" s="774">
        <f>'Scen 2 Budgets'!G71/'Scen 2 TRB'!G27</f>
        <v>3.1667940069622209</v>
      </c>
      <c r="H70" s="774">
        <f>'Scen 2 Budgets'!H71/'Scen 2 TRB'!H27</f>
        <v>3.2063191631053751</v>
      </c>
      <c r="I70" s="774">
        <f>'Scen 2 Budgets'!I71/'Scen 2 TRB'!I27</f>
        <v>3.3218672446845359</v>
      </c>
      <c r="J70" s="774">
        <f>'Scen 2 Budgets'!J71/'Scen 2 TRB'!J27</f>
        <v>3.4142363283818695</v>
      </c>
      <c r="K70" s="774">
        <f>'Scen 2 Budgets'!K71/'Scen 2 TRB'!K27</f>
        <v>3.4322703267853201</v>
      </c>
      <c r="L70" s="774">
        <f>'Scen 2 Budgets'!L71/'Scen 2 TRB'!L27</f>
        <v>3.5253159285114384</v>
      </c>
      <c r="M70" s="774">
        <f>'Scen 2 Budgets'!M71/'Scen 2 TRB'!M27</f>
        <v>3.6571456080801874</v>
      </c>
      <c r="N70" s="774">
        <f>'Scen 2 Budgets'!N71/'Scen 2 TRB'!N27</f>
        <v>3.7698546617595259</v>
      </c>
      <c r="O70" s="774">
        <f>'Scen 2 Budgets'!O71/'Scen 2 TRB'!O27</f>
        <v>3.8872838675638559</v>
      </c>
      <c r="P70" s="774">
        <f>'Scen 2 Budgets'!P71/'Scen 2 TRB'!P27</f>
        <v>3.8817245640058533</v>
      </c>
      <c r="Q70" s="774">
        <f>'Scen 2 Budgets'!Q71/'Scen 2 TRB'!Q27</f>
        <v>4.0021076228859718</v>
      </c>
      <c r="R70" s="774">
        <f>'Scen 2 Budgets'!R71/'Scen 2 TRB'!R27</f>
        <v>4.1299868886123239</v>
      </c>
      <c r="S70" s="774">
        <f>'Scen 2 Budgets'!S71/'Scen 2 TRB'!S27</f>
        <v>4.2694192470340813</v>
      </c>
      <c r="T70" s="774">
        <f>'Scen 2 Budgets'!T71/'Scen 2 TRB'!T27</f>
        <v>4.4046599958913832</v>
      </c>
      <c r="U70" s="774">
        <f>'Scen 2 Budgets'!U71/'Scen 2 TRB'!U27</f>
        <v>4.4393393291847723</v>
      </c>
    </row>
    <row r="71" spans="1:21">
      <c r="A71" t="s">
        <v>411</v>
      </c>
      <c r="B71" s="776">
        <f>(B69-('Scen 2 TRB'!B27/'Scen 2 TRB'!B18)*B70)/(1-('Scen 2 TRB'!B27/'Scen 2 TRB'!B18))</f>
        <v>0.39322822198782792</v>
      </c>
      <c r="C71" s="776">
        <f>(C69-('Scen 2 TRB'!C27/'Scen 2 TRB'!C18)*C70)/(1-('Scen 2 TRB'!C27/'Scen 2 TRB'!C18))</f>
        <v>0.40787386227328465</v>
      </c>
      <c r="D71" s="776">
        <f>(D69-('Scen 2 TRB'!D27/'Scen 2 TRB'!D18)*D70)/(1-('Scen 2 TRB'!D27/'Scen 2 TRB'!D18))</f>
        <v>0.43277405162060373</v>
      </c>
      <c r="E71" s="776">
        <f>(E69-('Scen 2 TRB'!E27/'Scen 2 TRB'!E18)*E70)/(1-('Scen 2 TRB'!E27/'Scen 2 TRB'!E18))</f>
        <v>0.44606915428908311</v>
      </c>
      <c r="F71" s="776">
        <f>(F69-('Scen 2 TRB'!F27/'Scen 2 TRB'!F18)*F70)/(1-('Scen 2 TRB'!F27/'Scen 2 TRB'!F18))</f>
        <v>0.44289233566248859</v>
      </c>
      <c r="G71" s="776">
        <f>(G69-('Scen 2 TRB'!G27/'Scen 2 TRB'!G18)*G70)/(1-('Scen 2 TRB'!G27/'Scen 2 TRB'!G18))</f>
        <v>0.4494788043844023</v>
      </c>
      <c r="H71" s="776">
        <f>(H69-('Scen 2 TRB'!H27/'Scen 2 TRB'!H18)*H70)/(1-('Scen 2 TRB'!H27/'Scen 2 TRB'!H18))</f>
        <v>0.48876329887512099</v>
      </c>
      <c r="I71" s="776">
        <f>(I69-('Scen 2 TRB'!I27/'Scen 2 TRB'!I18)*I70)/(1-('Scen 2 TRB'!I27/'Scen 2 TRB'!I18))</f>
        <v>0.5067154715549651</v>
      </c>
      <c r="J71" s="776">
        <f>(J69-('Scen 2 TRB'!J27/'Scen 2 TRB'!J18)*J70)/(1-('Scen 2 TRB'!J27/'Scen 2 TRB'!J18))</f>
        <v>0.52518508149367171</v>
      </c>
      <c r="K71" s="776">
        <f>(K69-('Scen 2 TRB'!K27/'Scen 2 TRB'!K18)*K70)/(1-('Scen 2 TRB'!K27/'Scen 2 TRB'!K18))</f>
        <v>0.52490959487571065</v>
      </c>
      <c r="L71" s="776">
        <f>(L69-('Scen 2 TRB'!L27/'Scen 2 TRB'!L18)*L70)/(1-('Scen 2 TRB'!L27/'Scen 2 TRB'!L18))</f>
        <v>0.54371259503714597</v>
      </c>
      <c r="M71" s="776">
        <f>(M69-('Scen 2 TRB'!M27/'Scen 2 TRB'!M18)*M70)/(1-('Scen 2 TRB'!M27/'Scen 2 TRB'!M18))</f>
        <v>0.55832805767392202</v>
      </c>
      <c r="N71" s="776">
        <f>(N69-('Scen 2 TRB'!N27/'Scen 2 TRB'!N18)*N70)/(1-('Scen 2 TRB'!N27/'Scen 2 TRB'!N18))</f>
        <v>0.57963886077726789</v>
      </c>
      <c r="O71" s="776">
        <f>(O69-('Scen 2 TRB'!O27/'Scen 2 TRB'!O18)*O70)/(1-('Scen 2 TRB'!O27/'Scen 2 TRB'!O18))</f>
        <v>0.60599169236248018</v>
      </c>
      <c r="P71" s="776">
        <f>(P69-('Scen 2 TRB'!P27/'Scen 2 TRB'!P18)*P70)/(1-('Scen 2 TRB'!P27/'Scen 2 TRB'!P18))</f>
        <v>0.60506162232829186</v>
      </c>
      <c r="Q71" s="776">
        <f>(Q69-('Scen 2 TRB'!Q27/'Scen 2 TRB'!Q18)*Q70)/(1-('Scen 2 TRB'!Q27/'Scen 2 TRB'!Q18))</f>
        <v>0.62469194645486159</v>
      </c>
      <c r="R71" s="776">
        <f>(R69-('Scen 2 TRB'!R27/'Scen 2 TRB'!R18)*R70)/(1-('Scen 2 TRB'!R27/'Scen 2 TRB'!R18))</f>
        <v>0.64541008263529209</v>
      </c>
      <c r="S71" s="776">
        <f>(S69-('Scen 2 TRB'!S27/'Scen 2 TRB'!S18)*S70)/(1-('Scen 2 TRB'!S27/'Scen 2 TRB'!S18))</f>
        <v>0.67034306066671245</v>
      </c>
      <c r="T71" s="776">
        <f>(T69-('Scen 2 TRB'!T27/'Scen 2 TRB'!T18)*T70)/(1-('Scen 2 TRB'!T27/'Scen 2 TRB'!T18))</f>
        <v>0.70385118669220281</v>
      </c>
      <c r="U71" s="776">
        <f>(U69-('Scen 2 TRB'!U27/'Scen 2 TRB'!U18)*U70)/(1-('Scen 2 TRB'!U27/'Scen 2 TRB'!U18))</f>
        <v>0.71816325855361318</v>
      </c>
    </row>
    <row r="72" spans="1:21">
      <c r="A72" t="s">
        <v>418</v>
      </c>
    </row>
    <row r="73" spans="1:21">
      <c r="A73" t="s">
        <v>409</v>
      </c>
      <c r="B73" s="774">
        <f>'Scen 2 Budgets'!B48/'Scen 2 TRB'!B12</f>
        <v>0.36337434705699073</v>
      </c>
      <c r="C73" s="774">
        <f>'Scen 2 Budgets'!C48/'Scen 2 TRB'!C12</f>
        <v>0.37526492201174544</v>
      </c>
      <c r="D73" s="774">
        <f>'Scen 2 Budgets'!D48/'Scen 2 TRB'!D12</f>
        <v>0.38293579642763753</v>
      </c>
      <c r="E73" s="774">
        <f>'Scen 2 Budgets'!E48/'Scen 2 TRB'!E12</f>
        <v>0.41513071739227581</v>
      </c>
      <c r="F73" s="774">
        <f>'Scen 2 Budgets'!F48/'Scen 2 TRB'!F12</f>
        <v>0.41187039551241184</v>
      </c>
      <c r="G73" s="774">
        <f>'Scen 2 Budgets'!G48/'Scen 2 TRB'!G12</f>
        <v>0.39907025408129981</v>
      </c>
      <c r="H73" s="774">
        <f>'Scen 2 Budgets'!H48/'Scen 2 TRB'!H12</f>
        <v>0.42736559719432171</v>
      </c>
      <c r="I73" s="774">
        <f>'Scen 2 Budgets'!I48/'Scen 2 TRB'!I12</f>
        <v>0.45038923371761458</v>
      </c>
      <c r="J73" s="774">
        <f>'Scen 2 Budgets'!J48/'Scen 2 TRB'!J12</f>
        <v>0.47535486426167517</v>
      </c>
      <c r="K73" s="774">
        <f>'Scen 2 Budgets'!K48/'Scen 2 TRB'!K12</f>
        <v>0.48830823871317769</v>
      </c>
      <c r="L73" s="774">
        <f>'Scen 2 Budgets'!L48/'Scen 2 TRB'!L12</f>
        <v>0.4941489711081925</v>
      </c>
      <c r="M73" s="774">
        <f>'Scen 2 Budgets'!M48/'Scen 2 TRB'!M12</f>
        <v>0.50080067509296822</v>
      </c>
      <c r="N73" s="774">
        <f>'Scen 2 Budgets'!N48/'Scen 2 TRB'!N12</f>
        <v>0.51343329591687326</v>
      </c>
      <c r="O73" s="774">
        <f>'Scen 2 Budgets'!O48/'Scen 2 TRB'!O12</f>
        <v>0.52891354164750892</v>
      </c>
      <c r="P73" s="774">
        <f>'Scen 2 Budgets'!P48/'Scen 2 TRB'!P12</f>
        <v>0.53827703975811514</v>
      </c>
      <c r="Q73" s="774">
        <f>'Scen 2 Budgets'!Q48/'Scen 2 TRB'!Q12</f>
        <v>0.55187489830573855</v>
      </c>
      <c r="R73" s="774">
        <f>'Scen 2 Budgets'!R48/'Scen 2 TRB'!R12</f>
        <v>0.56389112938421526</v>
      </c>
      <c r="S73" s="774">
        <f>'Scen 2 Budgets'!S48/'Scen 2 TRB'!S12</f>
        <v>0.57315758426743491</v>
      </c>
      <c r="T73" s="774">
        <f>'Scen 2 Budgets'!T48/'Scen 2 TRB'!T12</f>
        <v>0.59916757792561981</v>
      </c>
      <c r="U73" s="774">
        <f>'Scen 2 Budgets'!U48/'Scen 2 TRB'!U12</f>
        <v>0.611689281915476</v>
      </c>
    </row>
    <row r="74" spans="1:21">
      <c r="A74" t="s">
        <v>444</v>
      </c>
      <c r="B74" s="774">
        <f>'Scen 2 Budgets'!B70/'Scen 2 TRB'!B26*$B$79</f>
        <v>1.3037274039811833</v>
      </c>
      <c r="C74" s="774">
        <f>'Scen 2 Budgets'!C70/'Scen 2 TRB'!C26*$B$79</f>
        <v>1.3199299914961606</v>
      </c>
      <c r="D74" s="774">
        <f>'Scen 2 Budgets'!D70/'Scen 2 TRB'!D26*$B$79</f>
        <v>1.3344708489923831</v>
      </c>
      <c r="E74" s="774">
        <f>'Scen 2 Budgets'!E70/'Scen 2 TRB'!E26*$B$79</f>
        <v>1.3535537241392832</v>
      </c>
      <c r="F74" s="774">
        <f>'Scen 2 Budgets'!F70/'Scen 2 TRB'!F26*$B$79</f>
        <v>1.3679425954500337</v>
      </c>
      <c r="G74" s="774">
        <f>'Scen 2 Budgets'!G70/'Scen 2 TRB'!G26*$B$79</f>
        <v>1.3530344415737279</v>
      </c>
      <c r="H74" s="774">
        <f>'Scen 2 Budgets'!H70/'Scen 2 TRB'!H26*$B$79</f>
        <v>1.3833020434056464</v>
      </c>
      <c r="I74" s="774">
        <f>'Scen 2 Budgets'!I70/'Scen 2 TRB'!I26*$B$79</f>
        <v>1.4229749272473562</v>
      </c>
      <c r="J74" s="774">
        <f>'Scen 2 Budgets'!J70/'Scen 2 TRB'!J26*$B$79</f>
        <v>1.4626186739904645</v>
      </c>
      <c r="K74" s="774">
        <f>'Scen 2 Budgets'!K70/'Scen 2 TRB'!K26*$B$79</f>
        <v>1.4983915311699476</v>
      </c>
      <c r="L74" s="774">
        <f>'Scen 2 Budgets'!L70/'Scen 2 TRB'!L26*$B$79</f>
        <v>1.5302576479480454</v>
      </c>
      <c r="M74" s="774">
        <f>'Scen 2 Budgets'!M70/'Scen 2 TRB'!M26*$B$79</f>
        <v>1.5673391979404245</v>
      </c>
      <c r="N74" s="774">
        <f>'Scen 2 Budgets'!N70/'Scen 2 TRB'!N26*$B$79</f>
        <v>1.6127810034087924</v>
      </c>
      <c r="O74" s="774">
        <f>'Scen 2 Budgets'!O70/'Scen 2 TRB'!O26*$B$79</f>
        <v>1.653628292909475</v>
      </c>
      <c r="P74" s="774">
        <f>'Scen 2 Budgets'!P70/'Scen 2 TRB'!P26*$B$79</f>
        <v>1.6910453761466231</v>
      </c>
      <c r="Q74" s="774">
        <f>'Scen 2 Budgets'!Q70/'Scen 2 TRB'!Q26*$B$79</f>
        <v>1.7291283450541388</v>
      </c>
      <c r="R74" s="774">
        <f>'Scen 2 Budgets'!R70/'Scen 2 TRB'!R26*$B$79</f>
        <v>1.7791858518415018</v>
      </c>
      <c r="S74" s="774">
        <f>'Scen 2 Budgets'!S70/'Scen 2 TRB'!S26*$B$79</f>
        <v>1.8186958336658996</v>
      </c>
      <c r="T74" s="774">
        <f>'Scen 2 Budgets'!T70/'Scen 2 TRB'!T26*$B$79</f>
        <v>1.8587282579448876</v>
      </c>
      <c r="U74" s="774">
        <f>'Scen 2 Budgets'!U70/'Scen 2 TRB'!U26*$B$79</f>
        <v>1.8880766952624621</v>
      </c>
    </row>
    <row r="75" spans="1:21">
      <c r="A75" t="s">
        <v>411</v>
      </c>
      <c r="B75" s="776">
        <f>(B73-('Scen 2 TRB'!B26/'Scen 2 TRB'!B12)*B74)/(1-('Scen 2 TRB'!B26/'Scen 2 TRB'!B12))</f>
        <v>0.28688142674503081</v>
      </c>
      <c r="C75" s="776">
        <f>(C73-('Scen 2 TRB'!C26/'Scen 2 TRB'!C12)*C74)/(1-('Scen 2 TRB'!C26/'Scen 2 TRB'!C12))</f>
        <v>0.3026234029171827</v>
      </c>
      <c r="D75" s="776">
        <f>(D73-('Scen 2 TRB'!D26/'Scen 2 TRB'!D12)*D74)/(1-('Scen 2 TRB'!D26/'Scen 2 TRB'!D12))</f>
        <v>0.31237300164143134</v>
      </c>
      <c r="E75" s="776">
        <f>(E73-('Scen 2 TRB'!E26/'Scen 2 TRB'!E12)*E74)/(1-('Scen 2 TRB'!E26/'Scen 2 TRB'!E12))</f>
        <v>0.34643445644944376</v>
      </c>
      <c r="F75" s="776">
        <f>(F73-('Scen 2 TRB'!F26/'Scen 2 TRB'!F12)*F74)/(1-('Scen 2 TRB'!F26/'Scen 2 TRB'!F12))</f>
        <v>0.34384732777364402</v>
      </c>
      <c r="G75" s="776">
        <f>(G73-('Scen 2 TRB'!G26/'Scen 2 TRB'!G12)*G74)/(1-('Scen 2 TRB'!G26/'Scen 2 TRB'!G12))</f>
        <v>0.33333265658863576</v>
      </c>
      <c r="H75" s="776">
        <f>(H73-('Scen 2 TRB'!H26/'Scen 2 TRB'!H12)*H74)/(1-('Scen 2 TRB'!H26/'Scen 2 TRB'!H12))</f>
        <v>0.35835503767685417</v>
      </c>
      <c r="I75" s="776">
        <f>(I73-('Scen 2 TRB'!I26/'Scen 2 TRB'!I12)*I74)/(1-('Scen 2 TRB'!I26/'Scen 2 TRB'!I12))</f>
        <v>0.37871774066105018</v>
      </c>
      <c r="J75" s="776">
        <f>(J73-('Scen 2 TRB'!J26/'Scen 2 TRB'!J12)*J74)/(1-('Scen 2 TRB'!J26/'Scen 2 TRB'!J12))</f>
        <v>0.40663180104437774</v>
      </c>
      <c r="K75" s="776">
        <f>(K73-('Scen 2 TRB'!K26/'Scen 2 TRB'!K12)*K74)/(1-('Scen 2 TRB'!K26/'Scen 2 TRB'!K12))</f>
        <v>0.41817025620314835</v>
      </c>
      <c r="L75" s="776">
        <f>(L73-('Scen 2 TRB'!L26/'Scen 2 TRB'!L12)*L74)/(1-('Scen 2 TRB'!L26/'Scen 2 TRB'!L12))</f>
        <v>0.42315034173676164</v>
      </c>
      <c r="M75" s="776">
        <f>(M73-('Scen 2 TRB'!M26/'Scen 2 TRB'!M12)*M74)/(1-('Scen 2 TRB'!M26/'Scen 2 TRB'!M12))</f>
        <v>0.42878455425093304</v>
      </c>
      <c r="N75" s="776">
        <f>(N73-('Scen 2 TRB'!N26/'Scen 2 TRB'!N12)*N74)/(1-('Scen 2 TRB'!N26/'Scen 2 TRB'!N12))</f>
        <v>0.43962104477753272</v>
      </c>
      <c r="O75" s="776">
        <f>(O73-('Scen 2 TRB'!O26/'Scen 2 TRB'!O12)*O74)/(1-('Scen 2 TRB'!O26/'Scen 2 TRB'!O12))</f>
        <v>0.45869601286463829</v>
      </c>
      <c r="P75" s="776">
        <f>(P73-('Scen 2 TRB'!P26/'Scen 2 TRB'!P12)*P74)/(1-('Scen 2 TRB'!P26/'Scen 2 TRB'!P12))</f>
        <v>0.46705009245807855</v>
      </c>
      <c r="Q75" s="776">
        <f>(Q73-('Scen 2 TRB'!Q26/'Scen 2 TRB'!Q12)*Q74)/(1-('Scen 2 TRB'!Q26/'Scen 2 TRB'!Q12))</f>
        <v>0.47914456605459177</v>
      </c>
      <c r="R75" s="776">
        <f>(R73-('Scen 2 TRB'!R26/'Scen 2 TRB'!R12)*R74)/(1-('Scen 2 TRB'!R26/'Scen 2 TRB'!R12))</f>
        <v>0.4896788725429419</v>
      </c>
      <c r="S75" s="776">
        <f>(S73-('Scen 2 TRB'!S26/'Scen 2 TRB'!S12)*S74)/(1-('Scen 2 TRB'!S26/'Scen 2 TRB'!S12))</f>
        <v>0.4982495783270135</v>
      </c>
      <c r="T75" s="776">
        <f>(T73-('Scen 2 TRB'!T26/'Scen 2 TRB'!T12)*T74)/(1-('Scen 2 TRB'!T26/'Scen 2 TRB'!T12))</f>
        <v>0.52523597381888509</v>
      </c>
      <c r="U75" s="776">
        <f>(U73-('Scen 2 TRB'!U26/'Scen 2 TRB'!U12)*U74)/(1-('Scen 2 TRB'!U26/'Scen 2 TRB'!U12))</f>
        <v>0.53686587341996861</v>
      </c>
    </row>
    <row r="77" spans="1:21">
      <c r="A77" t="s">
        <v>441</v>
      </c>
      <c r="B77" s="781">
        <v>855909.23010370356</v>
      </c>
    </row>
    <row r="78" spans="1:21">
      <c r="A78" t="s">
        <v>442</v>
      </c>
      <c r="B78" s="781">
        <v>2737552.374628508</v>
      </c>
    </row>
    <row r="79" spans="1:21">
      <c r="B79">
        <f>B78/B77</f>
        <v>3.1984143625800381</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B2:Z24"/>
  <sheetViews>
    <sheetView workbookViewId="0">
      <selection activeCell="G10" sqref="G10"/>
    </sheetView>
  </sheetViews>
  <sheetFormatPr defaultRowHeight="15"/>
  <cols>
    <col min="3" max="3" width="13" customWidth="1"/>
    <col min="4" max="5" width="11.5703125" customWidth="1"/>
    <col min="6" max="6" width="11.28515625" customWidth="1"/>
    <col min="7" max="26" width="11.140625" bestFit="1" customWidth="1"/>
  </cols>
  <sheetData>
    <row r="2" spans="2:26">
      <c r="G2" s="312"/>
      <c r="H2" s="312"/>
      <c r="I2" s="312"/>
      <c r="J2" s="312"/>
      <c r="K2" s="312"/>
      <c r="L2" s="312"/>
      <c r="M2" s="312"/>
      <c r="N2" s="312"/>
      <c r="O2" s="312"/>
      <c r="P2" s="312"/>
      <c r="Q2" s="312"/>
      <c r="R2" s="312"/>
      <c r="S2" s="312"/>
      <c r="T2" s="312"/>
      <c r="U2" s="312"/>
      <c r="V2" s="312"/>
      <c r="W2" s="312"/>
      <c r="X2" s="312"/>
      <c r="Y2" s="312"/>
      <c r="Z2" s="312"/>
    </row>
    <row r="3" spans="2:26">
      <c r="B3" s="805" t="s">
        <v>445</v>
      </c>
      <c r="C3" s="806"/>
      <c r="D3" s="806"/>
      <c r="E3" s="806"/>
      <c r="F3" s="807"/>
    </row>
    <row r="4" spans="2:26">
      <c r="B4" s="313"/>
      <c r="C4" s="313" t="s">
        <v>195</v>
      </c>
      <c r="D4" s="313" t="s">
        <v>406</v>
      </c>
      <c r="E4" s="313" t="s">
        <v>223</v>
      </c>
      <c r="F4" s="313" t="s">
        <v>224</v>
      </c>
    </row>
    <row r="5" spans="2:26">
      <c r="B5" s="313">
        <v>2015</v>
      </c>
      <c r="C5" s="370">
        <f>'VEIC Est RA Yields'!B6+'DPS Recommendation'!C8</f>
        <v>40728656.370585687</v>
      </c>
      <c r="D5" s="367">
        <f>'VEIC Est RA Yields'!B11</f>
        <v>90528.073153080506</v>
      </c>
      <c r="E5" s="371">
        <f>'VEIC Est RA Yields'!B14</f>
        <v>14.239202851066498</v>
      </c>
      <c r="F5" s="371">
        <f>'VEIC Est RA Yields'!B15</f>
        <v>14.593177203608542</v>
      </c>
    </row>
    <row r="6" spans="2:26">
      <c r="B6" s="313">
        <v>2016</v>
      </c>
      <c r="C6" s="370">
        <f>'VEIC Est RA Yields'!C6+'DPS Recommendation'!D8</f>
        <v>44264620.972399198</v>
      </c>
      <c r="D6" s="367">
        <f>'VEIC Est RA Yields'!C11</f>
        <v>91974.319141485481</v>
      </c>
      <c r="E6" s="371">
        <f>'VEIC Est RA Yields'!C14</f>
        <v>14.038509764474169</v>
      </c>
      <c r="F6" s="371">
        <f>'VEIC Est RA Yields'!C15</f>
        <v>14.598694259117385</v>
      </c>
    </row>
    <row r="7" spans="2:26">
      <c r="B7" s="313">
        <v>2017</v>
      </c>
      <c r="C7" s="370">
        <f>'VEIC Est RA Yields'!D6+'DPS Recommendation'!E8</f>
        <v>47377639.879927516</v>
      </c>
      <c r="D7" s="367">
        <f>'VEIC Est RA Yields'!D11</f>
        <v>92298.056437990628</v>
      </c>
      <c r="E7" s="371">
        <f>'VEIC Est RA Yields'!D14</f>
        <v>13.43166398384029</v>
      </c>
      <c r="F7" s="371">
        <f>'VEIC Est RA Yields'!D15</f>
        <v>14.333004653630148</v>
      </c>
    </row>
    <row r="8" spans="2:26">
      <c r="B8" s="313">
        <v>2018</v>
      </c>
      <c r="C8" s="370">
        <f>'VEIC Est RA Yields'!E6</f>
        <v>48034050.810150273</v>
      </c>
      <c r="D8" s="367">
        <f>'VEIC Est RA Yields'!E11</f>
        <v>89284.478052166523</v>
      </c>
      <c r="E8" s="371">
        <f>'VEIC Est RA Yields'!E14</f>
        <v>13.245179041922366</v>
      </c>
      <c r="F8" s="371">
        <f>'VEIC Est RA Yields'!E15</f>
        <v>15.192663913297503</v>
      </c>
    </row>
    <row r="9" spans="2:26">
      <c r="B9" s="313">
        <v>2019</v>
      </c>
      <c r="C9" s="370">
        <f>'VEIC Est RA Yields'!F6</f>
        <v>49645840.111498863</v>
      </c>
      <c r="D9" s="367">
        <f>'VEIC Est RA Yields'!F11</f>
        <v>92232.233062575542</v>
      </c>
      <c r="E9" s="371">
        <f>'VEIC Est RA Yields'!F14</f>
        <v>13.503468428010942</v>
      </c>
      <c r="F9" s="371">
        <f>'VEIC Est RA Yields'!F15</f>
        <v>15.544561999441729</v>
      </c>
    </row>
    <row r="10" spans="2:26">
      <c r="B10" s="313">
        <v>2020</v>
      </c>
      <c r="C10" s="370">
        <f>'VEIC Est RA Yields'!G6</f>
        <v>51279153.886690289</v>
      </c>
      <c r="D10" s="367">
        <f>'VEIC Est RA Yields'!G11</f>
        <v>81129.392468166508</v>
      </c>
      <c r="E10" s="371">
        <f>'VEIC Est RA Yields'!G14</f>
        <v>11.664321838296829</v>
      </c>
      <c r="F10" s="371">
        <f>'VEIC Est RA Yields'!G15</f>
        <v>11.698715980184645</v>
      </c>
    </row>
    <row r="11" spans="2:26">
      <c r="B11" s="313">
        <v>2021</v>
      </c>
      <c r="C11" s="370">
        <f>'VEIC Est RA Yields'!H6</f>
        <v>52828643.207072772</v>
      </c>
      <c r="D11" s="367">
        <f>'VEIC Est RA Yields'!H11</f>
        <v>76141.289795790217</v>
      </c>
      <c r="E11" s="371">
        <f>'VEIC Est RA Yields'!H14</f>
        <v>11.10905682481126</v>
      </c>
      <c r="F11" s="371">
        <f>'VEIC Est RA Yields'!H15</f>
        <v>11.050467566697188</v>
      </c>
    </row>
    <row r="12" spans="2:26">
      <c r="B12" s="313">
        <v>2022</v>
      </c>
      <c r="C12" s="370">
        <f>'VEIC Est RA Yields'!I6</f>
        <v>54549928.366914928</v>
      </c>
      <c r="D12" s="367">
        <f>'VEIC Est RA Yields'!I11</f>
        <v>74218.536008520154</v>
      </c>
      <c r="E12" s="371">
        <f>'VEIC Est RA Yields'!I14</f>
        <v>10.66070418834987</v>
      </c>
      <c r="F12" s="371">
        <f>'VEIC Est RA Yields'!I15</f>
        <v>10.293302109486602</v>
      </c>
    </row>
    <row r="13" spans="2:26">
      <c r="B13" s="313">
        <v>2023</v>
      </c>
      <c r="C13" s="370">
        <f>'VEIC Est RA Yields'!J6</f>
        <v>56254913.396072045</v>
      </c>
      <c r="D13" s="367">
        <f>'VEIC Est RA Yields'!J11</f>
        <v>72126.31361433756</v>
      </c>
      <c r="E13" s="371">
        <f>'VEIC Est RA Yields'!J14</f>
        <v>10.017088481490813</v>
      </c>
      <c r="F13" s="371">
        <f>'VEIC Est RA Yields'!J15</f>
        <v>9.614212454319901</v>
      </c>
    </row>
    <row r="14" spans="2:26">
      <c r="B14" s="313">
        <v>2024</v>
      </c>
      <c r="C14" s="370">
        <f>'VEIC Est RA Yields'!K6</f>
        <v>58069804.950568497</v>
      </c>
      <c r="D14" s="367">
        <f>'VEIC Est RA Yields'!K11</f>
        <v>73637.489689046488</v>
      </c>
      <c r="E14" s="371">
        <f>'VEIC Est RA Yields'!K14</f>
        <v>9.9505804495494896</v>
      </c>
      <c r="F14" s="371">
        <f>'VEIC Est RA Yields'!K15</f>
        <v>9.4622976651833213</v>
      </c>
    </row>
    <row r="15" spans="2:26">
      <c r="B15" s="313">
        <v>2025</v>
      </c>
      <c r="C15" s="370">
        <f>'VEIC Est RA Yields'!L6</f>
        <v>59920918.995821059</v>
      </c>
      <c r="D15" s="367">
        <f>'VEIC Est RA Yields'!L11</f>
        <v>73448.899821727638</v>
      </c>
      <c r="E15" s="371">
        <f>'VEIC Est RA Yields'!L14</f>
        <v>9.6702825276501709</v>
      </c>
      <c r="F15" s="371">
        <f>'VEIC Est RA Yields'!L15</f>
        <v>9.1170915394226508</v>
      </c>
    </row>
    <row r="16" spans="2:26">
      <c r="B16" s="313">
        <v>2026</v>
      </c>
      <c r="C16" s="370">
        <f>'VEIC Est RA Yields'!M6</f>
        <v>61707336.648420602</v>
      </c>
      <c r="D16" s="367">
        <f>'VEIC Est RA Yields'!M11</f>
        <v>73485.390939226272</v>
      </c>
      <c r="E16" s="371">
        <f>'VEIC Est RA Yields'!M14</f>
        <v>9.4278023528284667</v>
      </c>
      <c r="F16" s="371">
        <f>'VEIC Est RA Yields'!M15</f>
        <v>8.9306373861080051</v>
      </c>
    </row>
    <row r="17" spans="2:6">
      <c r="B17" s="313">
        <v>2027</v>
      </c>
      <c r="C17" s="370">
        <f>'VEIC Est RA Yields'!N6</f>
        <v>63157477.378788918</v>
      </c>
      <c r="D17" s="367">
        <f>'VEIC Est RA Yields'!N11</f>
        <v>72286.407778359586</v>
      </c>
      <c r="E17" s="371">
        <f>'VEIC Est RA Yields'!N14</f>
        <v>9.0777467244588159</v>
      </c>
      <c r="F17" s="371">
        <f>'VEIC Est RA Yields'!N15</f>
        <v>8.6324197761744212</v>
      </c>
    </row>
    <row r="18" spans="2:6">
      <c r="B18" s="313">
        <v>2028</v>
      </c>
      <c r="C18" s="370">
        <f>'VEIC Est RA Yields'!O6</f>
        <v>65086641.093205884</v>
      </c>
      <c r="D18" s="367">
        <f>'VEIC Est RA Yields'!O11</f>
        <v>70396.325454626844</v>
      </c>
      <c r="E18" s="371">
        <f>'VEIC Est RA Yields'!O14</f>
        <v>8.5816334729442065</v>
      </c>
      <c r="F18" s="371">
        <f>'VEIC Est RA Yields'!O15</f>
        <v>8.3012910704816676</v>
      </c>
    </row>
    <row r="19" spans="2:6">
      <c r="B19" s="313">
        <v>2029</v>
      </c>
      <c r="C19" s="370">
        <f>'VEIC Est RA Yields'!P6</f>
        <v>66982240.301630571</v>
      </c>
      <c r="D19" s="367">
        <f>'VEIC Est RA Yields'!P11</f>
        <v>71062.38438899687</v>
      </c>
      <c r="E19" s="371">
        <f>'VEIC Est RA Yields'!P14</f>
        <v>8.5506324130601108</v>
      </c>
      <c r="F19" s="371">
        <f>'VEIC Est RA Yields'!P15</f>
        <v>8.2169874914866572</v>
      </c>
    </row>
    <row r="20" spans="2:6">
      <c r="B20" s="313">
        <v>2030</v>
      </c>
      <c r="C20" s="370">
        <f>'VEIC Est RA Yields'!Q6</f>
        <v>69058751.100950077</v>
      </c>
      <c r="D20" s="367">
        <f>'VEIC Est RA Yields'!Q11</f>
        <v>70667.064237514147</v>
      </c>
      <c r="E20" s="371">
        <f>'VEIC Est RA Yields'!Q14</f>
        <v>8.3095219282056938</v>
      </c>
      <c r="F20" s="371">
        <f>'VEIC Est RA Yields'!Q15</f>
        <v>7.9916037518566609</v>
      </c>
    </row>
    <row r="21" spans="2:6">
      <c r="B21" s="313">
        <v>2031</v>
      </c>
      <c r="C21" s="370">
        <f>'VEIC Est RA Yields'!R6</f>
        <v>71418978.595257461</v>
      </c>
      <c r="D21" s="367">
        <f>'VEIC Est RA Yields'!R11</f>
        <v>70318.536147195409</v>
      </c>
      <c r="E21" s="371">
        <f>'VEIC Est RA Yields'!R14</f>
        <v>8.0987533097728139</v>
      </c>
      <c r="F21" s="371">
        <f>'VEIC Est RA Yields'!R15</f>
        <v>7.770312646810754</v>
      </c>
    </row>
    <row r="22" spans="2:6">
      <c r="B22" s="313">
        <v>2032</v>
      </c>
      <c r="C22" s="370">
        <f>'VEIC Est RA Yields'!S6</f>
        <v>72426971.135317594</v>
      </c>
      <c r="D22" s="367">
        <f>'VEIC Est RA Yields'!S11</f>
        <v>69780.35371734573</v>
      </c>
      <c r="E22" s="371">
        <f>'VEIC Est RA Yields'!S14</f>
        <v>7.9967421031925303</v>
      </c>
      <c r="F22" s="371">
        <f>'VEIC Est RA Yields'!S15</f>
        <v>7.7147157258167089</v>
      </c>
    </row>
    <row r="23" spans="2:6">
      <c r="B23" s="313">
        <v>2033</v>
      </c>
      <c r="C23" s="370">
        <f>'VEIC Est RA Yields'!T6</f>
        <v>74198237.011997595</v>
      </c>
      <c r="D23" s="367">
        <f>'VEIC Est RA Yields'!T11</f>
        <v>68050.201337454622</v>
      </c>
      <c r="E23" s="371">
        <f>'VEIC Est RA Yields'!T14</f>
        <v>7.6561428786142782</v>
      </c>
      <c r="F23" s="371">
        <f>'VEIC Est RA Yields'!T15</f>
        <v>7.4869394649769898</v>
      </c>
    </row>
    <row r="24" spans="2:6">
      <c r="B24" s="313">
        <v>2034</v>
      </c>
      <c r="C24" s="370">
        <f>'VEIC Est RA Yields'!U6</f>
        <v>75969502.888677701</v>
      </c>
      <c r="D24" s="367">
        <f>'VEIC Est RA Yields'!U11</f>
        <v>68307.035099396642</v>
      </c>
      <c r="E24" s="371">
        <f>'VEIC Est RA Yields'!U14</f>
        <v>7.5742220347500879</v>
      </c>
      <c r="F24" s="371">
        <f>'VEIC Est RA Yields'!U15</f>
        <v>7.4570013512347355</v>
      </c>
    </row>
  </sheetData>
  <mergeCells count="1">
    <mergeCell ref="B3:F3"/>
  </mergeCells>
  <pageMargins left="0.7" right="0.7" top="0.75" bottom="0.75" header="0.3" footer="0.3"/>
  <pageSetup orientation="portrait" r:id="rId1"/>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C000"/>
  </sheetPr>
  <dimension ref="A1:W58"/>
  <sheetViews>
    <sheetView topLeftCell="A40" workbookViewId="0">
      <selection activeCell="F54" sqref="F54"/>
    </sheetView>
  </sheetViews>
  <sheetFormatPr defaultRowHeight="15"/>
  <cols>
    <col min="1" max="1" width="18.85546875" customWidth="1"/>
    <col min="2" max="2" width="48.140625" bestFit="1" customWidth="1"/>
    <col min="3" max="5" width="10.140625" customWidth="1"/>
    <col min="6" max="6" width="12.42578125" style="145" bestFit="1" customWidth="1"/>
    <col min="7" max="23" width="11.42578125" bestFit="1" customWidth="1"/>
  </cols>
  <sheetData>
    <row r="1" spans="1:23" ht="18">
      <c r="A1" s="146" t="s">
        <v>258</v>
      </c>
      <c r="F1" s="485"/>
    </row>
    <row r="2" spans="1:23" ht="26.25">
      <c r="C2" s="486">
        <v>2015</v>
      </c>
      <c r="D2" s="486">
        <v>2016</v>
      </c>
      <c r="E2" s="486">
        <v>2017</v>
      </c>
      <c r="F2" s="487" t="s">
        <v>86</v>
      </c>
      <c r="G2">
        <v>2018</v>
      </c>
      <c r="H2">
        <v>2019</v>
      </c>
      <c r="I2">
        <v>2020</v>
      </c>
      <c r="J2">
        <v>2021</v>
      </c>
      <c r="K2">
        <v>2022</v>
      </c>
      <c r="L2">
        <v>2023</v>
      </c>
      <c r="M2">
        <v>2024</v>
      </c>
      <c r="N2">
        <v>2025</v>
      </c>
      <c r="O2">
        <v>2026</v>
      </c>
      <c r="P2">
        <v>2027</v>
      </c>
      <c r="Q2">
        <v>2028</v>
      </c>
      <c r="R2">
        <v>2029</v>
      </c>
      <c r="S2">
        <v>2030</v>
      </c>
      <c r="T2">
        <v>2031</v>
      </c>
      <c r="U2">
        <v>2032</v>
      </c>
      <c r="V2">
        <v>2033</v>
      </c>
      <c r="W2">
        <v>2034</v>
      </c>
    </row>
    <row r="3" spans="1:23">
      <c r="A3" s="144" t="s">
        <v>87</v>
      </c>
      <c r="C3" s="143"/>
      <c r="D3" s="143"/>
      <c r="E3" s="143"/>
      <c r="F3" s="142"/>
      <c r="G3" s="143"/>
      <c r="H3" s="143"/>
      <c r="I3" s="143"/>
      <c r="J3" s="143"/>
      <c r="K3" s="143"/>
      <c r="L3" s="143"/>
      <c r="M3" s="143"/>
      <c r="N3" s="143"/>
      <c r="O3" s="143"/>
      <c r="P3" s="143"/>
      <c r="Q3" s="143"/>
      <c r="R3" s="143"/>
      <c r="S3" s="143"/>
      <c r="T3" s="143"/>
      <c r="U3" s="143"/>
      <c r="V3" s="143"/>
      <c r="W3" s="143"/>
    </row>
    <row r="4" spans="1:23">
      <c r="B4" s="488" t="s">
        <v>88</v>
      </c>
      <c r="C4" s="141">
        <v>49000</v>
      </c>
      <c r="D4" s="141">
        <f>C4*(1+$C$51)</f>
        <v>49980</v>
      </c>
      <c r="E4" s="141">
        <f>D4*(1+$C$51)</f>
        <v>50979.6</v>
      </c>
      <c r="F4" s="142">
        <f t="shared" ref="F4:F9" si="0">SUM(C4:E4)</f>
        <v>149959.6</v>
      </c>
      <c r="G4" s="141">
        <f t="shared" ref="G4:G9" si="1">E4*(1+$C$51)</f>
        <v>51999.192000000003</v>
      </c>
      <c r="H4" s="141">
        <f>G4*(1+$C$51)</f>
        <v>53039.175840000004</v>
      </c>
      <c r="I4" s="141">
        <f t="shared" ref="I4:W4" si="2">H4*(1+$C$51)</f>
        <v>54099.959356800005</v>
      </c>
      <c r="J4" s="141">
        <f t="shared" si="2"/>
        <v>55181.958543936009</v>
      </c>
      <c r="K4" s="141">
        <f t="shared" si="2"/>
        <v>56285.597714814729</v>
      </c>
      <c r="L4" s="141">
        <f t="shared" si="2"/>
        <v>57411.309669111026</v>
      </c>
      <c r="M4" s="141">
        <f t="shared" si="2"/>
        <v>58559.535862493249</v>
      </c>
      <c r="N4" s="141">
        <f t="shared" si="2"/>
        <v>59730.726579743117</v>
      </c>
      <c r="O4" s="141">
        <f t="shared" si="2"/>
        <v>60925.341111337984</v>
      </c>
      <c r="P4" s="141">
        <f t="shared" si="2"/>
        <v>62143.847933564743</v>
      </c>
      <c r="Q4" s="141">
        <f t="shared" si="2"/>
        <v>63386.724892236038</v>
      </c>
      <c r="R4" s="141">
        <f t="shared" si="2"/>
        <v>64654.459390080759</v>
      </c>
      <c r="S4" s="141">
        <f t="shared" si="2"/>
        <v>65947.548577882379</v>
      </c>
      <c r="T4" s="141">
        <f t="shared" si="2"/>
        <v>67266.499549440021</v>
      </c>
      <c r="U4" s="141">
        <f t="shared" si="2"/>
        <v>68611.829540428822</v>
      </c>
      <c r="V4" s="141">
        <f t="shared" si="2"/>
        <v>69984.0661312374</v>
      </c>
      <c r="W4" s="141">
        <f t="shared" si="2"/>
        <v>71383.747453862146</v>
      </c>
    </row>
    <row r="5" spans="1:23">
      <c r="B5" s="488" t="s">
        <v>89</v>
      </c>
      <c r="C5" s="141">
        <v>19600</v>
      </c>
      <c r="D5" s="141">
        <f t="shared" ref="D5:E9" si="3">C5*(1+$C$51)</f>
        <v>19992</v>
      </c>
      <c r="E5" s="141">
        <f t="shared" si="3"/>
        <v>20391.84</v>
      </c>
      <c r="F5" s="142">
        <f t="shared" si="0"/>
        <v>59983.839999999997</v>
      </c>
      <c r="G5" s="141">
        <f t="shared" si="1"/>
        <v>20799.676800000001</v>
      </c>
      <c r="H5" s="141">
        <f t="shared" ref="H5:W9" si="4">G5*(1+$C$51)</f>
        <v>21215.670336000003</v>
      </c>
      <c r="I5" s="141">
        <f t="shared" si="4"/>
        <v>21639.983742720004</v>
      </c>
      <c r="J5" s="141">
        <f t="shared" si="4"/>
        <v>22072.783417574403</v>
      </c>
      <c r="K5" s="141">
        <f t="shared" si="4"/>
        <v>22514.239085925892</v>
      </c>
      <c r="L5" s="141">
        <f t="shared" si="4"/>
        <v>22964.52386764441</v>
      </c>
      <c r="M5" s="141">
        <f t="shared" si="4"/>
        <v>23423.814344997299</v>
      </c>
      <c r="N5" s="141">
        <f t="shared" si="4"/>
        <v>23892.290631897245</v>
      </c>
      <c r="O5" s="141">
        <f t="shared" si="4"/>
        <v>24370.13644453519</v>
      </c>
      <c r="P5" s="141">
        <f t="shared" si="4"/>
        <v>24857.539173425896</v>
      </c>
      <c r="Q5" s="141">
        <f t="shared" si="4"/>
        <v>25354.689956894414</v>
      </c>
      <c r="R5" s="141">
        <f t="shared" si="4"/>
        <v>25861.783756032302</v>
      </c>
      <c r="S5" s="141">
        <f t="shared" si="4"/>
        <v>26379.019431152949</v>
      </c>
      <c r="T5" s="141">
        <f t="shared" si="4"/>
        <v>26906.599819776009</v>
      </c>
      <c r="U5" s="141">
        <f t="shared" si="4"/>
        <v>27444.73181617153</v>
      </c>
      <c r="V5" s="141">
        <f t="shared" si="4"/>
        <v>27993.626452494962</v>
      </c>
      <c r="W5" s="141">
        <f t="shared" si="4"/>
        <v>28553.498981544861</v>
      </c>
    </row>
    <row r="6" spans="1:23">
      <c r="B6" s="488" t="s">
        <v>90</v>
      </c>
      <c r="C6" s="141">
        <f>205000*1.05</f>
        <v>215250</v>
      </c>
      <c r="D6" s="141">
        <f t="shared" si="3"/>
        <v>219555</v>
      </c>
      <c r="E6" s="141">
        <f t="shared" si="3"/>
        <v>223946.1</v>
      </c>
      <c r="F6" s="142">
        <f t="shared" si="0"/>
        <v>658751.1</v>
      </c>
      <c r="G6" s="141">
        <f t="shared" si="1"/>
        <v>228425.022</v>
      </c>
      <c r="H6" s="141">
        <f t="shared" si="4"/>
        <v>232993.52244</v>
      </c>
      <c r="I6" s="141">
        <f t="shared" si="4"/>
        <v>237653.39288880001</v>
      </c>
      <c r="J6" s="141">
        <f t="shared" si="4"/>
        <v>242406.46074657602</v>
      </c>
      <c r="K6" s="141">
        <f t="shared" si="4"/>
        <v>247254.58996150753</v>
      </c>
      <c r="L6" s="141">
        <f t="shared" si="4"/>
        <v>252199.6817607377</v>
      </c>
      <c r="M6" s="141">
        <f t="shared" si="4"/>
        <v>257243.67539595245</v>
      </c>
      <c r="N6" s="141">
        <f t="shared" si="4"/>
        <v>262388.5489038715</v>
      </c>
      <c r="O6" s="141">
        <f t="shared" si="4"/>
        <v>267636.31988194893</v>
      </c>
      <c r="P6" s="141">
        <f t="shared" si="4"/>
        <v>272989.0462795879</v>
      </c>
      <c r="Q6" s="141">
        <f t="shared" si="4"/>
        <v>278448.82720517967</v>
      </c>
      <c r="R6" s="141">
        <f t="shared" si="4"/>
        <v>284017.80374928325</v>
      </c>
      <c r="S6" s="141">
        <f t="shared" si="4"/>
        <v>289698.15982426895</v>
      </c>
      <c r="T6" s="141">
        <f t="shared" si="4"/>
        <v>295492.12302075431</v>
      </c>
      <c r="U6" s="141">
        <f t="shared" si="4"/>
        <v>301401.96548116941</v>
      </c>
      <c r="V6" s="141">
        <f t="shared" si="4"/>
        <v>307430.00479079282</v>
      </c>
      <c r="W6" s="141">
        <f t="shared" si="4"/>
        <v>313578.60488660866</v>
      </c>
    </row>
    <row r="7" spans="1:23">
      <c r="B7" t="s">
        <v>91</v>
      </c>
      <c r="C7" s="141">
        <v>134650</v>
      </c>
      <c r="D7" s="141">
        <f t="shared" si="3"/>
        <v>137343</v>
      </c>
      <c r="E7" s="141">
        <f t="shared" si="3"/>
        <v>140089.86000000002</v>
      </c>
      <c r="F7" s="142">
        <f t="shared" si="0"/>
        <v>412082.86</v>
      </c>
      <c r="G7" s="141">
        <f t="shared" si="1"/>
        <v>142891.65720000002</v>
      </c>
      <c r="H7" s="141">
        <f t="shared" si="4"/>
        <v>145749.49034400002</v>
      </c>
      <c r="I7" s="141">
        <f t="shared" si="4"/>
        <v>148664.48015088003</v>
      </c>
      <c r="J7" s="141">
        <f t="shared" si="4"/>
        <v>151637.76975389762</v>
      </c>
      <c r="K7" s="141">
        <f t="shared" si="4"/>
        <v>154670.52514897558</v>
      </c>
      <c r="L7" s="141">
        <f t="shared" si="4"/>
        <v>157763.93565195508</v>
      </c>
      <c r="M7" s="141">
        <f t="shared" si="4"/>
        <v>160919.21436499417</v>
      </c>
      <c r="N7" s="141">
        <f t="shared" si="4"/>
        <v>164137.59865229405</v>
      </c>
      <c r="O7" s="141">
        <f t="shared" si="4"/>
        <v>167420.35062533992</v>
      </c>
      <c r="P7" s="141">
        <f t="shared" si="4"/>
        <v>170768.75763784672</v>
      </c>
      <c r="Q7" s="141">
        <f t="shared" si="4"/>
        <v>174184.13279060365</v>
      </c>
      <c r="R7" s="141">
        <f t="shared" si="4"/>
        <v>177667.81544641571</v>
      </c>
      <c r="S7" s="141">
        <f t="shared" si="4"/>
        <v>181221.17175534402</v>
      </c>
      <c r="T7" s="141">
        <f t="shared" si="4"/>
        <v>184845.5951904509</v>
      </c>
      <c r="U7" s="141">
        <f t="shared" si="4"/>
        <v>188542.50709425993</v>
      </c>
      <c r="V7" s="141">
        <f t="shared" si="4"/>
        <v>192313.35723614512</v>
      </c>
      <c r="W7" s="141">
        <f t="shared" si="4"/>
        <v>196159.62438086802</v>
      </c>
    </row>
    <row r="8" spans="1:23">
      <c r="B8" t="s">
        <v>92</v>
      </c>
      <c r="C8" s="141">
        <v>169450</v>
      </c>
      <c r="D8" s="141">
        <f t="shared" si="3"/>
        <v>172839</v>
      </c>
      <c r="E8" s="141">
        <f t="shared" si="3"/>
        <v>176295.78</v>
      </c>
      <c r="F8" s="142">
        <f t="shared" si="0"/>
        <v>518584.78</v>
      </c>
      <c r="G8" s="141">
        <f t="shared" si="1"/>
        <v>179821.69560000001</v>
      </c>
      <c r="H8" s="141">
        <f t="shared" si="4"/>
        <v>183418.12951200001</v>
      </c>
      <c r="I8" s="141">
        <f t="shared" si="4"/>
        <v>187086.49210224001</v>
      </c>
      <c r="J8" s="141">
        <f t="shared" si="4"/>
        <v>190828.2219442848</v>
      </c>
      <c r="K8" s="141">
        <f t="shared" si="4"/>
        <v>194644.78638317049</v>
      </c>
      <c r="L8" s="141">
        <f t="shared" si="4"/>
        <v>198537.68211083391</v>
      </c>
      <c r="M8" s="141">
        <f t="shared" si="4"/>
        <v>202508.43575305058</v>
      </c>
      <c r="N8" s="141">
        <f t="shared" si="4"/>
        <v>206558.60446811159</v>
      </c>
      <c r="O8" s="141">
        <f t="shared" si="4"/>
        <v>210689.77655747382</v>
      </c>
      <c r="P8" s="141">
        <f t="shared" si="4"/>
        <v>214903.5720886233</v>
      </c>
      <c r="Q8" s="141">
        <f t="shared" si="4"/>
        <v>219201.64353039578</v>
      </c>
      <c r="R8" s="141">
        <f t="shared" si="4"/>
        <v>223585.6764010037</v>
      </c>
      <c r="S8" s="141">
        <f t="shared" si="4"/>
        <v>228057.38992902378</v>
      </c>
      <c r="T8" s="141">
        <f t="shared" si="4"/>
        <v>232618.53772760424</v>
      </c>
      <c r="U8" s="141">
        <f t="shared" si="4"/>
        <v>237270.90848215634</v>
      </c>
      <c r="V8" s="141">
        <f t="shared" si="4"/>
        <v>242016.32665179946</v>
      </c>
      <c r="W8" s="141">
        <f t="shared" si="4"/>
        <v>246856.65318483545</v>
      </c>
    </row>
    <row r="9" spans="1:23">
      <c r="B9" t="s">
        <v>93</v>
      </c>
      <c r="C9" s="111">
        <v>250000</v>
      </c>
      <c r="D9" s="111">
        <f t="shared" si="3"/>
        <v>255000</v>
      </c>
      <c r="E9" s="111">
        <f t="shared" si="3"/>
        <v>260100</v>
      </c>
      <c r="F9" s="140">
        <f t="shared" si="0"/>
        <v>765100</v>
      </c>
      <c r="G9" s="111">
        <f t="shared" si="1"/>
        <v>265302</v>
      </c>
      <c r="H9" s="111">
        <f t="shared" si="4"/>
        <v>270608.03999999998</v>
      </c>
      <c r="I9" s="111">
        <f t="shared" si="4"/>
        <v>276020.20079999999</v>
      </c>
      <c r="J9" s="111">
        <f t="shared" si="4"/>
        <v>281540.60481599998</v>
      </c>
      <c r="K9" s="111">
        <f t="shared" si="4"/>
        <v>287171.41691231995</v>
      </c>
      <c r="L9" s="111">
        <f t="shared" si="4"/>
        <v>292914.84525056637</v>
      </c>
      <c r="M9" s="111">
        <f t="shared" si="4"/>
        <v>298773.14215557772</v>
      </c>
      <c r="N9" s="111">
        <f t="shared" si="4"/>
        <v>304748.60499868926</v>
      </c>
      <c r="O9" s="111">
        <f t="shared" si="4"/>
        <v>310843.57709866302</v>
      </c>
      <c r="P9" s="111">
        <f t="shared" si="4"/>
        <v>317060.44864063628</v>
      </c>
      <c r="Q9" s="111">
        <f t="shared" si="4"/>
        <v>323401.65761344903</v>
      </c>
      <c r="R9" s="111">
        <f t="shared" si="4"/>
        <v>329869.690765718</v>
      </c>
      <c r="S9" s="111">
        <f t="shared" si="4"/>
        <v>336467.08458103234</v>
      </c>
      <c r="T9" s="111">
        <f t="shared" si="4"/>
        <v>343196.42627265299</v>
      </c>
      <c r="U9" s="111">
        <f t="shared" si="4"/>
        <v>350060.35479810607</v>
      </c>
      <c r="V9" s="111">
        <f t="shared" si="4"/>
        <v>357061.5618940682</v>
      </c>
      <c r="W9" s="111">
        <f t="shared" si="4"/>
        <v>364202.79313194955</v>
      </c>
    </row>
    <row r="10" spans="1:23">
      <c r="A10" s="139"/>
      <c r="B10" s="138" t="s">
        <v>94</v>
      </c>
      <c r="C10" s="137">
        <f>SUM(C4:C9)</f>
        <v>837950</v>
      </c>
      <c r="D10" s="137">
        <f>SUM(D4:D9)</f>
        <v>854709</v>
      </c>
      <c r="E10" s="137">
        <f>SUM(E4:E9)</f>
        <v>871803.18</v>
      </c>
      <c r="F10" s="136">
        <f>SUM(F4:F9)</f>
        <v>2564462.1799999997</v>
      </c>
      <c r="G10" s="137">
        <f>SUM(G4:G9)</f>
        <v>889239.24360000005</v>
      </c>
      <c r="H10" s="137">
        <f t="shared" ref="H10:W10" si="5">SUM(H4:H9)</f>
        <v>907024.02847200003</v>
      </c>
      <c r="I10" s="137">
        <f t="shared" si="5"/>
        <v>925164.50904143997</v>
      </c>
      <c r="J10" s="137">
        <f t="shared" si="5"/>
        <v>943667.79922226886</v>
      </c>
      <c r="K10" s="137">
        <f t="shared" si="5"/>
        <v>962541.15520671417</v>
      </c>
      <c r="L10" s="137">
        <f t="shared" si="5"/>
        <v>981791.97831084847</v>
      </c>
      <c r="M10" s="137">
        <f t="shared" si="5"/>
        <v>1001427.8178770656</v>
      </c>
      <c r="N10" s="137">
        <f t="shared" si="5"/>
        <v>1021456.3742346069</v>
      </c>
      <c r="O10" s="137">
        <f t="shared" si="5"/>
        <v>1041885.5017192988</v>
      </c>
      <c r="P10" s="137">
        <f t="shared" si="5"/>
        <v>1062723.211753685</v>
      </c>
      <c r="Q10" s="137">
        <f t="shared" si="5"/>
        <v>1083977.6759887584</v>
      </c>
      <c r="R10" s="137">
        <f t="shared" si="5"/>
        <v>1105657.2295085336</v>
      </c>
      <c r="S10" s="137">
        <f t="shared" si="5"/>
        <v>1127770.3740987044</v>
      </c>
      <c r="T10" s="137">
        <f t="shared" si="5"/>
        <v>1150325.7815806784</v>
      </c>
      <c r="U10" s="137">
        <f t="shared" si="5"/>
        <v>1173332.2972122922</v>
      </c>
      <c r="V10" s="137">
        <f t="shared" si="5"/>
        <v>1196798.9431565381</v>
      </c>
      <c r="W10" s="137">
        <f t="shared" si="5"/>
        <v>1220734.9220196686</v>
      </c>
    </row>
    <row r="11" spans="1:23">
      <c r="A11" s="139"/>
      <c r="C11" s="141"/>
      <c r="D11" s="135"/>
      <c r="E11" s="135"/>
      <c r="F11" s="142"/>
      <c r="G11" s="135"/>
      <c r="H11" s="135"/>
      <c r="I11" s="135"/>
      <c r="J11" s="135"/>
      <c r="K11" s="135"/>
      <c r="L11" s="135"/>
      <c r="M11" s="135"/>
      <c r="N11" s="135"/>
      <c r="O11" s="135"/>
      <c r="P11" s="135"/>
      <c r="Q11" s="135"/>
      <c r="R11" s="135"/>
      <c r="S11" s="135"/>
      <c r="T11" s="135"/>
      <c r="U11" s="135"/>
      <c r="V11" s="135"/>
      <c r="W11" s="135"/>
    </row>
    <row r="12" spans="1:23">
      <c r="A12" s="144" t="s">
        <v>95</v>
      </c>
      <c r="C12" s="141"/>
      <c r="D12" s="141"/>
      <c r="E12" s="141"/>
      <c r="F12" s="142"/>
      <c r="G12" s="141"/>
      <c r="H12" s="141"/>
      <c r="I12" s="141"/>
      <c r="J12" s="141"/>
      <c r="K12" s="141"/>
      <c r="L12" s="141"/>
      <c r="M12" s="141"/>
      <c r="N12" s="141"/>
      <c r="O12" s="141"/>
      <c r="P12" s="141"/>
      <c r="Q12" s="141"/>
      <c r="R12" s="141"/>
      <c r="S12" s="141"/>
      <c r="T12" s="141"/>
      <c r="U12" s="141"/>
      <c r="V12" s="141"/>
      <c r="W12" s="141"/>
    </row>
    <row r="13" spans="1:23">
      <c r="B13" t="s">
        <v>96</v>
      </c>
      <c r="C13" s="141">
        <v>228725</v>
      </c>
      <c r="D13" s="141">
        <f>C13*(1+$C$51)</f>
        <v>233299.5</v>
      </c>
      <c r="E13" s="141">
        <f>D13*(1+$C$51)</f>
        <v>237965.49</v>
      </c>
      <c r="F13" s="142">
        <f>SUM(C13:E13)</f>
        <v>699989.99</v>
      </c>
      <c r="G13" s="141">
        <f>E13*(1+$C$51)</f>
        <v>242724.79980000001</v>
      </c>
      <c r="H13" s="141">
        <f t="shared" ref="H13:W14" si="6">G13*(1+$C$51)</f>
        <v>247579.29579600002</v>
      </c>
      <c r="I13" s="141">
        <f t="shared" si="6"/>
        <v>252530.88171192002</v>
      </c>
      <c r="J13" s="141">
        <f t="shared" si="6"/>
        <v>257581.49934615844</v>
      </c>
      <c r="K13" s="141">
        <f t="shared" si="6"/>
        <v>262733.1293330816</v>
      </c>
      <c r="L13" s="141">
        <f t="shared" si="6"/>
        <v>267987.79191974323</v>
      </c>
      <c r="M13" s="141">
        <f t="shared" si="6"/>
        <v>273347.5477581381</v>
      </c>
      <c r="N13" s="141">
        <f t="shared" si="6"/>
        <v>278814.49871330085</v>
      </c>
      <c r="O13" s="141">
        <f t="shared" si="6"/>
        <v>284390.78868756688</v>
      </c>
      <c r="P13" s="141">
        <f t="shared" si="6"/>
        <v>290078.60446131823</v>
      </c>
      <c r="Q13" s="141">
        <f t="shared" si="6"/>
        <v>295880.17655054462</v>
      </c>
      <c r="R13" s="141">
        <f t="shared" si="6"/>
        <v>301797.78008155554</v>
      </c>
      <c r="S13" s="141">
        <f t="shared" si="6"/>
        <v>307833.73568318668</v>
      </c>
      <c r="T13" s="141">
        <f t="shared" si="6"/>
        <v>313990.41039685044</v>
      </c>
      <c r="U13" s="141">
        <f t="shared" si="6"/>
        <v>320270.21860478743</v>
      </c>
      <c r="V13" s="141">
        <f t="shared" si="6"/>
        <v>326675.6229768832</v>
      </c>
      <c r="W13" s="141">
        <f t="shared" si="6"/>
        <v>333209.13543642085</v>
      </c>
    </row>
    <row r="14" spans="1:23">
      <c r="B14" t="s">
        <v>97</v>
      </c>
      <c r="C14" s="111">
        <v>175000</v>
      </c>
      <c r="D14" s="111">
        <f>C14*(1+$C$51)</f>
        <v>178500</v>
      </c>
      <c r="E14" s="111">
        <f>D14*(1+$C$51)</f>
        <v>182070</v>
      </c>
      <c r="F14" s="140">
        <f>SUM(C14:E14)</f>
        <v>535570</v>
      </c>
      <c r="G14" s="111">
        <f>E14*(1+$C$51)</f>
        <v>185711.4</v>
      </c>
      <c r="H14" s="111">
        <f t="shared" si="6"/>
        <v>189425.628</v>
      </c>
      <c r="I14" s="111">
        <f t="shared" si="6"/>
        <v>193214.14056</v>
      </c>
      <c r="J14" s="111">
        <f t="shared" si="6"/>
        <v>197078.42337120001</v>
      </c>
      <c r="K14" s="111">
        <f t="shared" si="6"/>
        <v>201019.99183862403</v>
      </c>
      <c r="L14" s="111">
        <f t="shared" si="6"/>
        <v>205040.3916753965</v>
      </c>
      <c r="M14" s="111">
        <f t="shared" si="6"/>
        <v>209141.19950890445</v>
      </c>
      <c r="N14" s="111">
        <f t="shared" si="6"/>
        <v>213324.02349908254</v>
      </c>
      <c r="O14" s="111">
        <f t="shared" si="6"/>
        <v>217590.50396906419</v>
      </c>
      <c r="P14" s="111">
        <f t="shared" si="6"/>
        <v>221942.31404844546</v>
      </c>
      <c r="Q14" s="111">
        <f t="shared" si="6"/>
        <v>226381.16032941439</v>
      </c>
      <c r="R14" s="111">
        <f t="shared" si="6"/>
        <v>230908.78353600268</v>
      </c>
      <c r="S14" s="111">
        <f t="shared" si="6"/>
        <v>235526.95920672273</v>
      </c>
      <c r="T14" s="111">
        <f t="shared" si="6"/>
        <v>240237.49839085719</v>
      </c>
      <c r="U14" s="111">
        <f t="shared" si="6"/>
        <v>245042.24835867435</v>
      </c>
      <c r="V14" s="111">
        <f t="shared" si="6"/>
        <v>249943.09332584785</v>
      </c>
      <c r="W14" s="111">
        <f t="shared" si="6"/>
        <v>254941.95519236481</v>
      </c>
    </row>
    <row r="15" spans="1:23">
      <c r="A15" s="139"/>
      <c r="B15" s="138" t="s">
        <v>94</v>
      </c>
      <c r="C15" s="137">
        <f>SUM(C13:C14)</f>
        <v>403725</v>
      </c>
      <c r="D15" s="137">
        <f>SUM(D13:D14)</f>
        <v>411799.5</v>
      </c>
      <c r="E15" s="137">
        <f>SUM(E13:E14)</f>
        <v>420035.49</v>
      </c>
      <c r="F15" s="136">
        <f>SUM(F13:F14)</f>
        <v>1235559.99</v>
      </c>
      <c r="G15" s="137">
        <f>SUM(G13:G14)</f>
        <v>428436.1998</v>
      </c>
      <c r="H15" s="137">
        <f t="shared" ref="H15:W15" si="7">SUM(H13:H14)</f>
        <v>437004.92379600002</v>
      </c>
      <c r="I15" s="137">
        <f t="shared" si="7"/>
        <v>445745.02227192</v>
      </c>
      <c r="J15" s="137">
        <f t="shared" si="7"/>
        <v>454659.92271735845</v>
      </c>
      <c r="K15" s="137">
        <f t="shared" si="7"/>
        <v>463753.12117170566</v>
      </c>
      <c r="L15" s="137">
        <f t="shared" si="7"/>
        <v>473028.18359513977</v>
      </c>
      <c r="M15" s="137">
        <f t="shared" si="7"/>
        <v>482488.74726704252</v>
      </c>
      <c r="N15" s="137">
        <f t="shared" si="7"/>
        <v>492138.5222123834</v>
      </c>
      <c r="O15" s="137">
        <f t="shared" si="7"/>
        <v>501981.29265663109</v>
      </c>
      <c r="P15" s="137">
        <f t="shared" si="7"/>
        <v>512020.91850976367</v>
      </c>
      <c r="Q15" s="137">
        <f t="shared" si="7"/>
        <v>522261.33687995898</v>
      </c>
      <c r="R15" s="137">
        <f t="shared" si="7"/>
        <v>532706.56361755822</v>
      </c>
      <c r="S15" s="137">
        <f t="shared" si="7"/>
        <v>543360.69488990935</v>
      </c>
      <c r="T15" s="137">
        <f t="shared" si="7"/>
        <v>554227.90878770757</v>
      </c>
      <c r="U15" s="137">
        <f t="shared" si="7"/>
        <v>565312.46696346183</v>
      </c>
      <c r="V15" s="137">
        <f t="shared" si="7"/>
        <v>576618.71630273107</v>
      </c>
      <c r="W15" s="137">
        <f t="shared" si="7"/>
        <v>588151.09062878566</v>
      </c>
    </row>
    <row r="16" spans="1:23">
      <c r="C16" s="141"/>
      <c r="D16" s="135"/>
      <c r="E16" s="135"/>
      <c r="F16" s="142"/>
      <c r="G16" s="135"/>
      <c r="H16" s="135"/>
      <c r="I16" s="135"/>
      <c r="J16" s="135"/>
      <c r="K16" s="135"/>
      <c r="L16" s="135"/>
      <c r="M16" s="135"/>
      <c r="N16" s="135"/>
      <c r="O16" s="135"/>
      <c r="P16" s="135"/>
      <c r="Q16" s="135"/>
      <c r="R16" s="135"/>
      <c r="S16" s="135"/>
      <c r="T16" s="135"/>
      <c r="U16" s="135"/>
      <c r="V16" s="135"/>
      <c r="W16" s="135"/>
    </row>
    <row r="17" spans="1:23">
      <c r="A17" s="144" t="s">
        <v>98</v>
      </c>
      <c r="C17" s="141"/>
      <c r="D17" s="141"/>
      <c r="E17" s="141"/>
      <c r="F17" s="142"/>
      <c r="G17" s="141"/>
      <c r="H17" s="141"/>
      <c r="I17" s="141"/>
      <c r="J17" s="141"/>
      <c r="K17" s="141"/>
      <c r="L17" s="141"/>
      <c r="M17" s="141"/>
      <c r="N17" s="141"/>
      <c r="O17" s="141"/>
      <c r="P17" s="141"/>
      <c r="Q17" s="141"/>
      <c r="R17" s="141"/>
      <c r="S17" s="141"/>
      <c r="T17" s="141"/>
      <c r="U17" s="141"/>
      <c r="V17" s="141"/>
      <c r="W17" s="141"/>
    </row>
    <row r="18" spans="1:23">
      <c r="B18" t="s">
        <v>99</v>
      </c>
      <c r="C18" s="141">
        <v>50000</v>
      </c>
      <c r="D18" s="141">
        <f t="shared" ref="D18:E22" si="8">C18*(1+$C$51)</f>
        <v>51000</v>
      </c>
      <c r="E18" s="141">
        <f t="shared" si="8"/>
        <v>52020</v>
      </c>
      <c r="F18" s="142">
        <f>SUM(C18:E18)</f>
        <v>153020</v>
      </c>
      <c r="G18" s="141">
        <f>E18*(1+$C$51)</f>
        <v>53060.4</v>
      </c>
      <c r="H18" s="141">
        <f t="shared" ref="H18:W18" si="9">G18*(1+$C$51)</f>
        <v>54121.608</v>
      </c>
      <c r="I18" s="141">
        <f t="shared" si="9"/>
        <v>55204.040160000004</v>
      </c>
      <c r="J18" s="141">
        <f t="shared" si="9"/>
        <v>56308.120963200003</v>
      </c>
      <c r="K18" s="141">
        <f t="shared" si="9"/>
        <v>57434.283382464004</v>
      </c>
      <c r="L18" s="141">
        <f t="shared" si="9"/>
        <v>58582.969050113286</v>
      </c>
      <c r="M18" s="141">
        <f t="shared" si="9"/>
        <v>59754.628431115554</v>
      </c>
      <c r="N18" s="141">
        <f t="shared" si="9"/>
        <v>60949.720999737867</v>
      </c>
      <c r="O18" s="141">
        <f t="shared" si="9"/>
        <v>62168.715419732624</v>
      </c>
      <c r="P18" s="141">
        <f t="shared" si="9"/>
        <v>63412.089728127277</v>
      </c>
      <c r="Q18" s="141">
        <f t="shared" si="9"/>
        <v>64680.331522689827</v>
      </c>
      <c r="R18" s="141">
        <f t="shared" si="9"/>
        <v>65973.938153143623</v>
      </c>
      <c r="S18" s="141">
        <f t="shared" si="9"/>
        <v>67293.416916206494</v>
      </c>
      <c r="T18" s="141">
        <f t="shared" si="9"/>
        <v>68639.285254530623</v>
      </c>
      <c r="U18" s="141">
        <f t="shared" si="9"/>
        <v>70012.07095962124</v>
      </c>
      <c r="V18" s="141">
        <f t="shared" si="9"/>
        <v>71412.312378813673</v>
      </c>
      <c r="W18" s="141">
        <f t="shared" si="9"/>
        <v>72840.558626389946</v>
      </c>
    </row>
    <row r="19" spans="1:23">
      <c r="B19" s="488" t="s">
        <v>100</v>
      </c>
      <c r="C19" s="141">
        <v>70000</v>
      </c>
      <c r="D19" s="141">
        <v>262376</v>
      </c>
      <c r="E19" s="141">
        <f t="shared" si="8"/>
        <v>267623.52</v>
      </c>
      <c r="F19" s="142">
        <f>SUM(C19:E19)</f>
        <v>599999.52</v>
      </c>
      <c r="G19" s="141">
        <f>C19*(1+C51)</f>
        <v>71400</v>
      </c>
      <c r="H19" s="141">
        <f>D19*(1+$C$51)</f>
        <v>267623.52</v>
      </c>
      <c r="I19" s="141">
        <f>H19*(1+$C$51)</f>
        <v>272975.99040000001</v>
      </c>
      <c r="J19" s="141">
        <f>G19*(1+$C$51)</f>
        <v>72828</v>
      </c>
      <c r="K19" s="141">
        <f>H19*(1+$C$51)</f>
        <v>272975.99040000001</v>
      </c>
      <c r="L19" s="141">
        <f>K19*(1+$C$51)</f>
        <v>278435.51020800002</v>
      </c>
      <c r="M19" s="141">
        <f>J19*(1+$C$51)</f>
        <v>74284.56</v>
      </c>
      <c r="N19" s="141">
        <f>K19*(1+$C$51)</f>
        <v>278435.51020800002</v>
      </c>
      <c r="O19" s="141">
        <f>N19*(1+$C$51)</f>
        <v>284004.22041216004</v>
      </c>
      <c r="P19" s="141">
        <f>M19*(1+$C$51)</f>
        <v>75770.251199999999</v>
      </c>
      <c r="Q19" s="141">
        <f>N19*(1+$C$51)</f>
        <v>284004.22041216004</v>
      </c>
      <c r="R19" s="141">
        <f>Q19*(1+$C$51)</f>
        <v>289684.30482040322</v>
      </c>
      <c r="S19" s="141">
        <f>P19*(1+$C$51)</f>
        <v>77285.656224000006</v>
      </c>
      <c r="T19" s="141">
        <f>Q19*(1+$C$51)</f>
        <v>289684.30482040322</v>
      </c>
      <c r="U19" s="141">
        <f>T19*(1+$C$51)</f>
        <v>295477.99091681128</v>
      </c>
      <c r="V19" s="141">
        <f>S19*(1+$C$51)</f>
        <v>78831.369348480002</v>
      </c>
      <c r="W19" s="141">
        <f>T19*(1+$C$51)</f>
        <v>295477.99091681128</v>
      </c>
    </row>
    <row r="20" spans="1:23">
      <c r="B20" t="s">
        <v>101</v>
      </c>
      <c r="C20" s="141">
        <v>45000</v>
      </c>
      <c r="D20" s="141">
        <f t="shared" si="8"/>
        <v>45900</v>
      </c>
      <c r="E20" s="141">
        <f t="shared" si="8"/>
        <v>46818</v>
      </c>
      <c r="F20" s="142">
        <f>SUM(C20:E20)</f>
        <v>137718</v>
      </c>
      <c r="G20" s="141">
        <f>E20*(1+$C$51)</f>
        <v>47754.36</v>
      </c>
      <c r="H20" s="141">
        <f t="shared" ref="H20:W22" si="10">G20*(1+$C$51)</f>
        <v>48709.447200000002</v>
      </c>
      <c r="I20" s="141">
        <f t="shared" si="10"/>
        <v>49683.636144000004</v>
      </c>
      <c r="J20" s="141">
        <f t="shared" si="10"/>
        <v>50677.308866880005</v>
      </c>
      <c r="K20" s="141">
        <f t="shared" si="10"/>
        <v>51690.855044217606</v>
      </c>
      <c r="L20" s="141">
        <f t="shared" si="10"/>
        <v>52724.672145101962</v>
      </c>
      <c r="M20" s="141">
        <f t="shared" si="10"/>
        <v>53779.165588004005</v>
      </c>
      <c r="N20" s="141">
        <f t="shared" si="10"/>
        <v>54854.748899764083</v>
      </c>
      <c r="O20" s="141">
        <f t="shared" si="10"/>
        <v>55951.843877759369</v>
      </c>
      <c r="P20" s="141">
        <f t="shared" si="10"/>
        <v>57070.88075531456</v>
      </c>
      <c r="Q20" s="141">
        <f t="shared" si="10"/>
        <v>58212.298370420853</v>
      </c>
      <c r="R20" s="141">
        <f t="shared" si="10"/>
        <v>59376.544337829269</v>
      </c>
      <c r="S20" s="141">
        <f t="shared" si="10"/>
        <v>60564.075224585853</v>
      </c>
      <c r="T20" s="141">
        <f t="shared" si="10"/>
        <v>61775.356729077568</v>
      </c>
      <c r="U20" s="141">
        <f t="shared" si="10"/>
        <v>63010.86386365912</v>
      </c>
      <c r="V20" s="141">
        <f t="shared" si="10"/>
        <v>64271.081140932307</v>
      </c>
      <c r="W20" s="141">
        <f t="shared" si="10"/>
        <v>65556.502763750948</v>
      </c>
    </row>
    <row r="21" spans="1:23">
      <c r="B21" s="488" t="s">
        <v>102</v>
      </c>
      <c r="C21" s="141">
        <v>130000</v>
      </c>
      <c r="D21" s="141">
        <f t="shared" si="8"/>
        <v>132600</v>
      </c>
      <c r="E21" s="141">
        <f t="shared" si="8"/>
        <v>135252</v>
      </c>
      <c r="F21" s="142">
        <f>SUM(C21:E21)</f>
        <v>397852</v>
      </c>
      <c r="G21" s="141">
        <f>E21*(1+$C$51)</f>
        <v>137957.04</v>
      </c>
      <c r="H21" s="141">
        <f t="shared" si="10"/>
        <v>140716.1808</v>
      </c>
      <c r="I21" s="141">
        <f t="shared" si="10"/>
        <v>143530.50441600001</v>
      </c>
      <c r="J21" s="141">
        <f t="shared" si="10"/>
        <v>146401.11450432002</v>
      </c>
      <c r="K21" s="141">
        <f t="shared" si="10"/>
        <v>149329.13679440643</v>
      </c>
      <c r="L21" s="141">
        <f t="shared" si="10"/>
        <v>152315.71953029456</v>
      </c>
      <c r="M21" s="141">
        <f t="shared" si="10"/>
        <v>155362.03392090046</v>
      </c>
      <c r="N21" s="141">
        <f t="shared" si="10"/>
        <v>158469.27459931848</v>
      </c>
      <c r="O21" s="141">
        <f t="shared" si="10"/>
        <v>161638.66009130486</v>
      </c>
      <c r="P21" s="141">
        <f t="shared" si="10"/>
        <v>164871.43329313095</v>
      </c>
      <c r="Q21" s="141">
        <f t="shared" si="10"/>
        <v>168168.86195899357</v>
      </c>
      <c r="R21" s="141">
        <f t="shared" si="10"/>
        <v>171532.23919817345</v>
      </c>
      <c r="S21" s="141">
        <f t="shared" si="10"/>
        <v>174962.88398213693</v>
      </c>
      <c r="T21" s="141">
        <f t="shared" si="10"/>
        <v>178462.14166177966</v>
      </c>
      <c r="U21" s="141">
        <f t="shared" si="10"/>
        <v>182031.38449501526</v>
      </c>
      <c r="V21" s="141">
        <f t="shared" si="10"/>
        <v>185672.01218491557</v>
      </c>
      <c r="W21" s="141">
        <f t="shared" si="10"/>
        <v>189385.45242861388</v>
      </c>
    </row>
    <row r="22" spans="1:23">
      <c r="B22" t="s">
        <v>103</v>
      </c>
      <c r="C22" s="111">
        <v>120000</v>
      </c>
      <c r="D22" s="111">
        <f t="shared" si="8"/>
        <v>122400</v>
      </c>
      <c r="E22" s="111">
        <f t="shared" si="8"/>
        <v>124848</v>
      </c>
      <c r="F22" s="140">
        <f>SUM(C22:E22)</f>
        <v>367248</v>
      </c>
      <c r="G22" s="111">
        <f>E22*(1+$C$51)</f>
        <v>127344.96000000001</v>
      </c>
      <c r="H22" s="111">
        <f t="shared" si="10"/>
        <v>129891.85920000001</v>
      </c>
      <c r="I22" s="111">
        <f t="shared" si="10"/>
        <v>132489.69638400001</v>
      </c>
      <c r="J22" s="111">
        <f t="shared" si="10"/>
        <v>135139.49031168001</v>
      </c>
      <c r="K22" s="111">
        <f t="shared" si="10"/>
        <v>137842.28011791361</v>
      </c>
      <c r="L22" s="111">
        <f t="shared" si="10"/>
        <v>140599.1257202719</v>
      </c>
      <c r="M22" s="111">
        <f t="shared" si="10"/>
        <v>143411.10823467735</v>
      </c>
      <c r="N22" s="111">
        <f t="shared" si="10"/>
        <v>146279.3303993709</v>
      </c>
      <c r="O22" s="111">
        <f t="shared" si="10"/>
        <v>149204.91700735831</v>
      </c>
      <c r="P22" s="111">
        <f t="shared" si="10"/>
        <v>152189.01534750548</v>
      </c>
      <c r="Q22" s="111">
        <f t="shared" si="10"/>
        <v>155232.79565445561</v>
      </c>
      <c r="R22" s="111">
        <f t="shared" si="10"/>
        <v>158337.45156754472</v>
      </c>
      <c r="S22" s="111">
        <f t="shared" si="10"/>
        <v>161504.20059889561</v>
      </c>
      <c r="T22" s="111">
        <f t="shared" si="10"/>
        <v>164734.28461087352</v>
      </c>
      <c r="U22" s="111">
        <f t="shared" si="10"/>
        <v>168028.97030309099</v>
      </c>
      <c r="V22" s="111">
        <f t="shared" si="10"/>
        <v>171389.54970915281</v>
      </c>
      <c r="W22" s="111">
        <f t="shared" si="10"/>
        <v>174817.34070333588</v>
      </c>
    </row>
    <row r="23" spans="1:23">
      <c r="A23" s="139"/>
      <c r="B23" s="138" t="s">
        <v>94</v>
      </c>
      <c r="C23" s="137">
        <f t="shared" ref="C23:D23" si="11">SUM(C18:C22)</f>
        <v>415000</v>
      </c>
      <c r="D23" s="137">
        <f t="shared" si="11"/>
        <v>614276</v>
      </c>
      <c r="E23" s="137">
        <f>SUM(E18:E22)</f>
        <v>626561.52</v>
      </c>
      <c r="F23" s="136">
        <f t="shared" ref="F23:W23" si="12">SUM(F18:F22)</f>
        <v>1655837.52</v>
      </c>
      <c r="G23" s="137">
        <f t="shared" si="12"/>
        <v>437516.76000000007</v>
      </c>
      <c r="H23" s="137">
        <f t="shared" si="12"/>
        <v>641062.61520000012</v>
      </c>
      <c r="I23" s="137">
        <f t="shared" si="12"/>
        <v>653883.86750399997</v>
      </c>
      <c r="J23" s="137">
        <f t="shared" si="12"/>
        <v>461354.03464608005</v>
      </c>
      <c r="K23" s="137">
        <f t="shared" si="12"/>
        <v>669272.54573900171</v>
      </c>
      <c r="L23" s="137">
        <f t="shared" si="12"/>
        <v>682657.99665378174</v>
      </c>
      <c r="M23" s="137">
        <f t="shared" si="12"/>
        <v>486591.49617469741</v>
      </c>
      <c r="N23" s="137">
        <f t="shared" si="12"/>
        <v>698988.58510619134</v>
      </c>
      <c r="O23" s="137">
        <f t="shared" si="12"/>
        <v>712968.35680831515</v>
      </c>
      <c r="P23" s="137">
        <f t="shared" si="12"/>
        <v>513313.6703240783</v>
      </c>
      <c r="Q23" s="137">
        <f t="shared" si="12"/>
        <v>730298.5079187199</v>
      </c>
      <c r="R23" s="137">
        <f t="shared" si="12"/>
        <v>744904.4780770943</v>
      </c>
      <c r="S23" s="137">
        <f t="shared" si="12"/>
        <v>541610.23294582497</v>
      </c>
      <c r="T23" s="137">
        <f t="shared" si="12"/>
        <v>763295.37307666463</v>
      </c>
      <c r="U23" s="137">
        <f t="shared" si="12"/>
        <v>778561.28053819784</v>
      </c>
      <c r="V23" s="137">
        <f t="shared" si="12"/>
        <v>571576.3247622943</v>
      </c>
      <c r="W23" s="137">
        <f t="shared" si="12"/>
        <v>798077.84543890203</v>
      </c>
    </row>
    <row r="24" spans="1:23">
      <c r="C24" s="141"/>
      <c r="D24" s="135"/>
      <c r="E24" s="135"/>
      <c r="F24" s="142"/>
      <c r="G24" s="135"/>
      <c r="H24" s="135"/>
      <c r="I24" s="135"/>
      <c r="J24" s="135"/>
      <c r="K24" s="135"/>
      <c r="L24" s="135"/>
      <c r="M24" s="135"/>
      <c r="N24" s="135"/>
      <c r="O24" s="135"/>
      <c r="P24" s="135"/>
      <c r="Q24" s="135"/>
      <c r="R24" s="135"/>
      <c r="S24" s="135"/>
      <c r="T24" s="135"/>
      <c r="U24" s="135"/>
      <c r="V24" s="135"/>
      <c r="W24" s="135"/>
    </row>
    <row r="25" spans="1:23">
      <c r="A25" s="144" t="s">
        <v>104</v>
      </c>
      <c r="C25" s="141"/>
      <c r="D25" s="141"/>
      <c r="E25" s="141"/>
      <c r="F25" s="142"/>
      <c r="G25" s="141"/>
      <c r="H25" s="141"/>
      <c r="I25" s="141"/>
      <c r="J25" s="141"/>
      <c r="K25" s="141"/>
      <c r="L25" s="141"/>
      <c r="M25" s="141"/>
      <c r="N25" s="141"/>
      <c r="O25" s="141"/>
      <c r="P25" s="141"/>
      <c r="Q25" s="141"/>
      <c r="R25" s="141"/>
      <c r="S25" s="141"/>
      <c r="T25" s="141"/>
      <c r="U25" s="141"/>
      <c r="V25" s="141"/>
      <c r="W25" s="141"/>
    </row>
    <row r="26" spans="1:23">
      <c r="B26" t="s">
        <v>105</v>
      </c>
      <c r="C26" s="141">
        <v>50000</v>
      </c>
      <c r="D26" s="141">
        <f t="shared" ref="D26:E30" si="13">C26*(1+$C$51)</f>
        <v>51000</v>
      </c>
      <c r="E26" s="141">
        <f t="shared" si="13"/>
        <v>52020</v>
      </c>
      <c r="F26" s="142">
        <f>SUM(C26:E26)</f>
        <v>153020</v>
      </c>
      <c r="G26" s="141">
        <f>E26*(1+$C$51)</f>
        <v>53060.4</v>
      </c>
      <c r="H26" s="141">
        <f t="shared" ref="H26:W30" si="14">G26*(1+$C$51)</f>
        <v>54121.608</v>
      </c>
      <c r="I26" s="141">
        <f t="shared" si="14"/>
        <v>55204.040160000004</v>
      </c>
      <c r="J26" s="141">
        <f t="shared" si="14"/>
        <v>56308.120963200003</v>
      </c>
      <c r="K26" s="141">
        <f t="shared" si="14"/>
        <v>57434.283382464004</v>
      </c>
      <c r="L26" s="141">
        <f t="shared" si="14"/>
        <v>58582.969050113286</v>
      </c>
      <c r="M26" s="141">
        <f t="shared" si="14"/>
        <v>59754.628431115554</v>
      </c>
      <c r="N26" s="141">
        <f t="shared" si="14"/>
        <v>60949.720999737867</v>
      </c>
      <c r="O26" s="141">
        <f t="shared" si="14"/>
        <v>62168.715419732624</v>
      </c>
      <c r="P26" s="141">
        <f t="shared" si="14"/>
        <v>63412.089728127277</v>
      </c>
      <c r="Q26" s="141">
        <f t="shared" si="14"/>
        <v>64680.331522689827</v>
      </c>
      <c r="R26" s="141">
        <f t="shared" si="14"/>
        <v>65973.938153143623</v>
      </c>
      <c r="S26" s="141">
        <f t="shared" si="14"/>
        <v>67293.416916206494</v>
      </c>
      <c r="T26" s="141">
        <f t="shared" si="14"/>
        <v>68639.285254530623</v>
      </c>
      <c r="U26" s="141">
        <f t="shared" si="14"/>
        <v>70012.07095962124</v>
      </c>
      <c r="V26" s="141">
        <f t="shared" si="14"/>
        <v>71412.312378813673</v>
      </c>
      <c r="W26" s="141">
        <f t="shared" si="14"/>
        <v>72840.558626389946</v>
      </c>
    </row>
    <row r="27" spans="1:23">
      <c r="B27" t="s">
        <v>106</v>
      </c>
      <c r="C27" s="141">
        <v>137000</v>
      </c>
      <c r="D27" s="141">
        <f t="shared" si="13"/>
        <v>139740</v>
      </c>
      <c r="E27" s="141">
        <f t="shared" si="13"/>
        <v>142534.79999999999</v>
      </c>
      <c r="F27" s="142">
        <f>SUM(C27:E27)</f>
        <v>419274.8</v>
      </c>
      <c r="G27" s="141">
        <f>E27*(1+$C$51)</f>
        <v>145385.49599999998</v>
      </c>
      <c r="H27" s="141">
        <f t="shared" si="14"/>
        <v>148293.20591999998</v>
      </c>
      <c r="I27" s="141">
        <f t="shared" si="14"/>
        <v>151259.07003839998</v>
      </c>
      <c r="J27" s="141">
        <f t="shared" si="14"/>
        <v>154284.25143916797</v>
      </c>
      <c r="K27" s="141">
        <f t="shared" si="14"/>
        <v>157369.93646795134</v>
      </c>
      <c r="L27" s="141">
        <f t="shared" si="14"/>
        <v>160517.33519731037</v>
      </c>
      <c r="M27" s="141">
        <f t="shared" si="14"/>
        <v>163727.68190125658</v>
      </c>
      <c r="N27" s="141">
        <f t="shared" si="14"/>
        <v>167002.23553928171</v>
      </c>
      <c r="O27" s="141">
        <f t="shared" si="14"/>
        <v>170342.28025006736</v>
      </c>
      <c r="P27" s="141">
        <f t="shared" si="14"/>
        <v>173749.12585506871</v>
      </c>
      <c r="Q27" s="141">
        <f t="shared" si="14"/>
        <v>177224.10837217007</v>
      </c>
      <c r="R27" s="141">
        <f t="shared" si="14"/>
        <v>180768.59053961348</v>
      </c>
      <c r="S27" s="141">
        <f t="shared" si="14"/>
        <v>184383.96235040575</v>
      </c>
      <c r="T27" s="141">
        <f t="shared" si="14"/>
        <v>188071.64159741387</v>
      </c>
      <c r="U27" s="141">
        <f t="shared" si="14"/>
        <v>191833.07442936214</v>
      </c>
      <c r="V27" s="141">
        <f t="shared" si="14"/>
        <v>195669.73591794938</v>
      </c>
      <c r="W27" s="141">
        <f t="shared" si="14"/>
        <v>199583.13063630837</v>
      </c>
    </row>
    <row r="28" spans="1:23">
      <c r="B28" t="s">
        <v>107</v>
      </c>
      <c r="C28" s="141">
        <v>330000</v>
      </c>
      <c r="D28" s="141">
        <f t="shared" si="13"/>
        <v>336600</v>
      </c>
      <c r="E28" s="141">
        <f t="shared" si="13"/>
        <v>343332</v>
      </c>
      <c r="F28" s="142">
        <f>SUM(C28:E28)</f>
        <v>1009932</v>
      </c>
      <c r="G28" s="141">
        <f>E28*(1+$C$51)</f>
        <v>350198.64</v>
      </c>
      <c r="H28" s="141">
        <f t="shared" si="14"/>
        <v>357202.6128</v>
      </c>
      <c r="I28" s="141">
        <f t="shared" si="14"/>
        <v>364346.665056</v>
      </c>
      <c r="J28" s="141">
        <f t="shared" si="14"/>
        <v>371633.59835712</v>
      </c>
      <c r="K28" s="141">
        <f t="shared" si="14"/>
        <v>379066.27032426238</v>
      </c>
      <c r="L28" s="141">
        <f t="shared" si="14"/>
        <v>386647.59573074762</v>
      </c>
      <c r="M28" s="141">
        <f t="shared" si="14"/>
        <v>394380.54764536256</v>
      </c>
      <c r="N28" s="141">
        <f t="shared" si="14"/>
        <v>402268.1585982698</v>
      </c>
      <c r="O28" s="141">
        <f t="shared" si="14"/>
        <v>410313.52177023521</v>
      </c>
      <c r="P28" s="141">
        <f t="shared" si="14"/>
        <v>418519.79220563994</v>
      </c>
      <c r="Q28" s="141">
        <f t="shared" si="14"/>
        <v>426890.18804975273</v>
      </c>
      <c r="R28" s="141">
        <f t="shared" si="14"/>
        <v>435427.99181074777</v>
      </c>
      <c r="S28" s="141">
        <f t="shared" si="14"/>
        <v>444136.55164696276</v>
      </c>
      <c r="T28" s="141">
        <f t="shared" si="14"/>
        <v>453019.28267990204</v>
      </c>
      <c r="U28" s="141">
        <f t="shared" si="14"/>
        <v>462079.6683335001</v>
      </c>
      <c r="V28" s="141">
        <f t="shared" si="14"/>
        <v>471321.26170017011</v>
      </c>
      <c r="W28" s="141">
        <f t="shared" si="14"/>
        <v>480747.68693417351</v>
      </c>
    </row>
    <row r="29" spans="1:23">
      <c r="B29" t="s">
        <v>108</v>
      </c>
      <c r="C29" s="141">
        <v>265000</v>
      </c>
      <c r="D29" s="141">
        <f t="shared" si="13"/>
        <v>270300</v>
      </c>
      <c r="E29" s="141">
        <f t="shared" si="13"/>
        <v>275706</v>
      </c>
      <c r="F29" s="142">
        <f>SUM(C29:E29)</f>
        <v>811006</v>
      </c>
      <c r="G29" s="141">
        <f>E29*(1+$C$51)</f>
        <v>281220.12</v>
      </c>
      <c r="H29" s="141">
        <f t="shared" si="14"/>
        <v>286844.52240000002</v>
      </c>
      <c r="I29" s="141">
        <f t="shared" si="14"/>
        <v>292581.41284800001</v>
      </c>
      <c r="J29" s="141">
        <f t="shared" si="14"/>
        <v>298433.04110496002</v>
      </c>
      <c r="K29" s="141">
        <f t="shared" si="14"/>
        <v>304401.70192705921</v>
      </c>
      <c r="L29" s="141">
        <f t="shared" si="14"/>
        <v>310489.73596560041</v>
      </c>
      <c r="M29" s="141">
        <f t="shared" si="14"/>
        <v>316699.5306849124</v>
      </c>
      <c r="N29" s="141">
        <f t="shared" si="14"/>
        <v>323033.52129861066</v>
      </c>
      <c r="O29" s="141">
        <f t="shared" si="14"/>
        <v>329494.19172458287</v>
      </c>
      <c r="P29" s="141">
        <f t="shared" si="14"/>
        <v>336084.07555907452</v>
      </c>
      <c r="Q29" s="141">
        <f t="shared" si="14"/>
        <v>342805.75707025605</v>
      </c>
      <c r="R29" s="141">
        <f t="shared" si="14"/>
        <v>349661.87221166119</v>
      </c>
      <c r="S29" s="141">
        <f t="shared" si="14"/>
        <v>356655.1096558944</v>
      </c>
      <c r="T29" s="141">
        <f t="shared" si="14"/>
        <v>363788.2118490123</v>
      </c>
      <c r="U29" s="141">
        <f t="shared" si="14"/>
        <v>371063.97608599253</v>
      </c>
      <c r="V29" s="141">
        <f t="shared" si="14"/>
        <v>378485.25560771237</v>
      </c>
      <c r="W29" s="141">
        <f t="shared" si="14"/>
        <v>386054.96071986662</v>
      </c>
    </row>
    <row r="30" spans="1:23">
      <c r="B30" t="s">
        <v>109</v>
      </c>
      <c r="C30" s="111">
        <v>98000</v>
      </c>
      <c r="D30" s="111">
        <f t="shared" si="13"/>
        <v>99960</v>
      </c>
      <c r="E30" s="111">
        <f t="shared" si="13"/>
        <v>101959.2</v>
      </c>
      <c r="F30" s="140">
        <f>SUM(C30:E30)</f>
        <v>299919.2</v>
      </c>
      <c r="G30" s="111">
        <f>E30*(1+$C$51)</f>
        <v>103998.38400000001</v>
      </c>
      <c r="H30" s="111">
        <f t="shared" si="14"/>
        <v>106078.35168000001</v>
      </c>
      <c r="I30" s="111">
        <f t="shared" si="14"/>
        <v>108199.91871360001</v>
      </c>
      <c r="J30" s="111">
        <f t="shared" si="14"/>
        <v>110363.91708787202</v>
      </c>
      <c r="K30" s="111">
        <f t="shared" si="14"/>
        <v>112571.19542962946</v>
      </c>
      <c r="L30" s="111">
        <f t="shared" si="14"/>
        <v>114822.61933822205</v>
      </c>
      <c r="M30" s="111">
        <f t="shared" si="14"/>
        <v>117119.0717249865</v>
      </c>
      <c r="N30" s="111">
        <f t="shared" si="14"/>
        <v>119461.45315948623</v>
      </c>
      <c r="O30" s="111">
        <f t="shared" si="14"/>
        <v>121850.68222267597</v>
      </c>
      <c r="P30" s="111">
        <f t="shared" si="14"/>
        <v>124287.69586712949</v>
      </c>
      <c r="Q30" s="111">
        <f t="shared" si="14"/>
        <v>126773.44978447208</v>
      </c>
      <c r="R30" s="111">
        <f t="shared" si="14"/>
        <v>129308.91878016152</v>
      </c>
      <c r="S30" s="111">
        <f t="shared" si="14"/>
        <v>131895.09715576476</v>
      </c>
      <c r="T30" s="111">
        <f t="shared" si="14"/>
        <v>134532.99909888004</v>
      </c>
      <c r="U30" s="111">
        <f t="shared" si="14"/>
        <v>137223.65908085764</v>
      </c>
      <c r="V30" s="111">
        <f t="shared" si="14"/>
        <v>139968.1322624748</v>
      </c>
      <c r="W30" s="111">
        <f t="shared" si="14"/>
        <v>142767.49490772429</v>
      </c>
    </row>
    <row r="31" spans="1:23">
      <c r="A31" s="139"/>
      <c r="B31" s="138" t="s">
        <v>94</v>
      </c>
      <c r="C31" s="137">
        <f>SUM(C26:C30)</f>
        <v>880000</v>
      </c>
      <c r="D31" s="137">
        <f>SUM(D26:D30)</f>
        <v>897600</v>
      </c>
      <c r="E31" s="137">
        <f>SUM(E26:E30)</f>
        <v>915552</v>
      </c>
      <c r="F31" s="136">
        <f t="shared" ref="F31:W31" si="15">SUM(F26:F30)</f>
        <v>2693152</v>
      </c>
      <c r="G31" s="137">
        <f t="shared" si="15"/>
        <v>933863.03999999992</v>
      </c>
      <c r="H31" s="137">
        <f t="shared" si="15"/>
        <v>952540.30079999997</v>
      </c>
      <c r="I31" s="137">
        <f t="shared" si="15"/>
        <v>971591.10681599996</v>
      </c>
      <c r="J31" s="137">
        <f t="shared" si="15"/>
        <v>991022.92895232001</v>
      </c>
      <c r="K31" s="137">
        <f t="shared" si="15"/>
        <v>1010843.3875313663</v>
      </c>
      <c r="L31" s="137">
        <f t="shared" si="15"/>
        <v>1031060.2552819939</v>
      </c>
      <c r="M31" s="137">
        <f t="shared" si="15"/>
        <v>1051681.4603876334</v>
      </c>
      <c r="N31" s="137">
        <f t="shared" si="15"/>
        <v>1072715.0895953863</v>
      </c>
      <c r="O31" s="137">
        <f t="shared" si="15"/>
        <v>1094169.391387294</v>
      </c>
      <c r="P31" s="137">
        <f t="shared" si="15"/>
        <v>1116052.7792150399</v>
      </c>
      <c r="Q31" s="137">
        <f t="shared" si="15"/>
        <v>1138373.8347993407</v>
      </c>
      <c r="R31" s="137">
        <f t="shared" si="15"/>
        <v>1161141.3114953276</v>
      </c>
      <c r="S31" s="137">
        <f t="shared" si="15"/>
        <v>1184364.137725234</v>
      </c>
      <c r="T31" s="137">
        <f t="shared" si="15"/>
        <v>1208051.4204797389</v>
      </c>
      <c r="U31" s="137">
        <f t="shared" si="15"/>
        <v>1232212.4488893335</v>
      </c>
      <c r="V31" s="137">
        <f t="shared" si="15"/>
        <v>1256856.6978671204</v>
      </c>
      <c r="W31" s="137">
        <f t="shared" si="15"/>
        <v>1281993.8318244626</v>
      </c>
    </row>
    <row r="32" spans="1:23">
      <c r="C32" s="141"/>
      <c r="D32" s="135"/>
      <c r="E32" s="135"/>
      <c r="F32" s="142"/>
      <c r="G32" s="135"/>
      <c r="H32" s="135"/>
      <c r="I32" s="135"/>
      <c r="J32" s="135"/>
      <c r="K32" s="135"/>
      <c r="L32" s="135"/>
      <c r="M32" s="135"/>
      <c r="N32" s="135"/>
      <c r="O32" s="135"/>
      <c r="P32" s="135"/>
      <c r="Q32" s="135"/>
      <c r="R32" s="135"/>
      <c r="S32" s="135"/>
      <c r="T32" s="135"/>
      <c r="U32" s="135"/>
      <c r="V32" s="135"/>
      <c r="W32" s="135"/>
    </row>
    <row r="33" spans="1:23">
      <c r="A33" s="144" t="s">
        <v>110</v>
      </c>
      <c r="C33" s="141"/>
      <c r="D33" s="141"/>
      <c r="E33" s="141"/>
      <c r="F33" s="142"/>
      <c r="G33" s="141"/>
      <c r="H33" s="141"/>
      <c r="I33" s="141"/>
      <c r="J33" s="141"/>
      <c r="K33" s="141"/>
      <c r="L33" s="141"/>
      <c r="M33" s="141"/>
      <c r="N33" s="141"/>
      <c r="O33" s="141"/>
      <c r="P33" s="141"/>
      <c r="Q33" s="141"/>
      <c r="R33" s="141"/>
      <c r="S33" s="141"/>
      <c r="T33" s="141"/>
      <c r="U33" s="141"/>
      <c r="V33" s="141"/>
      <c r="W33" s="141"/>
    </row>
    <row r="34" spans="1:23">
      <c r="B34" s="488" t="s">
        <v>111</v>
      </c>
      <c r="C34" s="141">
        <v>200000</v>
      </c>
      <c r="D34" s="141">
        <f t="shared" ref="D34:E36" si="16">C34*(1+$C$51)</f>
        <v>204000</v>
      </c>
      <c r="E34" s="141">
        <f t="shared" si="16"/>
        <v>208080</v>
      </c>
      <c r="F34" s="142">
        <f>SUM(C34:E34)</f>
        <v>612080</v>
      </c>
      <c r="G34" s="141">
        <f>E34*(1+$C$51)</f>
        <v>212241.6</v>
      </c>
      <c r="H34" s="141">
        <f t="shared" ref="H34:W36" si="17">G34*(1+$C$51)</f>
        <v>216486.432</v>
      </c>
      <c r="I34" s="141">
        <f t="shared" si="17"/>
        <v>220816.16064000002</v>
      </c>
      <c r="J34" s="141">
        <f t="shared" si="17"/>
        <v>225232.48385280001</v>
      </c>
      <c r="K34" s="141">
        <f t="shared" si="17"/>
        <v>229737.13352985602</v>
      </c>
      <c r="L34" s="141">
        <f t="shared" si="17"/>
        <v>234331.87620045315</v>
      </c>
      <c r="M34" s="141">
        <f t="shared" si="17"/>
        <v>239018.51372446222</v>
      </c>
      <c r="N34" s="141">
        <f t="shared" si="17"/>
        <v>243798.88399895147</v>
      </c>
      <c r="O34" s="141">
        <f t="shared" si="17"/>
        <v>248674.86167893049</v>
      </c>
      <c r="P34" s="141">
        <f t="shared" si="17"/>
        <v>253648.35891250911</v>
      </c>
      <c r="Q34" s="141">
        <f t="shared" si="17"/>
        <v>258721.32609075931</v>
      </c>
      <c r="R34" s="141">
        <f t="shared" si="17"/>
        <v>263895.75261257449</v>
      </c>
      <c r="S34" s="141">
        <f t="shared" si="17"/>
        <v>269173.66766482597</v>
      </c>
      <c r="T34" s="141">
        <f t="shared" si="17"/>
        <v>274557.14101812249</v>
      </c>
      <c r="U34" s="141">
        <f t="shared" si="17"/>
        <v>280048.28383848496</v>
      </c>
      <c r="V34" s="141">
        <f t="shared" si="17"/>
        <v>285649.24951525469</v>
      </c>
      <c r="W34" s="141">
        <f t="shared" si="17"/>
        <v>291362.23450555978</v>
      </c>
    </row>
    <row r="35" spans="1:23">
      <c r="B35" s="488" t="s">
        <v>112</v>
      </c>
      <c r="C35" s="141">
        <v>195000</v>
      </c>
      <c r="D35" s="141">
        <f t="shared" si="16"/>
        <v>198900</v>
      </c>
      <c r="E35" s="141">
        <f t="shared" si="16"/>
        <v>202878</v>
      </c>
      <c r="F35" s="142">
        <f>SUM(C35:E35)</f>
        <v>596778</v>
      </c>
      <c r="G35" s="141">
        <f>E35*(1+$C$51)</f>
        <v>206935.56</v>
      </c>
      <c r="H35" s="141">
        <f t="shared" si="17"/>
        <v>211074.27119999999</v>
      </c>
      <c r="I35" s="141">
        <f t="shared" si="17"/>
        <v>215295.756624</v>
      </c>
      <c r="J35" s="141">
        <f t="shared" si="17"/>
        <v>219601.67175648001</v>
      </c>
      <c r="K35" s="141">
        <f t="shared" si="17"/>
        <v>223993.7051916096</v>
      </c>
      <c r="L35" s="141">
        <f t="shared" si="17"/>
        <v>228473.5792954418</v>
      </c>
      <c r="M35" s="141">
        <f t="shared" si="17"/>
        <v>233043.05088135065</v>
      </c>
      <c r="N35" s="141">
        <f t="shared" si="17"/>
        <v>237703.91189897768</v>
      </c>
      <c r="O35" s="141">
        <f t="shared" si="17"/>
        <v>242457.99013695723</v>
      </c>
      <c r="P35" s="141">
        <f t="shared" si="17"/>
        <v>247307.14993969639</v>
      </c>
      <c r="Q35" s="141">
        <f t="shared" si="17"/>
        <v>252253.29293849031</v>
      </c>
      <c r="R35" s="141">
        <f t="shared" si="17"/>
        <v>257298.35879726012</v>
      </c>
      <c r="S35" s="141">
        <f t="shared" si="17"/>
        <v>262444.32597320533</v>
      </c>
      <c r="T35" s="141">
        <f t="shared" si="17"/>
        <v>267693.21249266947</v>
      </c>
      <c r="U35" s="141">
        <f t="shared" si="17"/>
        <v>273047.07674252288</v>
      </c>
      <c r="V35" s="141">
        <f t="shared" si="17"/>
        <v>278508.01827737334</v>
      </c>
      <c r="W35" s="141">
        <f t="shared" si="17"/>
        <v>284078.1786429208</v>
      </c>
    </row>
    <row r="36" spans="1:23">
      <c r="B36" s="488" t="s">
        <v>113</v>
      </c>
      <c r="C36" s="111">
        <v>98025</v>
      </c>
      <c r="D36" s="111">
        <f t="shared" si="16"/>
        <v>99985.5</v>
      </c>
      <c r="E36" s="111">
        <f t="shared" si="16"/>
        <v>101985.21</v>
      </c>
      <c r="F36" s="140">
        <f>SUM(C36:E36)</f>
        <v>299995.71000000002</v>
      </c>
      <c r="G36" s="111">
        <f>E36*(1+$C$51)</f>
        <v>104024.91420000001</v>
      </c>
      <c r="H36" s="111">
        <f t="shared" si="17"/>
        <v>106105.41248400001</v>
      </c>
      <c r="I36" s="111">
        <f t="shared" si="17"/>
        <v>108227.52073368002</v>
      </c>
      <c r="J36" s="111">
        <f t="shared" si="17"/>
        <v>110392.07114835363</v>
      </c>
      <c r="K36" s="111">
        <f t="shared" si="17"/>
        <v>112599.9125713207</v>
      </c>
      <c r="L36" s="111">
        <f t="shared" si="17"/>
        <v>114851.91082274712</v>
      </c>
      <c r="M36" s="111">
        <f t="shared" si="17"/>
        <v>117148.94903920205</v>
      </c>
      <c r="N36" s="111">
        <f t="shared" si="17"/>
        <v>119491.9280199861</v>
      </c>
      <c r="O36" s="111">
        <f t="shared" si="17"/>
        <v>121881.76658038583</v>
      </c>
      <c r="P36" s="111">
        <f t="shared" si="17"/>
        <v>124319.40191199354</v>
      </c>
      <c r="Q36" s="111">
        <f t="shared" si="17"/>
        <v>126805.78995023342</v>
      </c>
      <c r="R36" s="111">
        <f t="shared" si="17"/>
        <v>129341.9057492381</v>
      </c>
      <c r="S36" s="111">
        <f t="shared" si="17"/>
        <v>131928.74386422287</v>
      </c>
      <c r="T36" s="111">
        <f t="shared" si="17"/>
        <v>134567.31874150733</v>
      </c>
      <c r="U36" s="111">
        <f t="shared" si="17"/>
        <v>137258.66511633748</v>
      </c>
      <c r="V36" s="111">
        <f t="shared" si="17"/>
        <v>140003.83841866424</v>
      </c>
      <c r="W36" s="111">
        <f t="shared" si="17"/>
        <v>142803.91518703752</v>
      </c>
    </row>
    <row r="37" spans="1:23">
      <c r="A37" s="139"/>
      <c r="B37" s="138" t="s">
        <v>94</v>
      </c>
      <c r="C37" s="137">
        <f t="shared" ref="C37:D37" si="18">SUM(C34:C36)</f>
        <v>493025</v>
      </c>
      <c r="D37" s="137">
        <f t="shared" si="18"/>
        <v>502885.5</v>
      </c>
      <c r="E37" s="137">
        <f>SUM(E34:E36)</f>
        <v>512943.21</v>
      </c>
      <c r="F37" s="136">
        <f t="shared" ref="F37:W37" si="19">SUM(F34:F36)</f>
        <v>1508853.71</v>
      </c>
      <c r="G37" s="137">
        <f t="shared" si="19"/>
        <v>523202.07420000003</v>
      </c>
      <c r="H37" s="137">
        <f t="shared" si="19"/>
        <v>533666.11568399996</v>
      </c>
      <c r="I37" s="137">
        <f t="shared" si="19"/>
        <v>544339.43799768004</v>
      </c>
      <c r="J37" s="137">
        <f t="shared" si="19"/>
        <v>555226.22675763362</v>
      </c>
      <c r="K37" s="137">
        <f t="shared" si="19"/>
        <v>566330.75129278633</v>
      </c>
      <c r="L37" s="137">
        <f t="shared" si="19"/>
        <v>577657.36631864205</v>
      </c>
      <c r="M37" s="137">
        <f t="shared" si="19"/>
        <v>589210.51364501496</v>
      </c>
      <c r="N37" s="137">
        <f t="shared" si="19"/>
        <v>600994.72391791525</v>
      </c>
      <c r="O37" s="137">
        <f t="shared" si="19"/>
        <v>613014.61839627358</v>
      </c>
      <c r="P37" s="137">
        <f t="shared" si="19"/>
        <v>625274.91076419898</v>
      </c>
      <c r="Q37" s="137">
        <f t="shared" si="19"/>
        <v>637780.40897948307</v>
      </c>
      <c r="R37" s="137">
        <f t="shared" si="19"/>
        <v>650536.01715907268</v>
      </c>
      <c r="S37" s="137">
        <f t="shared" si="19"/>
        <v>663546.7375022542</v>
      </c>
      <c r="T37" s="137">
        <f t="shared" si="19"/>
        <v>676817.67225229926</v>
      </c>
      <c r="U37" s="137">
        <f t="shared" si="19"/>
        <v>690354.02569734526</v>
      </c>
      <c r="V37" s="137">
        <f t="shared" si="19"/>
        <v>704161.10621129232</v>
      </c>
      <c r="W37" s="137">
        <f t="shared" si="19"/>
        <v>718244.32833551813</v>
      </c>
    </row>
    <row r="38" spans="1:23">
      <c r="A38" s="139"/>
      <c r="B38" s="489"/>
      <c r="C38" s="141"/>
      <c r="D38" s="135"/>
      <c r="E38" s="135"/>
      <c r="F38" s="142"/>
      <c r="G38" s="135"/>
      <c r="H38" s="135"/>
      <c r="I38" s="135"/>
      <c r="J38" s="135"/>
      <c r="K38" s="135"/>
      <c r="L38" s="135"/>
      <c r="M38" s="135"/>
      <c r="N38" s="135"/>
      <c r="O38" s="135"/>
      <c r="P38" s="135"/>
      <c r="Q38" s="135"/>
      <c r="R38" s="135"/>
      <c r="S38" s="135"/>
      <c r="T38" s="135"/>
      <c r="U38" s="135"/>
      <c r="V38" s="135"/>
      <c r="W38" s="135"/>
    </row>
    <row r="39" spans="1:23">
      <c r="A39" s="144" t="s">
        <v>114</v>
      </c>
      <c r="C39" s="141"/>
      <c r="D39" s="141"/>
      <c r="E39" s="141"/>
      <c r="F39" s="142"/>
      <c r="G39" s="141"/>
      <c r="H39" s="141"/>
      <c r="I39" s="141"/>
      <c r="J39" s="141"/>
      <c r="K39" s="141"/>
      <c r="L39" s="141"/>
      <c r="M39" s="141"/>
      <c r="N39" s="141"/>
      <c r="O39" s="141"/>
      <c r="P39" s="141"/>
      <c r="Q39" s="141"/>
      <c r="R39" s="141"/>
      <c r="S39" s="141"/>
      <c r="T39" s="141"/>
      <c r="U39" s="141"/>
      <c r="V39" s="141"/>
      <c r="W39" s="141"/>
    </row>
    <row r="40" spans="1:23">
      <c r="B40" t="s">
        <v>115</v>
      </c>
      <c r="C40" s="490">
        <f>1151000</f>
        <v>1151000</v>
      </c>
      <c r="D40" s="141">
        <f>C40*(1+$C$51)</f>
        <v>1174020</v>
      </c>
      <c r="E40" s="141">
        <f>D40*(1+$C$51)</f>
        <v>1197500.3999999999</v>
      </c>
      <c r="F40" s="142">
        <f>SUM(C40:E40)</f>
        <v>3522520.4</v>
      </c>
      <c r="G40" s="141">
        <f>E40*(1+$C$51)</f>
        <v>1221450.4079999998</v>
      </c>
      <c r="H40" s="141">
        <f t="shared" ref="H40:W40" si="20">G40*(1+$C$51)</f>
        <v>1245879.4161599998</v>
      </c>
      <c r="I40" s="141">
        <f t="shared" si="20"/>
        <v>1270797.0044831999</v>
      </c>
      <c r="J40" s="141">
        <f t="shared" si="20"/>
        <v>1296212.9445728639</v>
      </c>
      <c r="K40" s="141">
        <f t="shared" si="20"/>
        <v>1322137.2034643211</v>
      </c>
      <c r="L40" s="141">
        <f t="shared" si="20"/>
        <v>1348579.9475336075</v>
      </c>
      <c r="M40" s="141">
        <f t="shared" si="20"/>
        <v>1375551.5464842797</v>
      </c>
      <c r="N40" s="141">
        <f t="shared" si="20"/>
        <v>1403062.5774139652</v>
      </c>
      <c r="O40" s="141">
        <f t="shared" si="20"/>
        <v>1431123.8289622446</v>
      </c>
      <c r="P40" s="141">
        <f t="shared" si="20"/>
        <v>1459746.3055414895</v>
      </c>
      <c r="Q40" s="141">
        <f t="shared" si="20"/>
        <v>1488941.2316523194</v>
      </c>
      <c r="R40" s="141">
        <f t="shared" si="20"/>
        <v>1518720.056285366</v>
      </c>
      <c r="S40" s="141">
        <f t="shared" si="20"/>
        <v>1549094.4574110734</v>
      </c>
      <c r="T40" s="141">
        <f t="shared" si="20"/>
        <v>1580076.346559295</v>
      </c>
      <c r="U40" s="141">
        <f t="shared" si="20"/>
        <v>1611677.8734904809</v>
      </c>
      <c r="V40" s="141">
        <f t="shared" si="20"/>
        <v>1643911.4309602906</v>
      </c>
      <c r="W40" s="141">
        <f t="shared" si="20"/>
        <v>1676789.6595794964</v>
      </c>
    </row>
    <row r="41" spans="1:23">
      <c r="B41" t="s">
        <v>116</v>
      </c>
      <c r="C41" s="111">
        <v>350000</v>
      </c>
      <c r="D41" s="111">
        <v>25000</v>
      </c>
      <c r="E41" s="111">
        <v>25000</v>
      </c>
      <c r="F41" s="140">
        <f>SUM(C41:E41)</f>
        <v>400000</v>
      </c>
      <c r="G41" s="111">
        <v>10000</v>
      </c>
      <c r="H41" s="111">
        <v>10000</v>
      </c>
      <c r="I41" s="111">
        <v>10000</v>
      </c>
      <c r="J41" s="111">
        <v>10000</v>
      </c>
      <c r="K41" s="111">
        <v>10000</v>
      </c>
      <c r="L41" s="111">
        <v>10000</v>
      </c>
      <c r="M41" s="111">
        <v>10000</v>
      </c>
      <c r="N41" s="111">
        <v>10000</v>
      </c>
      <c r="O41" s="111">
        <v>10000</v>
      </c>
      <c r="P41" s="111">
        <v>10000</v>
      </c>
      <c r="Q41" s="111">
        <v>10000</v>
      </c>
      <c r="R41" s="111">
        <v>10000</v>
      </c>
      <c r="S41" s="111">
        <v>10000</v>
      </c>
      <c r="T41" s="111">
        <v>10000</v>
      </c>
      <c r="U41" s="111">
        <v>10000</v>
      </c>
      <c r="V41" s="111">
        <v>10000</v>
      </c>
      <c r="W41" s="111">
        <v>10000</v>
      </c>
    </row>
    <row r="42" spans="1:23">
      <c r="A42" s="139"/>
      <c r="B42" s="138" t="s">
        <v>94</v>
      </c>
      <c r="C42" s="137">
        <f>SUM(C40:C41)</f>
        <v>1501000</v>
      </c>
      <c r="D42" s="137">
        <f>SUM(D40:D41)</f>
        <v>1199020</v>
      </c>
      <c r="E42" s="137">
        <f>SUM(E40:E41)</f>
        <v>1222500.3999999999</v>
      </c>
      <c r="F42" s="136">
        <f>SUM(F40:F41)</f>
        <v>3922520.4</v>
      </c>
      <c r="G42" s="137">
        <f>SUM(G40:G41)</f>
        <v>1231450.4079999998</v>
      </c>
      <c r="H42" s="137">
        <f t="shared" ref="H42:W42" si="21">SUM(H40:H41)</f>
        <v>1255879.4161599998</v>
      </c>
      <c r="I42" s="137">
        <f t="shared" si="21"/>
        <v>1280797.0044831999</v>
      </c>
      <c r="J42" s="137">
        <f t="shared" si="21"/>
        <v>1306212.9445728639</v>
      </c>
      <c r="K42" s="137">
        <f t="shared" si="21"/>
        <v>1332137.2034643211</v>
      </c>
      <c r="L42" s="137">
        <f t="shared" si="21"/>
        <v>1358579.9475336075</v>
      </c>
      <c r="M42" s="137">
        <f t="shared" si="21"/>
        <v>1385551.5464842797</v>
      </c>
      <c r="N42" s="137">
        <f t="shared" si="21"/>
        <v>1413062.5774139652</v>
      </c>
      <c r="O42" s="137">
        <f t="shared" si="21"/>
        <v>1441123.8289622446</v>
      </c>
      <c r="P42" s="137">
        <f t="shared" si="21"/>
        <v>1469746.3055414895</v>
      </c>
      <c r="Q42" s="137">
        <f t="shared" si="21"/>
        <v>1498941.2316523194</v>
      </c>
      <c r="R42" s="137">
        <f t="shared" si="21"/>
        <v>1528720.056285366</v>
      </c>
      <c r="S42" s="137">
        <f t="shared" si="21"/>
        <v>1559094.4574110734</v>
      </c>
      <c r="T42" s="137">
        <f t="shared" si="21"/>
        <v>1590076.346559295</v>
      </c>
      <c r="U42" s="137">
        <f t="shared" si="21"/>
        <v>1621677.8734904809</v>
      </c>
      <c r="V42" s="137">
        <f t="shared" si="21"/>
        <v>1653911.4309602906</v>
      </c>
      <c r="W42" s="137">
        <f t="shared" si="21"/>
        <v>1686789.6595794964</v>
      </c>
    </row>
    <row r="43" spans="1:23">
      <c r="C43" s="141"/>
      <c r="D43" s="135"/>
      <c r="E43" s="135"/>
      <c r="F43" s="142"/>
      <c r="G43" s="135"/>
      <c r="H43" s="135"/>
      <c r="I43" s="135"/>
      <c r="J43" s="135"/>
      <c r="K43" s="135"/>
      <c r="L43" s="135"/>
      <c r="M43" s="135"/>
      <c r="N43" s="135"/>
      <c r="O43" s="135"/>
      <c r="P43" s="135"/>
      <c r="Q43" s="135"/>
      <c r="R43" s="135"/>
      <c r="S43" s="135"/>
      <c r="T43" s="135"/>
      <c r="U43" s="135"/>
      <c r="V43" s="135"/>
      <c r="W43" s="135"/>
    </row>
    <row r="44" spans="1:23">
      <c r="A44" s="144" t="s">
        <v>117</v>
      </c>
      <c r="C44" s="141"/>
      <c r="D44" s="141"/>
      <c r="E44" s="141"/>
      <c r="F44" s="142"/>
      <c r="G44" s="141"/>
      <c r="H44" s="141"/>
      <c r="I44" s="141"/>
      <c r="J44" s="141"/>
      <c r="K44" s="141"/>
      <c r="L44" s="141"/>
      <c r="M44" s="141"/>
      <c r="N44" s="141"/>
      <c r="O44" s="141"/>
      <c r="P44" s="141"/>
      <c r="Q44" s="141"/>
      <c r="R44" s="141"/>
      <c r="S44" s="141"/>
      <c r="T44" s="141"/>
      <c r="U44" s="141"/>
      <c r="V44" s="141"/>
      <c r="W44" s="141"/>
    </row>
    <row r="45" spans="1:23">
      <c r="B45" t="s">
        <v>118</v>
      </c>
      <c r="C45" s="111">
        <v>261400</v>
      </c>
      <c r="D45" s="111">
        <f>C45*(1+$C$51)</f>
        <v>266628</v>
      </c>
      <c r="E45" s="111">
        <f>D45*(1+$C$51)</f>
        <v>271960.56</v>
      </c>
      <c r="F45" s="140">
        <f>SUM(C45:E45)</f>
        <v>799988.56</v>
      </c>
      <c r="G45" s="111">
        <f>E45*(1+$C$51)</f>
        <v>277399.77120000002</v>
      </c>
      <c r="H45" s="111">
        <f t="shared" ref="H45:W45" si="22">G45*(1+$C$51)</f>
        <v>282947.76662400004</v>
      </c>
      <c r="I45" s="111">
        <f t="shared" si="22"/>
        <v>288606.72195648006</v>
      </c>
      <c r="J45" s="111">
        <f t="shared" si="22"/>
        <v>294378.85639560968</v>
      </c>
      <c r="K45" s="111">
        <f t="shared" si="22"/>
        <v>300266.43352352188</v>
      </c>
      <c r="L45" s="111">
        <f t="shared" si="22"/>
        <v>306271.76219399233</v>
      </c>
      <c r="M45" s="111">
        <f t="shared" si="22"/>
        <v>312397.19743787218</v>
      </c>
      <c r="N45" s="111">
        <f t="shared" si="22"/>
        <v>318645.14138662961</v>
      </c>
      <c r="O45" s="111">
        <f t="shared" si="22"/>
        <v>325018.04421436222</v>
      </c>
      <c r="P45" s="111">
        <f t="shared" si="22"/>
        <v>331518.4050986495</v>
      </c>
      <c r="Q45" s="111">
        <f t="shared" si="22"/>
        <v>338148.77320062247</v>
      </c>
      <c r="R45" s="111">
        <f t="shared" si="22"/>
        <v>344911.74866463494</v>
      </c>
      <c r="S45" s="111">
        <f t="shared" si="22"/>
        <v>351809.98363792762</v>
      </c>
      <c r="T45" s="111">
        <f t="shared" si="22"/>
        <v>358846.1833106862</v>
      </c>
      <c r="U45" s="111">
        <f t="shared" si="22"/>
        <v>366023.10697689996</v>
      </c>
      <c r="V45" s="111">
        <f t="shared" si="22"/>
        <v>373343.56911643798</v>
      </c>
      <c r="W45" s="111">
        <f t="shared" si="22"/>
        <v>380810.44049876672</v>
      </c>
    </row>
    <row r="46" spans="1:23">
      <c r="A46" s="139"/>
      <c r="B46" s="138" t="s">
        <v>94</v>
      </c>
      <c r="C46" s="139">
        <f>SUM(C45:C45)</f>
        <v>261400</v>
      </c>
      <c r="D46" s="139">
        <f>SUM(D45:D45)</f>
        <v>266628</v>
      </c>
      <c r="E46" s="139">
        <f>SUM(E45:E45)</f>
        <v>271960.56</v>
      </c>
      <c r="F46" s="136">
        <f>F45</f>
        <v>799988.56</v>
      </c>
      <c r="G46" s="139">
        <f>SUM(G45:G45)</f>
        <v>277399.77120000002</v>
      </c>
      <c r="H46" s="139">
        <f t="shared" ref="H46:W46" si="23">SUM(H45:H45)</f>
        <v>282947.76662400004</v>
      </c>
      <c r="I46" s="139">
        <f t="shared" si="23"/>
        <v>288606.72195648006</v>
      </c>
      <c r="J46" s="139">
        <f t="shared" si="23"/>
        <v>294378.85639560968</v>
      </c>
      <c r="K46" s="139">
        <f t="shared" si="23"/>
        <v>300266.43352352188</v>
      </c>
      <c r="L46" s="139">
        <f t="shared" si="23"/>
        <v>306271.76219399233</v>
      </c>
      <c r="M46" s="139">
        <f t="shared" si="23"/>
        <v>312397.19743787218</v>
      </c>
      <c r="N46" s="139">
        <f t="shared" si="23"/>
        <v>318645.14138662961</v>
      </c>
      <c r="O46" s="139">
        <f t="shared" si="23"/>
        <v>325018.04421436222</v>
      </c>
      <c r="P46" s="139">
        <f t="shared" si="23"/>
        <v>331518.4050986495</v>
      </c>
      <c r="Q46" s="139">
        <f t="shared" si="23"/>
        <v>338148.77320062247</v>
      </c>
      <c r="R46" s="139">
        <f t="shared" si="23"/>
        <v>344911.74866463494</v>
      </c>
      <c r="S46" s="139">
        <f t="shared" si="23"/>
        <v>351809.98363792762</v>
      </c>
      <c r="T46" s="139">
        <f t="shared" si="23"/>
        <v>358846.1833106862</v>
      </c>
      <c r="U46" s="139">
        <f t="shared" si="23"/>
        <v>366023.10697689996</v>
      </c>
      <c r="V46" s="139">
        <f t="shared" si="23"/>
        <v>373343.56911643798</v>
      </c>
      <c r="W46" s="139">
        <f t="shared" si="23"/>
        <v>380810.44049876672</v>
      </c>
    </row>
    <row r="47" spans="1:23">
      <c r="A47" s="139"/>
      <c r="C47" s="143"/>
      <c r="D47" s="135"/>
      <c r="E47" s="135"/>
      <c r="F47" s="142"/>
      <c r="G47" s="135"/>
      <c r="H47" s="135"/>
      <c r="I47" s="135"/>
      <c r="J47" s="135"/>
      <c r="K47" s="135"/>
      <c r="L47" s="135"/>
      <c r="M47" s="135"/>
      <c r="N47" s="135"/>
      <c r="O47" s="135"/>
      <c r="P47" s="135"/>
      <c r="Q47" s="135"/>
      <c r="R47" s="135"/>
      <c r="S47" s="135"/>
      <c r="T47" s="135"/>
      <c r="U47" s="135"/>
      <c r="V47" s="135"/>
      <c r="W47" s="135"/>
    </row>
    <row r="48" spans="1:23">
      <c r="C48" s="143"/>
      <c r="D48" s="143"/>
      <c r="E48" s="143"/>
      <c r="F48" s="142"/>
      <c r="G48" s="143"/>
      <c r="H48" s="143"/>
      <c r="I48" s="143"/>
      <c r="J48" s="143"/>
      <c r="K48" s="143"/>
      <c r="L48" s="143"/>
      <c r="M48" s="143"/>
      <c r="N48" s="143"/>
      <c r="O48" s="143"/>
      <c r="P48" s="143"/>
      <c r="Q48" s="143"/>
      <c r="R48" s="143"/>
      <c r="S48" s="143"/>
      <c r="T48" s="143"/>
      <c r="U48" s="143"/>
      <c r="V48" s="143"/>
      <c r="W48" s="143"/>
    </row>
    <row r="49" spans="1:23" s="69" customFormat="1">
      <c r="A49" s="137" t="s">
        <v>259</v>
      </c>
      <c r="C49" s="137">
        <f>ROUND(C10+C15+C23+C31+C37+C42+C46,-2)</f>
        <v>4792100</v>
      </c>
      <c r="D49" s="137">
        <f t="shared" ref="D49:W49" si="24">ROUND(D10+D15+D23+D31+D37+D42+D46,-2)</f>
        <v>4746900</v>
      </c>
      <c r="E49" s="137">
        <f t="shared" si="24"/>
        <v>4841400</v>
      </c>
      <c r="F49" s="491">
        <f t="shared" si="24"/>
        <v>14380400</v>
      </c>
      <c r="G49" s="137">
        <f t="shared" si="24"/>
        <v>4721100</v>
      </c>
      <c r="H49" s="137">
        <f t="shared" si="24"/>
        <v>5010100</v>
      </c>
      <c r="I49" s="137">
        <f t="shared" si="24"/>
        <v>5110100</v>
      </c>
      <c r="J49" s="137">
        <f t="shared" si="24"/>
        <v>5006500</v>
      </c>
      <c r="K49" s="137">
        <f t="shared" si="24"/>
        <v>5305100</v>
      </c>
      <c r="L49" s="137">
        <f t="shared" si="24"/>
        <v>5411000</v>
      </c>
      <c r="M49" s="137">
        <f t="shared" si="24"/>
        <v>5309300</v>
      </c>
      <c r="N49" s="137">
        <f t="shared" si="24"/>
        <v>5618000</v>
      </c>
      <c r="O49" s="137">
        <f t="shared" si="24"/>
        <v>5730200</v>
      </c>
      <c r="P49" s="137">
        <f t="shared" si="24"/>
        <v>5630700</v>
      </c>
      <c r="Q49" s="137">
        <f t="shared" si="24"/>
        <v>5949800</v>
      </c>
      <c r="R49" s="137">
        <f t="shared" si="24"/>
        <v>6068600</v>
      </c>
      <c r="S49" s="137">
        <f t="shared" si="24"/>
        <v>5971600</v>
      </c>
      <c r="T49" s="137">
        <f t="shared" si="24"/>
        <v>6301600</v>
      </c>
      <c r="U49" s="137">
        <f t="shared" si="24"/>
        <v>6427500</v>
      </c>
      <c r="V49" s="137">
        <f t="shared" si="24"/>
        <v>6333300</v>
      </c>
      <c r="W49" s="137">
        <f t="shared" si="24"/>
        <v>6674800</v>
      </c>
    </row>
    <row r="50" spans="1:23">
      <c r="C50" s="143"/>
      <c r="D50" s="143"/>
      <c r="E50" s="143"/>
      <c r="F50" s="134"/>
      <c r="G50" s="135"/>
      <c r="H50" s="135"/>
      <c r="I50" s="135"/>
      <c r="J50" s="135"/>
      <c r="K50" s="135"/>
      <c r="L50" s="135"/>
      <c r="M50" s="135"/>
      <c r="N50" s="135"/>
      <c r="O50" s="135"/>
      <c r="P50" s="135"/>
      <c r="Q50" s="135"/>
      <c r="R50" s="135"/>
      <c r="S50" s="135"/>
      <c r="T50" s="135"/>
      <c r="U50" s="135"/>
      <c r="V50" s="135"/>
      <c r="W50" s="135"/>
    </row>
    <row r="51" spans="1:23">
      <c r="B51" s="133" t="s">
        <v>119</v>
      </c>
      <c r="C51" s="492">
        <v>0.02</v>
      </c>
      <c r="D51" s="143"/>
      <c r="E51" s="143"/>
      <c r="F51" s="485"/>
      <c r="G51" s="143"/>
      <c r="H51" s="143"/>
      <c r="I51" s="143"/>
      <c r="J51" s="143"/>
      <c r="K51" s="143"/>
      <c r="L51" s="143"/>
      <c r="M51" s="143"/>
      <c r="N51" s="143"/>
      <c r="O51" s="143"/>
      <c r="P51" s="143"/>
      <c r="Q51" s="143"/>
      <c r="R51" s="143"/>
      <c r="S51" s="143"/>
      <c r="T51" s="143"/>
      <c r="U51" s="143"/>
      <c r="V51" s="143"/>
      <c r="W51" s="143"/>
    </row>
    <row r="52" spans="1:23">
      <c r="F52" s="132"/>
    </row>
    <row r="53" spans="1:23">
      <c r="A53" t="s">
        <v>262</v>
      </c>
      <c r="F53" s="132"/>
    </row>
    <row r="54" spans="1:23">
      <c r="A54" s="493" t="s">
        <v>260</v>
      </c>
      <c r="B54" s="494"/>
      <c r="C54" s="323">
        <f t="shared" ref="C54:W54" si="25">C49*0.88</f>
        <v>4217048</v>
      </c>
      <c r="D54" s="323">
        <f t="shared" si="25"/>
        <v>4177272</v>
      </c>
      <c r="E54" s="323">
        <f t="shared" si="25"/>
        <v>4260432</v>
      </c>
      <c r="F54" s="323">
        <f t="shared" si="25"/>
        <v>12654752</v>
      </c>
      <c r="G54" s="323">
        <f t="shared" si="25"/>
        <v>4154568</v>
      </c>
      <c r="H54" s="323">
        <f t="shared" si="25"/>
        <v>4408888</v>
      </c>
      <c r="I54" s="323">
        <f t="shared" si="25"/>
        <v>4496888</v>
      </c>
      <c r="J54" s="323">
        <f t="shared" si="25"/>
        <v>4405720</v>
      </c>
      <c r="K54" s="323">
        <f t="shared" si="25"/>
        <v>4668488</v>
      </c>
      <c r="L54" s="323">
        <f t="shared" si="25"/>
        <v>4761680</v>
      </c>
      <c r="M54" s="323">
        <f t="shared" si="25"/>
        <v>4672184</v>
      </c>
      <c r="N54" s="323">
        <f t="shared" si="25"/>
        <v>4943840</v>
      </c>
      <c r="O54" s="323">
        <f t="shared" si="25"/>
        <v>5042576</v>
      </c>
      <c r="P54" s="323">
        <f t="shared" si="25"/>
        <v>4955016</v>
      </c>
      <c r="Q54" s="323">
        <f t="shared" si="25"/>
        <v>5235824</v>
      </c>
      <c r="R54" s="323">
        <f t="shared" si="25"/>
        <v>5340368</v>
      </c>
      <c r="S54" s="323">
        <f t="shared" si="25"/>
        <v>5255008</v>
      </c>
      <c r="T54" s="323">
        <f t="shared" si="25"/>
        <v>5545408</v>
      </c>
      <c r="U54" s="323">
        <f t="shared" si="25"/>
        <v>5656200</v>
      </c>
      <c r="V54" s="323">
        <f t="shared" si="25"/>
        <v>5573304</v>
      </c>
      <c r="W54" s="323">
        <f t="shared" si="25"/>
        <v>5873824</v>
      </c>
    </row>
    <row r="55" spans="1:23">
      <c r="A55" s="495" t="s">
        <v>261</v>
      </c>
      <c r="B55" s="333"/>
      <c r="C55" s="326">
        <f>C49*0.12</f>
        <v>575052</v>
      </c>
      <c r="D55" s="326">
        <f t="shared" ref="D55:W55" si="26">D49*0.12</f>
        <v>569628</v>
      </c>
      <c r="E55" s="326">
        <f t="shared" si="26"/>
        <v>580968</v>
      </c>
      <c r="F55" s="326">
        <f t="shared" si="26"/>
        <v>1725648</v>
      </c>
      <c r="G55" s="326">
        <f t="shared" si="26"/>
        <v>566532</v>
      </c>
      <c r="H55" s="326">
        <f t="shared" si="26"/>
        <v>601212</v>
      </c>
      <c r="I55" s="326">
        <f t="shared" si="26"/>
        <v>613212</v>
      </c>
      <c r="J55" s="326">
        <f t="shared" si="26"/>
        <v>600780</v>
      </c>
      <c r="K55" s="326">
        <f t="shared" si="26"/>
        <v>636612</v>
      </c>
      <c r="L55" s="326">
        <f t="shared" si="26"/>
        <v>649320</v>
      </c>
      <c r="M55" s="326">
        <f t="shared" si="26"/>
        <v>637116</v>
      </c>
      <c r="N55" s="326">
        <f t="shared" si="26"/>
        <v>674160</v>
      </c>
      <c r="O55" s="326">
        <f t="shared" si="26"/>
        <v>687624</v>
      </c>
      <c r="P55" s="326">
        <f t="shared" si="26"/>
        <v>675684</v>
      </c>
      <c r="Q55" s="326">
        <f t="shared" si="26"/>
        <v>713976</v>
      </c>
      <c r="R55" s="326">
        <f t="shared" si="26"/>
        <v>728232</v>
      </c>
      <c r="S55" s="326">
        <f t="shared" si="26"/>
        <v>716592</v>
      </c>
      <c r="T55" s="326">
        <f t="shared" si="26"/>
        <v>756192</v>
      </c>
      <c r="U55" s="326">
        <f t="shared" si="26"/>
        <v>771300</v>
      </c>
      <c r="V55" s="326">
        <f t="shared" si="26"/>
        <v>759996</v>
      </c>
      <c r="W55" s="326">
        <f t="shared" si="26"/>
        <v>800976</v>
      </c>
    </row>
    <row r="56" spans="1:23">
      <c r="F56" s="132"/>
    </row>
    <row r="58" spans="1:23">
      <c r="F58"/>
    </row>
  </sheetData>
  <pageMargins left="0.7" right="0.7" top="0.75" bottom="0.75" header="0.3" footer="0.3"/>
  <pageSetup orientation="portrait" r:id="rId1"/>
  <legacyDrawing r:id="rId2"/>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C000"/>
  </sheetPr>
  <dimension ref="A1:U67"/>
  <sheetViews>
    <sheetView zoomScale="70" zoomScaleNormal="70" workbookViewId="0">
      <selection activeCell="C14" sqref="C14:E14"/>
    </sheetView>
  </sheetViews>
  <sheetFormatPr defaultRowHeight="15"/>
  <cols>
    <col min="1" max="1" width="69.85546875" customWidth="1"/>
    <col min="2" max="2" width="8.28515625" bestFit="1" customWidth="1"/>
    <col min="3" max="13" width="18.140625" style="79" customWidth="1"/>
    <col min="14" max="15" width="16.85546875" customWidth="1"/>
  </cols>
  <sheetData>
    <row r="1" spans="1:21">
      <c r="A1" t="s">
        <v>120</v>
      </c>
      <c r="C1" s="130"/>
      <c r="D1" s="130"/>
      <c r="E1" s="130"/>
      <c r="F1" s="130"/>
      <c r="G1" s="130"/>
      <c r="H1" s="130"/>
      <c r="I1" s="130"/>
      <c r="J1" s="130"/>
      <c r="K1" s="130"/>
      <c r="L1" s="130"/>
      <c r="M1" s="130"/>
      <c r="N1" s="129"/>
      <c r="O1" s="129"/>
      <c r="P1" s="129"/>
      <c r="Q1" s="129"/>
      <c r="R1" s="129"/>
      <c r="S1" s="129"/>
      <c r="T1" s="129"/>
      <c r="U1" s="129"/>
    </row>
    <row r="2" spans="1:21" s="128" customFormat="1">
      <c r="A2" s="128" t="s">
        <v>121</v>
      </c>
    </row>
    <row r="3" spans="1:21" s="128" customFormat="1" ht="15.75" thickBot="1">
      <c r="A3" s="818">
        <v>41705</v>
      </c>
      <c r="B3" s="818"/>
      <c r="E3" s="128">
        <f>20-4.1</f>
        <v>15.9</v>
      </c>
    </row>
    <row r="4" spans="1:21" ht="15.75" thickBot="1">
      <c r="A4" s="819" t="s">
        <v>122</v>
      </c>
      <c r="B4" s="820"/>
      <c r="C4" s="130"/>
      <c r="D4" s="130"/>
      <c r="E4" s="130"/>
      <c r="F4" s="130"/>
      <c r="G4" s="130"/>
      <c r="H4" s="130"/>
      <c r="I4" s="130"/>
      <c r="J4" s="130"/>
      <c r="K4" s="130"/>
      <c r="L4" s="130"/>
      <c r="M4" s="130"/>
      <c r="N4" s="129"/>
      <c r="O4" s="129"/>
      <c r="P4" s="129"/>
      <c r="Q4" s="129"/>
      <c r="R4" s="129"/>
      <c r="S4" s="129"/>
      <c r="T4" s="129"/>
      <c r="U4" s="129"/>
    </row>
    <row r="5" spans="1:21">
      <c r="A5" s="127"/>
      <c r="B5" s="127"/>
      <c r="C5" s="126"/>
      <c r="D5" s="125"/>
      <c r="E5" s="125"/>
      <c r="F5" s="125"/>
      <c r="G5" s="125"/>
      <c r="H5" s="125"/>
      <c r="I5" s="125"/>
      <c r="J5" s="125"/>
      <c r="K5" s="125"/>
      <c r="L5" s="125"/>
      <c r="M5" s="125"/>
      <c r="N5" s="124"/>
      <c r="O5" s="124"/>
      <c r="P5" s="129"/>
      <c r="Q5" s="129"/>
      <c r="R5" s="129"/>
      <c r="S5" s="129"/>
      <c r="T5" s="129"/>
      <c r="U5" s="129"/>
    </row>
    <row r="6" spans="1:21" s="121" customFormat="1" ht="18.75">
      <c r="A6" s="821" t="s">
        <v>123</v>
      </c>
      <c r="B6" s="822"/>
      <c r="C6" s="123">
        <v>2015</v>
      </c>
      <c r="D6" s="123">
        <v>2016</v>
      </c>
      <c r="E6" s="123">
        <v>2017</v>
      </c>
      <c r="F6" s="123">
        <v>2018</v>
      </c>
      <c r="G6" s="123">
        <v>2019</v>
      </c>
      <c r="H6" s="123">
        <v>2020</v>
      </c>
      <c r="I6" s="123">
        <v>2021</v>
      </c>
      <c r="J6" s="123">
        <v>2022</v>
      </c>
      <c r="K6" s="123">
        <v>2023</v>
      </c>
      <c r="L6" s="123">
        <v>2024</v>
      </c>
      <c r="M6" s="122" t="s">
        <v>4</v>
      </c>
    </row>
    <row r="7" spans="1:21" s="121" customFormat="1" ht="18.75">
      <c r="A7" s="120" t="s">
        <v>124</v>
      </c>
      <c r="B7" s="119"/>
      <c r="C7" s="118">
        <f t="shared" ref="C7:L8" si="0">C46-C55</f>
        <v>4065147.2250606469</v>
      </c>
      <c r="D7" s="118">
        <f t="shared" si="0"/>
        <v>4205952.2972351508</v>
      </c>
      <c r="E7" s="118">
        <f t="shared" si="0"/>
        <v>4467150.5171571104</v>
      </c>
      <c r="F7" s="118">
        <f t="shared" si="0"/>
        <v>4657389.3866781807</v>
      </c>
      <c r="G7" s="118">
        <f t="shared" si="0"/>
        <v>5156820.0346404836</v>
      </c>
      <c r="H7" s="118">
        <f t="shared" si="0"/>
        <v>5193150.3546538558</v>
      </c>
      <c r="I7" s="118">
        <f t="shared" si="0"/>
        <v>5072695.7961285971</v>
      </c>
      <c r="J7" s="118">
        <f t="shared" si="0"/>
        <v>5567995.6040892936</v>
      </c>
      <c r="K7" s="118">
        <f t="shared" si="0"/>
        <v>5708679.4939826606</v>
      </c>
      <c r="L7" s="118">
        <f t="shared" si="0"/>
        <v>6636518.734237696</v>
      </c>
      <c r="M7" s="117">
        <f>SUM(C7:L7)</f>
        <v>50731499.443863668</v>
      </c>
    </row>
    <row r="8" spans="1:21" s="121" customFormat="1" ht="18.75">
      <c r="A8" s="116" t="s">
        <v>125</v>
      </c>
      <c r="B8" s="115"/>
      <c r="C8" s="114">
        <f t="shared" si="0"/>
        <v>2104796.8636427028</v>
      </c>
      <c r="D8" s="114">
        <f t="shared" si="0"/>
        <v>2630946.8264094749</v>
      </c>
      <c r="E8" s="114">
        <f t="shared" si="0"/>
        <v>2922432.8292685547</v>
      </c>
      <c r="F8" s="114">
        <f t="shared" si="0"/>
        <v>3252896.2960888715</v>
      </c>
      <c r="G8" s="114">
        <f t="shared" si="0"/>
        <v>3531216.6720536784</v>
      </c>
      <c r="H8" s="114">
        <f t="shared" si="0"/>
        <v>3947710.1115765111</v>
      </c>
      <c r="I8" s="114">
        <f t="shared" si="0"/>
        <v>4385109.5420118961</v>
      </c>
      <c r="J8" s="114">
        <f t="shared" si="0"/>
        <v>4436805.5920370845</v>
      </c>
      <c r="K8" s="114">
        <f t="shared" si="0"/>
        <v>4397676.5385657484</v>
      </c>
      <c r="L8" s="114">
        <f t="shared" si="0"/>
        <v>4384537.4843274551</v>
      </c>
      <c r="M8" s="113">
        <f>SUM(C8:L8)</f>
        <v>35994128.755981974</v>
      </c>
    </row>
    <row r="9" spans="1:21" s="121" customFormat="1" ht="18.75">
      <c r="A9" s="112" t="s">
        <v>126</v>
      </c>
      <c r="B9" s="147"/>
      <c r="C9" s="148">
        <f t="shared" ref="C9:M9" si="1">SUM(C7:C8)</f>
        <v>6169944.0887033492</v>
      </c>
      <c r="D9" s="148">
        <f t="shared" si="1"/>
        <v>6836899.1236446258</v>
      </c>
      <c r="E9" s="148">
        <f t="shared" si="1"/>
        <v>7389583.3464256655</v>
      </c>
      <c r="F9" s="148">
        <f t="shared" si="1"/>
        <v>7910285.6827670522</v>
      </c>
      <c r="G9" s="148">
        <f t="shared" si="1"/>
        <v>8688036.7066941615</v>
      </c>
      <c r="H9" s="148">
        <f t="shared" si="1"/>
        <v>9140860.4662303664</v>
      </c>
      <c r="I9" s="148">
        <f t="shared" si="1"/>
        <v>9457805.3381404933</v>
      </c>
      <c r="J9" s="148">
        <f t="shared" si="1"/>
        <v>10004801.196126379</v>
      </c>
      <c r="K9" s="148">
        <f t="shared" si="1"/>
        <v>10106356.032548409</v>
      </c>
      <c r="L9" s="148">
        <f t="shared" si="1"/>
        <v>11021056.218565151</v>
      </c>
      <c r="M9" s="149">
        <f t="shared" si="1"/>
        <v>86725628.199845642</v>
      </c>
    </row>
    <row r="10" spans="1:21" s="121" customFormat="1" ht="18.75">
      <c r="A10" s="150"/>
      <c r="B10" s="147"/>
      <c r="C10" s="151"/>
      <c r="D10" s="152"/>
      <c r="E10" s="152"/>
      <c r="F10" s="152"/>
      <c r="G10" s="152"/>
      <c r="H10" s="152"/>
      <c r="I10" s="152"/>
      <c r="J10" s="152"/>
      <c r="K10" s="152"/>
      <c r="L10" s="152"/>
      <c r="M10" s="152"/>
    </row>
    <row r="11" spans="1:21" s="121" customFormat="1" ht="18.75">
      <c r="A11" s="821" t="s">
        <v>127</v>
      </c>
      <c r="B11" s="822"/>
      <c r="C11" s="123">
        <v>2015</v>
      </c>
      <c r="D11" s="123">
        <v>2016</v>
      </c>
      <c r="E11" s="123">
        <v>2017</v>
      </c>
      <c r="F11" s="123">
        <v>2018</v>
      </c>
      <c r="G11" s="123">
        <v>2019</v>
      </c>
      <c r="H11" s="123">
        <v>2020</v>
      </c>
      <c r="I11" s="123">
        <v>2021</v>
      </c>
      <c r="J11" s="123">
        <v>2022</v>
      </c>
      <c r="K11" s="123">
        <v>2023</v>
      </c>
      <c r="L11" s="123">
        <v>2024</v>
      </c>
      <c r="M11" s="122" t="s">
        <v>4</v>
      </c>
    </row>
    <row r="12" spans="1:21" s="121" customFormat="1" ht="18.75">
      <c r="A12" s="120" t="s">
        <v>124</v>
      </c>
      <c r="B12" s="147"/>
      <c r="C12" s="153">
        <f>C7</f>
        <v>4065147.2250606469</v>
      </c>
      <c r="D12" s="153">
        <f>D7/(1+$B$14)</f>
        <v>4123482.6443481869</v>
      </c>
      <c r="E12" s="153">
        <f>E7/(1+$B$14)^2</f>
        <v>4293685.6181825362</v>
      </c>
      <c r="F12" s="153">
        <f>F7/(1+$B$14)^3</f>
        <v>4388762.0397492116</v>
      </c>
      <c r="G12" s="153">
        <f>G7/(1+$B$14)^4</f>
        <v>4764104.6018445017</v>
      </c>
      <c r="H12" s="153">
        <f>H7/(1+$B$14)^5</f>
        <v>4703596.276289152</v>
      </c>
      <c r="I12" s="153">
        <f>I7/(1+$B$14)^6</f>
        <v>4504408.697498396</v>
      </c>
      <c r="J12" s="153">
        <f>J7/(1+$B$14)^7</f>
        <v>4847275.2476174626</v>
      </c>
      <c r="K12" s="153">
        <f>K7/(1+$B$14)^8</f>
        <v>4872302.9803246399</v>
      </c>
      <c r="L12" s="153">
        <f>L7/(1+$B$14)^9</f>
        <v>5553141.9979359424</v>
      </c>
      <c r="M12" s="117">
        <f>SUM(C12:L12)</f>
        <v>46115907.328850679</v>
      </c>
    </row>
    <row r="13" spans="1:21" s="121" customFormat="1" ht="18.75">
      <c r="A13" s="116" t="s">
        <v>125</v>
      </c>
      <c r="B13" s="147"/>
      <c r="C13" s="154">
        <f>C8</f>
        <v>2104796.8636427028</v>
      </c>
      <c r="D13" s="154">
        <f t="shared" ref="D13:L13" si="2">D8</f>
        <v>2630946.8264094749</v>
      </c>
      <c r="E13" s="154">
        <f t="shared" si="2"/>
        <v>2922432.8292685547</v>
      </c>
      <c r="F13" s="154">
        <f t="shared" si="2"/>
        <v>3252896.2960888715</v>
      </c>
      <c r="G13" s="154">
        <f t="shared" si="2"/>
        <v>3531216.6720536784</v>
      </c>
      <c r="H13" s="154">
        <f t="shared" si="2"/>
        <v>3947710.1115765111</v>
      </c>
      <c r="I13" s="154">
        <f t="shared" si="2"/>
        <v>4385109.5420118961</v>
      </c>
      <c r="J13" s="154">
        <f t="shared" si="2"/>
        <v>4436805.5920370845</v>
      </c>
      <c r="K13" s="154">
        <f t="shared" si="2"/>
        <v>4397676.5385657484</v>
      </c>
      <c r="L13" s="154">
        <f t="shared" si="2"/>
        <v>4384537.4843274551</v>
      </c>
      <c r="M13" s="113">
        <f>SUM(C13:L13)</f>
        <v>35994128.755981974</v>
      </c>
    </row>
    <row r="14" spans="1:21" s="121" customFormat="1" ht="18.75">
      <c r="A14" s="112" t="s">
        <v>128</v>
      </c>
      <c r="B14" s="155">
        <v>0.02</v>
      </c>
      <c r="C14" s="148">
        <f>SUM(C12:C13)</f>
        <v>6169944.0887033492</v>
      </c>
      <c r="D14" s="148">
        <f t="shared" ref="D14:L14" si="3">SUM(D12:D13)</f>
        <v>6754429.4707576614</v>
      </c>
      <c r="E14" s="148">
        <f t="shared" si="3"/>
        <v>7216118.4474510904</v>
      </c>
      <c r="F14" s="148">
        <f t="shared" si="3"/>
        <v>7641658.3358380832</v>
      </c>
      <c r="G14" s="148">
        <f t="shared" si="3"/>
        <v>8295321.2738981806</v>
      </c>
      <c r="H14" s="148">
        <f t="shared" si="3"/>
        <v>8651306.3878656626</v>
      </c>
      <c r="I14" s="148">
        <f t="shared" si="3"/>
        <v>8889518.2395102922</v>
      </c>
      <c r="J14" s="148">
        <f t="shared" si="3"/>
        <v>9284080.8396545462</v>
      </c>
      <c r="K14" s="148">
        <f t="shared" si="3"/>
        <v>9269979.5188903883</v>
      </c>
      <c r="L14" s="148">
        <f t="shared" si="3"/>
        <v>9937679.4822633974</v>
      </c>
      <c r="M14" s="149">
        <f>SUM(M12:M13)</f>
        <v>82110036.084832653</v>
      </c>
    </row>
    <row r="15" spans="1:21" s="121" customFormat="1" ht="18.75">
      <c r="A15" s="112"/>
      <c r="B15" s="156"/>
      <c r="C15" s="157"/>
      <c r="D15" s="157"/>
      <c r="E15" s="157"/>
      <c r="F15" s="157"/>
      <c r="G15" s="157"/>
      <c r="H15" s="157"/>
      <c r="I15" s="157"/>
      <c r="J15" s="157"/>
      <c r="K15" s="157"/>
      <c r="L15" s="157"/>
      <c r="M15" s="158"/>
    </row>
    <row r="16" spans="1:21" s="121" customFormat="1" ht="18.75">
      <c r="A16" s="159" t="s">
        <v>129</v>
      </c>
      <c r="B16" s="160">
        <v>0.09</v>
      </c>
      <c r="C16" s="161">
        <f>C14*$B$16</f>
        <v>555294.96798330138</v>
      </c>
      <c r="D16" s="161">
        <f>D14*$B$16</f>
        <v>607898.65236818953</v>
      </c>
      <c r="E16" s="161">
        <f>E14*$B$16</f>
        <v>649450.66027059813</v>
      </c>
      <c r="F16" s="161">
        <f t="shared" ref="F16:L16" si="4">F14*$B$16</f>
        <v>687749.25022542744</v>
      </c>
      <c r="G16" s="161">
        <f t="shared" si="4"/>
        <v>746578.91465083626</v>
      </c>
      <c r="H16" s="161">
        <f t="shared" si="4"/>
        <v>778617.57490790961</v>
      </c>
      <c r="I16" s="161">
        <f t="shared" si="4"/>
        <v>800056.6415559263</v>
      </c>
      <c r="J16" s="161">
        <f t="shared" si="4"/>
        <v>835567.27556890913</v>
      </c>
      <c r="K16" s="161">
        <f t="shared" si="4"/>
        <v>834298.15670013486</v>
      </c>
      <c r="L16" s="161">
        <f t="shared" si="4"/>
        <v>894391.15340370568</v>
      </c>
      <c r="M16" s="162">
        <f>SUM(C16:L16)</f>
        <v>7389903.2476349389</v>
      </c>
      <c r="N16" s="163"/>
    </row>
    <row r="17" spans="1:14" s="121" customFormat="1" ht="18.75">
      <c r="A17" s="164" t="s">
        <v>130</v>
      </c>
      <c r="B17" s="165">
        <v>1.9E-2</v>
      </c>
      <c r="C17" s="166">
        <f>C14*$B$17</f>
        <v>117228.93768536363</v>
      </c>
      <c r="D17" s="166">
        <f>D14*$B$17</f>
        <v>128334.15994439556</v>
      </c>
      <c r="E17" s="166">
        <f>E14*$B$17</f>
        <v>137106.25050157073</v>
      </c>
      <c r="F17" s="166">
        <f t="shared" ref="F17:L17" si="5">F14*$B$17</f>
        <v>145191.50838092357</v>
      </c>
      <c r="G17" s="166">
        <f t="shared" si="5"/>
        <v>157611.10420406543</v>
      </c>
      <c r="H17" s="166">
        <f t="shared" si="5"/>
        <v>164374.82136944757</v>
      </c>
      <c r="I17" s="166">
        <f t="shared" si="5"/>
        <v>168900.84655069554</v>
      </c>
      <c r="J17" s="166">
        <f t="shared" si="5"/>
        <v>176397.53595343637</v>
      </c>
      <c r="K17" s="166">
        <f t="shared" si="5"/>
        <v>176129.61085891738</v>
      </c>
      <c r="L17" s="166">
        <f t="shared" si="5"/>
        <v>188815.91016300453</v>
      </c>
      <c r="M17" s="167">
        <f t="shared" ref="M17:M22" si="6">SUM(C17:L17)</f>
        <v>1560090.6856118203</v>
      </c>
    </row>
    <row r="18" spans="1:14" s="121" customFormat="1" ht="19.5" thickBot="1">
      <c r="A18" s="168" t="s">
        <v>131</v>
      </c>
      <c r="B18" s="169">
        <v>2.4E-2</v>
      </c>
      <c r="C18" s="170">
        <f>C14*$B$18</f>
        <v>148078.65812888037</v>
      </c>
      <c r="D18" s="170">
        <f>D14*$B$18</f>
        <v>162106.30729818388</v>
      </c>
      <c r="E18" s="170">
        <f>E14*$B$18</f>
        <v>173186.84273882618</v>
      </c>
      <c r="F18" s="170">
        <f t="shared" ref="F18:L18" si="7">F14*$B$18</f>
        <v>183399.80006011401</v>
      </c>
      <c r="G18" s="170">
        <f t="shared" si="7"/>
        <v>199087.71057355634</v>
      </c>
      <c r="H18" s="170">
        <f t="shared" si="7"/>
        <v>207631.3533087759</v>
      </c>
      <c r="I18" s="170">
        <f t="shared" si="7"/>
        <v>213348.43774824703</v>
      </c>
      <c r="J18" s="170">
        <f t="shared" si="7"/>
        <v>222817.9401517091</v>
      </c>
      <c r="K18" s="170">
        <f t="shared" si="7"/>
        <v>222479.50845336932</v>
      </c>
      <c r="L18" s="170">
        <f t="shared" si="7"/>
        <v>238504.30757432154</v>
      </c>
      <c r="M18" s="171">
        <f t="shared" si="6"/>
        <v>1970640.8660359837</v>
      </c>
    </row>
    <row r="19" spans="1:14" s="121" customFormat="1" ht="19.5" thickBot="1">
      <c r="A19" s="172" t="s">
        <v>132</v>
      </c>
      <c r="B19" s="173"/>
      <c r="C19" s="174">
        <f>C14-C16-C17-C18</f>
        <v>5349341.5249058036</v>
      </c>
      <c r="D19" s="174">
        <f t="shared" ref="D19:L19" si="8">D14-D16-D17-D18</f>
        <v>5856090.3511468926</v>
      </c>
      <c r="E19" s="174">
        <f t="shared" si="8"/>
        <v>6256374.6939400965</v>
      </c>
      <c r="F19" s="174">
        <f t="shared" si="8"/>
        <v>6625317.7771716183</v>
      </c>
      <c r="G19" s="174">
        <f t="shared" si="8"/>
        <v>7192043.5444697235</v>
      </c>
      <c r="H19" s="174">
        <f t="shared" si="8"/>
        <v>7500682.6382795293</v>
      </c>
      <c r="I19" s="174">
        <f t="shared" si="8"/>
        <v>7707212.3136554239</v>
      </c>
      <c r="J19" s="174">
        <f t="shared" si="8"/>
        <v>8049298.0879804911</v>
      </c>
      <c r="K19" s="174">
        <f t="shared" si="8"/>
        <v>8037072.2428779677</v>
      </c>
      <c r="L19" s="174">
        <f t="shared" si="8"/>
        <v>8615968.111122366</v>
      </c>
      <c r="M19" s="175">
        <f t="shared" si="6"/>
        <v>71189401.285549909</v>
      </c>
    </row>
    <row r="20" spans="1:14" s="121" customFormat="1" ht="18.75">
      <c r="A20" s="176" t="s">
        <v>133</v>
      </c>
      <c r="B20" s="160">
        <v>0.75</v>
      </c>
      <c r="C20" s="161">
        <f t="shared" ref="C20:L20" si="9">C19*$B$20</f>
        <v>4012006.1436793525</v>
      </c>
      <c r="D20" s="161">
        <f t="shared" si="9"/>
        <v>4392067.7633601697</v>
      </c>
      <c r="E20" s="161">
        <f t="shared" si="9"/>
        <v>4692281.0204550726</v>
      </c>
      <c r="F20" s="161">
        <f t="shared" si="9"/>
        <v>4968988.3328787135</v>
      </c>
      <c r="G20" s="161">
        <f t="shared" si="9"/>
        <v>5394032.6583522931</v>
      </c>
      <c r="H20" s="161">
        <f t="shared" si="9"/>
        <v>5625511.9787096474</v>
      </c>
      <c r="I20" s="161">
        <f t="shared" si="9"/>
        <v>5780409.2352415677</v>
      </c>
      <c r="J20" s="161">
        <f t="shared" si="9"/>
        <v>6036973.5659853686</v>
      </c>
      <c r="K20" s="161">
        <f t="shared" si="9"/>
        <v>6027804.1821584757</v>
      </c>
      <c r="L20" s="177">
        <f t="shared" si="9"/>
        <v>6461976.0833417745</v>
      </c>
      <c r="M20" s="162">
        <f t="shared" si="6"/>
        <v>53392050.964162439</v>
      </c>
      <c r="N20" s="178"/>
    </row>
    <row r="21" spans="1:14" s="121" customFormat="1" ht="18.75">
      <c r="A21" s="179" t="s">
        <v>134</v>
      </c>
      <c r="B21" s="180">
        <v>0.25</v>
      </c>
      <c r="C21" s="166">
        <f t="shared" ref="C21:L21" si="10">C19*$B$21</f>
        <v>1337335.3812264509</v>
      </c>
      <c r="D21" s="166">
        <f t="shared" si="10"/>
        <v>1464022.5877867232</v>
      </c>
      <c r="E21" s="166">
        <f t="shared" si="10"/>
        <v>1564093.6734850241</v>
      </c>
      <c r="F21" s="166">
        <f t="shared" si="10"/>
        <v>1656329.4442929046</v>
      </c>
      <c r="G21" s="166">
        <f t="shared" si="10"/>
        <v>1798010.8861174309</v>
      </c>
      <c r="H21" s="166">
        <f t="shared" si="10"/>
        <v>1875170.6595698823</v>
      </c>
      <c r="I21" s="166">
        <f t="shared" si="10"/>
        <v>1926803.078413856</v>
      </c>
      <c r="J21" s="166">
        <f t="shared" si="10"/>
        <v>2012324.5219951228</v>
      </c>
      <c r="K21" s="166">
        <f t="shared" si="10"/>
        <v>2009268.0607194919</v>
      </c>
      <c r="L21" s="181">
        <f t="shared" si="10"/>
        <v>2153992.0277805915</v>
      </c>
      <c r="M21" s="167">
        <f t="shared" si="6"/>
        <v>17797350.321387477</v>
      </c>
      <c r="N21" s="178"/>
    </row>
    <row r="22" spans="1:14" s="121" customFormat="1" ht="18.75">
      <c r="A22" s="176" t="s">
        <v>135</v>
      </c>
      <c r="B22" s="182">
        <v>0.21</v>
      </c>
      <c r="C22" s="161">
        <f t="shared" ref="C22:K22" si="11">C19*$B$22</f>
        <v>1123361.7202302187</v>
      </c>
      <c r="D22" s="161">
        <f t="shared" si="11"/>
        <v>1229778.9737408473</v>
      </c>
      <c r="E22" s="161">
        <f t="shared" si="11"/>
        <v>1313838.6857274203</v>
      </c>
      <c r="F22" s="161">
        <f t="shared" si="11"/>
        <v>1391316.7332060398</v>
      </c>
      <c r="G22" s="161">
        <f t="shared" si="11"/>
        <v>1510329.1443386418</v>
      </c>
      <c r="H22" s="161">
        <f t="shared" si="11"/>
        <v>1575143.3540387012</v>
      </c>
      <c r="I22" s="161">
        <f t="shared" si="11"/>
        <v>1618514.5858676389</v>
      </c>
      <c r="J22" s="161">
        <f t="shared" si="11"/>
        <v>1690352.598475903</v>
      </c>
      <c r="K22" s="161">
        <f t="shared" si="11"/>
        <v>1687785.1710043731</v>
      </c>
      <c r="L22" s="177">
        <f>L19*$B$22</f>
        <v>1809353.3033356967</v>
      </c>
      <c r="M22" s="162">
        <f t="shared" si="6"/>
        <v>14949774.269965481</v>
      </c>
      <c r="N22" s="178"/>
    </row>
    <row r="23" spans="1:14" s="183" customFormat="1" ht="19.5" thickBot="1">
      <c r="C23" s="184"/>
      <c r="D23" s="184"/>
      <c r="E23" s="184"/>
      <c r="F23" s="184"/>
      <c r="G23" s="184"/>
      <c r="H23" s="184"/>
      <c r="I23" s="184"/>
      <c r="J23" s="184"/>
      <c r="K23" s="184"/>
      <c r="L23" s="184"/>
      <c r="M23" s="184"/>
    </row>
    <row r="24" spans="1:14" s="121" customFormat="1" ht="19.5" thickBot="1">
      <c r="A24" s="185" t="s">
        <v>136</v>
      </c>
      <c r="B24" s="186"/>
      <c r="C24" s="187"/>
      <c r="D24" s="187">
        <f t="shared" ref="D24:L24" si="12">(D14-C14)/C14</f>
        <v>9.473106622221357E-2</v>
      </c>
      <c r="E24" s="187">
        <f t="shared" si="12"/>
        <v>6.8353512120045909E-2</v>
      </c>
      <c r="F24" s="187">
        <f t="shared" si="12"/>
        <v>5.897074604385185E-2</v>
      </c>
      <c r="G24" s="187">
        <f t="shared" si="12"/>
        <v>8.5539409030436359E-2</v>
      </c>
      <c r="H24" s="187">
        <f t="shared" si="12"/>
        <v>4.2913963451616341E-2</v>
      </c>
      <c r="I24" s="187">
        <f t="shared" si="12"/>
        <v>2.7534783877120106E-2</v>
      </c>
      <c r="J24" s="187">
        <f t="shared" si="12"/>
        <v>4.4385149961286292E-2</v>
      </c>
      <c r="K24" s="187">
        <f t="shared" si="12"/>
        <v>-1.518870958547429E-3</v>
      </c>
      <c r="L24" s="187">
        <f t="shared" si="12"/>
        <v>7.2028202652699325E-2</v>
      </c>
      <c r="M24" s="188"/>
    </row>
    <row r="25" spans="1:14" s="121" customFormat="1" ht="19.5" thickBot="1">
      <c r="A25" s="189"/>
      <c r="B25" s="189"/>
      <c r="C25" s="190"/>
      <c r="D25" s="190"/>
      <c r="E25" s="190"/>
      <c r="F25" s="190"/>
      <c r="G25" s="190"/>
      <c r="H25" s="190"/>
      <c r="I25" s="190"/>
      <c r="J25" s="190"/>
      <c r="K25" s="190"/>
      <c r="L25" s="190"/>
      <c r="M25" s="191"/>
    </row>
    <row r="26" spans="1:14" s="129" customFormat="1" ht="21.75" thickBot="1">
      <c r="A26" s="823" t="s">
        <v>137</v>
      </c>
      <c r="B26" s="824"/>
      <c r="C26" s="824"/>
      <c r="D26" s="824"/>
      <c r="E26" s="824"/>
      <c r="F26" s="824"/>
      <c r="G26" s="824"/>
      <c r="H26" s="824"/>
      <c r="I26" s="824"/>
      <c r="J26" s="824"/>
      <c r="K26" s="824"/>
      <c r="L26" s="824"/>
      <c r="M26" s="825"/>
    </row>
    <row r="27" spans="1:14" s="129" customFormat="1" ht="18.75">
      <c r="A27" s="192" t="s">
        <v>138</v>
      </c>
      <c r="B27" s="193"/>
      <c r="C27" s="194">
        <v>2015</v>
      </c>
      <c r="D27" s="194">
        <v>2016</v>
      </c>
      <c r="E27" s="194">
        <v>2017</v>
      </c>
      <c r="F27" s="194">
        <v>2018</v>
      </c>
      <c r="G27" s="194">
        <v>2019</v>
      </c>
      <c r="H27" s="194">
        <v>2020</v>
      </c>
      <c r="I27" s="194">
        <v>2021</v>
      </c>
      <c r="J27" s="194">
        <v>2022</v>
      </c>
      <c r="K27" s="194">
        <v>2023</v>
      </c>
      <c r="L27" s="194">
        <v>2024</v>
      </c>
      <c r="M27" s="195" t="s">
        <v>4</v>
      </c>
    </row>
    <row r="28" spans="1:14" s="129" customFormat="1" ht="18.75">
      <c r="A28" s="816" t="s">
        <v>139</v>
      </c>
      <c r="B28" s="817"/>
      <c r="C28" s="196">
        <f>[2]Residential!D13</f>
        <v>24972.176134260586</v>
      </c>
      <c r="D28" s="197">
        <f>[2]Residential!E13</f>
        <v>28900.675808694432</v>
      </c>
      <c r="E28" s="198">
        <f>[2]Residential!F13</f>
        <v>31794.339986133728</v>
      </c>
      <c r="F28" s="197">
        <f>[2]Residential!G13</f>
        <v>33750.267688414817</v>
      </c>
      <c r="G28" s="197">
        <f>[2]Residential!H13</f>
        <v>36726.840610846099</v>
      </c>
      <c r="H28" s="197">
        <f>[2]Residential!I13</f>
        <v>38398.15594703277</v>
      </c>
      <c r="I28" s="197">
        <f>[2]Residential!J13</f>
        <v>39555.149748628115</v>
      </c>
      <c r="J28" s="197">
        <f>[2]Residential!K13</f>
        <v>41416.932262793685</v>
      </c>
      <c r="K28" s="197">
        <f>[2]Residential!L13</f>
        <v>41462.007854870491</v>
      </c>
      <c r="L28" s="199">
        <f>[2]Residential!M13</f>
        <v>44566.412611344414</v>
      </c>
      <c r="M28" s="200">
        <f>SUM(C28:L28)</f>
        <v>361542.9586530191</v>
      </c>
    </row>
    <row r="29" spans="1:14" s="129" customFormat="1" ht="18.75">
      <c r="A29" s="808" t="s">
        <v>140</v>
      </c>
      <c r="B29" s="809"/>
      <c r="C29" s="201">
        <f>[2]Residential!D14</f>
        <v>0</v>
      </c>
      <c r="D29" s="202">
        <f>[2]Residential!E14</f>
        <v>0</v>
      </c>
      <c r="E29" s="203">
        <f>[2]Residential!F14</f>
        <v>0</v>
      </c>
      <c r="F29" s="202">
        <f>[2]Residential!G14</f>
        <v>0</v>
      </c>
      <c r="G29" s="202">
        <f>[2]Residential!H14</f>
        <v>0</v>
      </c>
      <c r="H29" s="202">
        <f>[2]Residential!I14</f>
        <v>0</v>
      </c>
      <c r="I29" s="202">
        <f>[2]Residential!J14</f>
        <v>0</v>
      </c>
      <c r="J29" s="202">
        <f>[2]Residential!K14</f>
        <v>0</v>
      </c>
      <c r="K29" s="202">
        <f>[2]Residential!L14</f>
        <v>0</v>
      </c>
      <c r="L29" s="204">
        <f>[2]Residential!M14</f>
        <v>0</v>
      </c>
      <c r="M29" s="205">
        <f t="shared" ref="M29:M31" si="13">SUM(C29:L29)</f>
        <v>0</v>
      </c>
    </row>
    <row r="30" spans="1:14" s="121" customFormat="1" ht="18.75">
      <c r="A30" s="808" t="s">
        <v>141</v>
      </c>
      <c r="B30" s="809"/>
      <c r="C30" s="201">
        <f>[2]Commercial!D13</f>
        <v>31898.123513013314</v>
      </c>
      <c r="D30" s="202">
        <f>[2]Commercial!E13</f>
        <v>40380.961456800651</v>
      </c>
      <c r="E30" s="203">
        <f>[2]Commercial!F13</f>
        <v>41433.539894803413</v>
      </c>
      <c r="F30" s="202">
        <f>[2]Commercial!G13</f>
        <v>42305.492626552819</v>
      </c>
      <c r="G30" s="202">
        <f>[2]Commercial!H13</f>
        <v>44237.017134785259</v>
      </c>
      <c r="H30" s="202">
        <f>[2]Commercial!I13</f>
        <v>44550.592121495909</v>
      </c>
      <c r="I30" s="202">
        <f>[2]Commercial!J13</f>
        <v>44835.715948283752</v>
      </c>
      <c r="J30" s="202">
        <f>[2]Commercial!K13</f>
        <v>45899.161391248665</v>
      </c>
      <c r="K30" s="202">
        <f>[2]Commercial!L13</f>
        <v>45222.267072329429</v>
      </c>
      <c r="L30" s="204">
        <f>[2]Commercial!M13</f>
        <v>47891.725720340226</v>
      </c>
      <c r="M30" s="205">
        <f t="shared" si="13"/>
        <v>428654.59687965334</v>
      </c>
    </row>
    <row r="31" spans="1:14" s="121" customFormat="1" ht="19.5" thickBot="1">
      <c r="A31" s="808" t="s">
        <v>142</v>
      </c>
      <c r="B31" s="809"/>
      <c r="C31" s="201">
        <f>[2]Commercial!D14</f>
        <v>7038.0552219839119</v>
      </c>
      <c r="D31" s="202">
        <f>[2]Commercial!E14</f>
        <v>7704.7776972932652</v>
      </c>
      <c r="E31" s="203">
        <f>[2]Commercial!F14</f>
        <v>8231.4263130074614</v>
      </c>
      <c r="F31" s="202">
        <f>[2]Commercial!G14</f>
        <v>8716.8396636905018</v>
      </c>
      <c r="G31" s="202">
        <f>[2]Commercial!H14</f>
        <v>9462.4729771356542</v>
      </c>
      <c r="H31" s="202">
        <f>[2]Commercial!I14</f>
        <v>9868.5451966383607</v>
      </c>
      <c r="I31" s="202">
        <f>[2]Commercial!J14</f>
        <v>10140.273455809391</v>
      </c>
      <c r="J31" s="202">
        <f>[2]Commercial!K14</f>
        <v>10590.351013793941</v>
      </c>
      <c r="K31" s="202">
        <f>[2]Commercial!L14</f>
        <v>10574.265637198265</v>
      </c>
      <c r="L31" s="204">
        <f>[2]Commercial!M14</f>
        <v>11335.910985417859</v>
      </c>
      <c r="M31" s="205">
        <f t="shared" si="13"/>
        <v>93662.918161968599</v>
      </c>
    </row>
    <row r="32" spans="1:14" s="129" customFormat="1" ht="19.5" thickBot="1">
      <c r="A32" s="812" t="s">
        <v>143</v>
      </c>
      <c r="B32" s="813"/>
      <c r="C32" s="206">
        <f>SUM(C28:C31)</f>
        <v>63908.354869257819</v>
      </c>
      <c r="D32" s="207">
        <f t="shared" ref="D32:L32" si="14">SUM(D28:D31)</f>
        <v>76986.414962788345</v>
      </c>
      <c r="E32" s="207">
        <f t="shared" si="14"/>
        <v>81459.306193944591</v>
      </c>
      <c r="F32" s="207">
        <f t="shared" si="14"/>
        <v>84772.599978658138</v>
      </c>
      <c r="G32" s="207">
        <f t="shared" si="14"/>
        <v>90426.330722767016</v>
      </c>
      <c r="H32" s="207">
        <f t="shared" si="14"/>
        <v>92817.293265167042</v>
      </c>
      <c r="I32" s="207">
        <f t="shared" si="14"/>
        <v>94531.139152721269</v>
      </c>
      <c r="J32" s="207">
        <f t="shared" si="14"/>
        <v>97906.444667836287</v>
      </c>
      <c r="K32" s="207">
        <f t="shared" si="14"/>
        <v>97258.540564398179</v>
      </c>
      <c r="L32" s="208">
        <f t="shared" si="14"/>
        <v>103794.04931710249</v>
      </c>
      <c r="M32" s="209">
        <f>SUM(C32:L32)</f>
        <v>883860.47369464126</v>
      </c>
    </row>
    <row r="33" spans="1:13" s="129" customFormat="1" ht="19.5" thickBot="1">
      <c r="A33" s="210"/>
      <c r="B33" s="183"/>
      <c r="C33" s="184"/>
      <c r="D33" s="184"/>
      <c r="E33" s="184"/>
      <c r="F33" s="184"/>
      <c r="G33" s="184"/>
      <c r="H33" s="184"/>
      <c r="I33" s="184"/>
      <c r="J33" s="184"/>
      <c r="K33" s="184"/>
      <c r="L33" s="184"/>
      <c r="M33" s="184"/>
    </row>
    <row r="34" spans="1:13" s="129" customFormat="1" ht="18.75">
      <c r="A34" s="192" t="s">
        <v>144</v>
      </c>
      <c r="B34" s="211"/>
      <c r="C34" s="194">
        <v>2015</v>
      </c>
      <c r="D34" s="194">
        <v>2016</v>
      </c>
      <c r="E34" s="194">
        <v>2017</v>
      </c>
      <c r="F34" s="194">
        <v>2018</v>
      </c>
      <c r="G34" s="194">
        <v>2019</v>
      </c>
      <c r="H34" s="194">
        <v>2020</v>
      </c>
      <c r="I34" s="194">
        <v>2021</v>
      </c>
      <c r="J34" s="194">
        <v>2022</v>
      </c>
      <c r="K34" s="194">
        <v>2023</v>
      </c>
      <c r="L34" s="194">
        <v>2024</v>
      </c>
      <c r="M34" s="195" t="s">
        <v>4</v>
      </c>
    </row>
    <row r="35" spans="1:13" s="129" customFormat="1" ht="18.75">
      <c r="A35" s="816" t="s">
        <v>139</v>
      </c>
      <c r="B35" s="817"/>
      <c r="C35" s="196">
        <f>[2]Residential!D18</f>
        <v>1333.8555327604226</v>
      </c>
      <c r="D35" s="197">
        <f>[2]Residential!E18</f>
        <v>1485.9701607318245</v>
      </c>
      <c r="E35" s="198">
        <f>[2]Residential!F18</f>
        <v>1589.2609949663035</v>
      </c>
      <c r="F35" s="197">
        <f>[2]Residential!G18</f>
        <v>1713.7055378648931</v>
      </c>
      <c r="G35" s="197">
        <f>[2]Residential!H18</f>
        <v>1862.3113509071436</v>
      </c>
      <c r="H35" s="197">
        <f>[2]Residential!I18</f>
        <v>1944.35453015452</v>
      </c>
      <c r="I35" s="197">
        <f>[2]Residential!J18</f>
        <v>2000.0962393221516</v>
      </c>
      <c r="J35" s="197">
        <f>[2]Residential!K18</f>
        <v>2126.2898248848901</v>
      </c>
      <c r="K35" s="197">
        <f>[2]Residential!L18</f>
        <v>2125.4051383967853</v>
      </c>
      <c r="L35" s="199">
        <f>[2]Residential!M18</f>
        <v>2281.0331585193462</v>
      </c>
      <c r="M35" s="200">
        <f>SUM(C35:L35)</f>
        <v>18462.282468508281</v>
      </c>
    </row>
    <row r="36" spans="1:13" s="129" customFormat="1" ht="18.75">
      <c r="A36" s="808" t="s">
        <v>72</v>
      </c>
      <c r="B36" s="809"/>
      <c r="C36" s="201">
        <f>[2]Residential!D19</f>
        <v>0</v>
      </c>
      <c r="D36" s="202">
        <f>[2]Residential!E19</f>
        <v>0</v>
      </c>
      <c r="E36" s="203">
        <f>[2]Residential!F19</f>
        <v>0</v>
      </c>
      <c r="F36" s="202">
        <f>[2]Residential!G19</f>
        <v>0</v>
      </c>
      <c r="G36" s="202">
        <f>[2]Residential!H19</f>
        <v>0</v>
      </c>
      <c r="H36" s="202">
        <f>[2]Residential!I19</f>
        <v>0</v>
      </c>
      <c r="I36" s="202">
        <f>[2]Residential!J19</f>
        <v>0</v>
      </c>
      <c r="J36" s="202">
        <f>[2]Residential!K19</f>
        <v>0</v>
      </c>
      <c r="K36" s="202">
        <f>[2]Residential!L19</f>
        <v>0</v>
      </c>
      <c r="L36" s="204">
        <f>[2]Residential!M19</f>
        <v>0</v>
      </c>
      <c r="M36" s="205">
        <f t="shared" ref="M36:M38" si="15">SUM(C36:L36)</f>
        <v>0</v>
      </c>
    </row>
    <row r="37" spans="1:13" s="129" customFormat="1" ht="18.75">
      <c r="A37" s="808" t="s">
        <v>141</v>
      </c>
      <c r="B37" s="809"/>
      <c r="C37" s="201">
        <f>[2]Commercial!D18</f>
        <v>613.35068668931035</v>
      </c>
      <c r="D37" s="202">
        <f>[2]Commercial!E18</f>
        <v>767.31250899074007</v>
      </c>
      <c r="E37" s="203">
        <f>[2]Commercial!F18</f>
        <v>841.59698829588842</v>
      </c>
      <c r="F37" s="202">
        <f>[2]Commercial!G18</f>
        <v>908.94509360165921</v>
      </c>
      <c r="G37" s="202">
        <f>[2]Commercial!H18</f>
        <v>1001.3509698622136</v>
      </c>
      <c r="H37" s="202">
        <f>[2]Commercial!I18</f>
        <v>1055.3716542030356</v>
      </c>
      <c r="I37" s="202">
        <f>[2]Commercial!J18</f>
        <v>1103.0569216644071</v>
      </c>
      <c r="J37" s="202">
        <f>[2]Commercial!K18</f>
        <v>1168.8812184974672</v>
      </c>
      <c r="K37" s="202">
        <f>[2]Commercial!L18</f>
        <v>1184.2604354991445</v>
      </c>
      <c r="L37" s="204">
        <f>[2]Commercial!M18</f>
        <v>1287.6394123129317</v>
      </c>
      <c r="M37" s="205">
        <f t="shared" si="15"/>
        <v>9931.7658896167995</v>
      </c>
    </row>
    <row r="38" spans="1:13" s="129" customFormat="1" ht="19.5" thickBot="1">
      <c r="A38" s="810" t="s">
        <v>145</v>
      </c>
      <c r="B38" s="811"/>
      <c r="C38" s="201">
        <f>[2]Commercial!D19</f>
        <v>112.66317905972316</v>
      </c>
      <c r="D38" s="202">
        <f>[2]Commercial!E19</f>
        <v>123.3358821360349</v>
      </c>
      <c r="E38" s="203">
        <f>[2]Commercial!F19</f>
        <v>131.76632285045693</v>
      </c>
      <c r="F38" s="202">
        <f>[2]Commercial!G19</f>
        <v>139.53668121240341</v>
      </c>
      <c r="G38" s="202">
        <f>[2]Commercial!H19</f>
        <v>151.47256646138078</v>
      </c>
      <c r="H38" s="202">
        <f>[2]Commercial!I19</f>
        <v>157.972854642427</v>
      </c>
      <c r="I38" s="202">
        <f>[2]Commercial!J19</f>
        <v>162.32260305345793</v>
      </c>
      <c r="J38" s="202">
        <f>[2]Commercial!K19</f>
        <v>169.52731613209201</v>
      </c>
      <c r="K38" s="202">
        <f>[2]Commercial!L19</f>
        <v>169.26982601493847</v>
      </c>
      <c r="L38" s="204">
        <f>[2]Commercial!M19</f>
        <v>181.46202734612964</v>
      </c>
      <c r="M38" s="205">
        <f t="shared" si="15"/>
        <v>1499.3292589090443</v>
      </c>
    </row>
    <row r="39" spans="1:13" s="129" customFormat="1" ht="19.5" thickBot="1">
      <c r="A39" s="812" t="s">
        <v>146</v>
      </c>
      <c r="B39" s="813"/>
      <c r="C39" s="206">
        <f>SUM(C35:C38)</f>
        <v>2059.869398509456</v>
      </c>
      <c r="D39" s="207">
        <f t="shared" ref="D39:L39" si="16">SUM(D35:D38)</f>
        <v>2376.6185518585994</v>
      </c>
      <c r="E39" s="207">
        <f t="shared" si="16"/>
        <v>2562.6243061126488</v>
      </c>
      <c r="F39" s="207">
        <f t="shared" si="16"/>
        <v>2762.1873126789555</v>
      </c>
      <c r="G39" s="207">
        <f t="shared" si="16"/>
        <v>3015.1348872307381</v>
      </c>
      <c r="H39" s="207">
        <f t="shared" si="16"/>
        <v>3157.6990389999828</v>
      </c>
      <c r="I39" s="207">
        <f t="shared" si="16"/>
        <v>3265.4757640400167</v>
      </c>
      <c r="J39" s="207">
        <f t="shared" si="16"/>
        <v>3464.6983595144493</v>
      </c>
      <c r="K39" s="207">
        <f t="shared" si="16"/>
        <v>3478.9353999108685</v>
      </c>
      <c r="L39" s="208">
        <f t="shared" si="16"/>
        <v>3750.1345981784075</v>
      </c>
      <c r="M39" s="209">
        <f>SUM(C39:L39)</f>
        <v>29893.377617034123</v>
      </c>
    </row>
    <row r="40" spans="1:13" s="129" customFormat="1">
      <c r="C40" s="130"/>
      <c r="D40" s="130"/>
      <c r="E40" s="212"/>
      <c r="F40" s="130"/>
      <c r="G40" s="130"/>
      <c r="H40" s="130"/>
      <c r="I40" s="130"/>
      <c r="J40" s="130"/>
      <c r="K40" s="130"/>
      <c r="L40" s="130"/>
      <c r="M40" s="130"/>
    </row>
    <row r="41" spans="1:13" s="129" customFormat="1">
      <c r="C41" s="130"/>
      <c r="D41" s="130"/>
      <c r="E41" s="130"/>
      <c r="F41" s="130"/>
      <c r="G41" s="130"/>
      <c r="H41" s="130"/>
      <c r="I41" s="130"/>
      <c r="J41" s="130"/>
      <c r="K41" s="130"/>
      <c r="L41" s="130"/>
      <c r="M41" s="130"/>
    </row>
    <row r="42" spans="1:13" s="129" customFormat="1">
      <c r="C42" s="130"/>
      <c r="D42" s="130"/>
      <c r="E42" s="130"/>
      <c r="F42" s="130"/>
      <c r="G42" s="130"/>
      <c r="H42" s="130"/>
      <c r="I42" s="130"/>
      <c r="J42" s="130"/>
      <c r="K42" s="130"/>
      <c r="L42" s="130"/>
      <c r="M42" s="130"/>
    </row>
    <row r="43" spans="1:13" s="129" customFormat="1" ht="21">
      <c r="A43" s="213" t="s">
        <v>147</v>
      </c>
      <c r="B43" s="214"/>
      <c r="C43" s="215"/>
      <c r="D43" s="215"/>
      <c r="E43" s="215"/>
      <c r="F43" s="215"/>
      <c r="G43" s="215"/>
      <c r="H43" s="215"/>
      <c r="I43" s="215"/>
      <c r="J43" s="215"/>
      <c r="K43" s="215"/>
      <c r="L43" s="215"/>
      <c r="M43" s="216"/>
    </row>
    <row r="44" spans="1:13" s="129" customFormat="1" ht="15.75" thickBot="1">
      <c r="A44" s="217"/>
      <c r="B44" s="128"/>
      <c r="C44" s="218"/>
      <c r="D44" s="218"/>
      <c r="E44" s="218"/>
      <c r="F44" s="218"/>
      <c r="G44" s="218"/>
      <c r="H44" s="218"/>
      <c r="I44" s="218"/>
      <c r="J44" s="218"/>
      <c r="K44" s="218"/>
      <c r="L44" s="218"/>
      <c r="M44" s="219"/>
    </row>
    <row r="45" spans="1:13" s="129" customFormat="1" ht="18.75">
      <c r="A45" s="814" t="s">
        <v>148</v>
      </c>
      <c r="B45" s="815"/>
      <c r="C45" s="194">
        <v>2015</v>
      </c>
      <c r="D45" s="194">
        <v>2016</v>
      </c>
      <c r="E45" s="194">
        <v>2017</v>
      </c>
      <c r="F45" s="194">
        <v>2018</v>
      </c>
      <c r="G45" s="194">
        <v>2019</v>
      </c>
      <c r="H45" s="194">
        <v>2020</v>
      </c>
      <c r="I45" s="194">
        <v>2021</v>
      </c>
      <c r="J45" s="194">
        <v>2022</v>
      </c>
      <c r="K45" s="194">
        <v>2023</v>
      </c>
      <c r="L45" s="194">
        <v>2024</v>
      </c>
      <c r="M45" s="220" t="s">
        <v>4</v>
      </c>
    </row>
    <row r="46" spans="1:13" s="129" customFormat="1" ht="18.75">
      <c r="A46" s="221" t="s">
        <v>124</v>
      </c>
      <c r="B46" s="222"/>
      <c r="C46" s="223">
        <f>'[3]Summary TEPF Revenue Est'!G7</f>
        <v>4135711.44112885</v>
      </c>
      <c r="D46" s="223">
        <f>'[3]Summary TEPF Revenue Est'!H7</f>
        <v>4273156.2492820006</v>
      </c>
      <c r="E46" s="223">
        <f>'[3]Summary TEPF Revenue Est'!I7</f>
        <v>4534510.2643304002</v>
      </c>
      <c r="F46" s="223">
        <f>'[3]Summary TEPF Revenue Est'!J7</f>
        <v>4724306.9882510817</v>
      </c>
      <c r="G46" s="223">
        <f>'[3]Summary TEPF Revenue Est'!K7</f>
        <v>5225629.8648462845</v>
      </c>
      <c r="H46" s="223">
        <f>'[3]Summary TEPF Revenue Est'!L7</f>
        <v>5260329.4493138688</v>
      </c>
      <c r="I46" s="223">
        <f>'[3]Summary TEPF Revenue Est'!M7</f>
        <v>5137386.0639706766</v>
      </c>
      <c r="J46" s="223">
        <f>'[3]Summary TEPF Revenue Est'!N7</f>
        <v>5636462.5717258751</v>
      </c>
      <c r="K46" s="223">
        <f>'[3]Summary TEPF Revenue Est'!O7</f>
        <v>5779560.8328037923</v>
      </c>
      <c r="L46" s="223">
        <f>'[3]Summary TEPF Revenue Est'!P7</f>
        <v>6713592.7741666352</v>
      </c>
      <c r="M46" s="224">
        <f>SUM(C46:L46)</f>
        <v>51420646.499819472</v>
      </c>
    </row>
    <row r="47" spans="1:13" s="129" customFormat="1" ht="18.75">
      <c r="A47" s="225" t="s">
        <v>125</v>
      </c>
      <c r="B47" s="226"/>
      <c r="C47" s="227">
        <f>'[3]Summary TEPF Revenue Est'!G12</f>
        <v>2141332.6475744997</v>
      </c>
      <c r="D47" s="227">
        <f>'[3]Summary TEPF Revenue Est'!H12</f>
        <v>2672984.8743626252</v>
      </c>
      <c r="E47" s="227">
        <f>'[3]Summary TEPF Revenue Est'!I12</f>
        <v>2966499.9220952652</v>
      </c>
      <c r="F47" s="227">
        <f>'[3]Summary TEPF Revenue Est'!J12</f>
        <v>3299634.0713159703</v>
      </c>
      <c r="G47" s="227">
        <f>'[3]Summary TEPF Revenue Est'!K12</f>
        <v>3578335.3261838774</v>
      </c>
      <c r="H47" s="227">
        <f>'[3]Summary TEPF Revenue Est'!L12</f>
        <v>3998778.0709392177</v>
      </c>
      <c r="I47" s="227">
        <f>'[3]Summary TEPF Revenue Est'!M12</f>
        <v>4441031.2692729915</v>
      </c>
      <c r="J47" s="227">
        <f>'[3]Summary TEPF Revenue Est'!N12</f>
        <v>4491362.8594057411</v>
      </c>
      <c r="K47" s="227">
        <f>'[3]Summary TEPF Revenue Est'!O12</f>
        <v>4452279.919449959</v>
      </c>
      <c r="L47" s="227">
        <f>'[3]Summary TEPF Revenue Est'!P12</f>
        <v>4435457.8584979651</v>
      </c>
      <c r="M47" s="228">
        <f>SUM(C47:L47)</f>
        <v>36477696.819098108</v>
      </c>
    </row>
    <row r="48" spans="1:13" s="129" customFormat="1" ht="18.75">
      <c r="A48" s="229" t="s">
        <v>14</v>
      </c>
      <c r="B48" s="230"/>
      <c r="C48" s="231">
        <f>SUM(C46:C47)</f>
        <v>6277044.0887033492</v>
      </c>
      <c r="D48" s="231">
        <f t="shared" ref="D48:M48" si="17">SUM(D46:D47)</f>
        <v>6946141.1236446258</v>
      </c>
      <c r="E48" s="231">
        <f t="shared" si="17"/>
        <v>7501010.1864256654</v>
      </c>
      <c r="F48" s="231">
        <f t="shared" si="17"/>
        <v>8023941.0595670519</v>
      </c>
      <c r="G48" s="231">
        <f t="shared" si="17"/>
        <v>8803965.1910301615</v>
      </c>
      <c r="H48" s="231">
        <f t="shared" si="17"/>
        <v>9259107.5202530865</v>
      </c>
      <c r="I48" s="231">
        <f t="shared" si="17"/>
        <v>9578417.3332436681</v>
      </c>
      <c r="J48" s="231">
        <f t="shared" si="17"/>
        <v>10127825.431131616</v>
      </c>
      <c r="K48" s="231">
        <f t="shared" si="17"/>
        <v>10231840.752253752</v>
      </c>
      <c r="L48" s="232">
        <f t="shared" si="17"/>
        <v>11149050.6326646</v>
      </c>
      <c r="M48" s="231">
        <f t="shared" si="17"/>
        <v>87898343.318917572</v>
      </c>
    </row>
    <row r="49" spans="1:13" s="129" customFormat="1">
      <c r="A49" s="217"/>
      <c r="B49" s="128"/>
      <c r="C49" s="218"/>
      <c r="D49" s="218"/>
      <c r="E49" s="218"/>
      <c r="F49" s="218"/>
      <c r="G49" s="218"/>
      <c r="H49" s="218"/>
      <c r="I49" s="218"/>
      <c r="J49" s="218"/>
      <c r="K49" s="218"/>
      <c r="L49" s="218"/>
      <c r="M49" s="219"/>
    </row>
    <row r="50" spans="1:13" s="129" customFormat="1" ht="18.75">
      <c r="A50" s="225" t="s">
        <v>149</v>
      </c>
      <c r="B50" s="128"/>
      <c r="C50" s="218"/>
      <c r="D50" s="218"/>
      <c r="E50" s="218"/>
      <c r="F50" s="218"/>
      <c r="G50" s="218"/>
      <c r="H50" s="218"/>
      <c r="I50" s="218"/>
      <c r="J50" s="218"/>
      <c r="K50" s="218"/>
      <c r="L50" s="218"/>
      <c r="M50" s="219"/>
    </row>
    <row r="51" spans="1:13" s="129" customFormat="1" ht="18.75">
      <c r="A51" s="217" t="s">
        <v>150</v>
      </c>
      <c r="B51" s="128"/>
      <c r="C51" s="233">
        <f>C46/$C$48</f>
        <v>0.65886289512794627</v>
      </c>
      <c r="D51" s="233">
        <f t="shared" ref="D51:M51" si="18">D46/D48</f>
        <v>0.61518419698330062</v>
      </c>
      <c r="E51" s="233">
        <f t="shared" si="18"/>
        <v>0.60451994486507377</v>
      </c>
      <c r="F51" s="233">
        <f t="shared" si="18"/>
        <v>0.58877638222656525</v>
      </c>
      <c r="G51" s="233">
        <f t="shared" si="18"/>
        <v>0.5935541260624666</v>
      </c>
      <c r="H51" s="233">
        <f t="shared" si="18"/>
        <v>0.56812489085018036</v>
      </c>
      <c r="I51" s="233">
        <f t="shared" si="18"/>
        <v>0.53635020121126153</v>
      </c>
      <c r="J51" s="233">
        <f t="shared" si="18"/>
        <v>0.55653235830863779</v>
      </c>
      <c r="K51" s="233">
        <f t="shared" si="18"/>
        <v>0.56486031914939028</v>
      </c>
      <c r="L51" s="233">
        <f t="shared" si="18"/>
        <v>0.60216721543062002</v>
      </c>
      <c r="M51" s="234">
        <f t="shared" si="18"/>
        <v>0.58500131581834569</v>
      </c>
    </row>
    <row r="52" spans="1:13" s="129" customFormat="1" ht="18.75">
      <c r="A52" s="217" t="s">
        <v>151</v>
      </c>
      <c r="B52" s="128"/>
      <c r="C52" s="233">
        <f>C47/C48</f>
        <v>0.34113710487205379</v>
      </c>
      <c r="D52" s="233">
        <f t="shared" ref="D52:M52" si="19">D47/D48</f>
        <v>0.38481580301669938</v>
      </c>
      <c r="E52" s="233">
        <f t="shared" si="19"/>
        <v>0.39548005513492618</v>
      </c>
      <c r="F52" s="233">
        <f t="shared" si="19"/>
        <v>0.41122361777343475</v>
      </c>
      <c r="G52" s="233">
        <f t="shared" si="19"/>
        <v>0.40644587393753345</v>
      </c>
      <c r="H52" s="233">
        <f t="shared" si="19"/>
        <v>0.43187510914981964</v>
      </c>
      <c r="I52" s="233">
        <f t="shared" si="19"/>
        <v>0.46364979878873847</v>
      </c>
      <c r="J52" s="233">
        <f t="shared" si="19"/>
        <v>0.44346764169136216</v>
      </c>
      <c r="K52" s="233">
        <f t="shared" si="19"/>
        <v>0.43513968085060961</v>
      </c>
      <c r="L52" s="233">
        <f t="shared" si="19"/>
        <v>0.39783278456937993</v>
      </c>
      <c r="M52" s="234">
        <f t="shared" si="19"/>
        <v>0.41499868418165442</v>
      </c>
    </row>
    <row r="53" spans="1:13" s="129" customFormat="1">
      <c r="A53" s="217"/>
      <c r="B53" s="128"/>
      <c r="C53" s="218"/>
      <c r="D53" s="218"/>
      <c r="E53" s="218"/>
      <c r="F53" s="218"/>
      <c r="G53" s="218"/>
      <c r="H53" s="218"/>
      <c r="I53" s="218"/>
      <c r="J53" s="218"/>
      <c r="K53" s="218"/>
      <c r="L53" s="218"/>
      <c r="M53" s="219"/>
    </row>
    <row r="54" spans="1:13" ht="18.75">
      <c r="A54" s="235" t="s">
        <v>152</v>
      </c>
      <c r="B54" s="236"/>
      <c r="C54" s="237">
        <f>'[3]Summary TEPF Revenue Est'!G19</f>
        <v>107100</v>
      </c>
      <c r="D54" s="237">
        <f>'[3]Summary TEPF Revenue Est'!H19</f>
        <v>109242</v>
      </c>
      <c r="E54" s="237">
        <f>'[3]Summary TEPF Revenue Est'!I19</f>
        <v>111426.84</v>
      </c>
      <c r="F54" s="237">
        <f>'[3]Summary TEPF Revenue Est'!J19</f>
        <v>113655.3768</v>
      </c>
      <c r="G54" s="237">
        <f>'[3]Summary TEPF Revenue Est'!K19</f>
        <v>115928.48433599999</v>
      </c>
      <c r="H54" s="237">
        <f>'[3]Summary TEPF Revenue Est'!L19</f>
        <v>118247.05402272</v>
      </c>
      <c r="I54" s="237">
        <f>'[3]Summary TEPF Revenue Est'!M19</f>
        <v>120611.9951031744</v>
      </c>
      <c r="J54" s="237">
        <f>'[3]Summary TEPF Revenue Est'!N19</f>
        <v>123024.23500523789</v>
      </c>
      <c r="K54" s="237">
        <f>'[3]Summary TEPF Revenue Est'!O19</f>
        <v>125484.71970534265</v>
      </c>
      <c r="L54" s="237">
        <f>'[3]Summary TEPF Revenue Est'!P19</f>
        <v>127994.41409944951</v>
      </c>
      <c r="M54" s="238">
        <f>SUM(C54:L54)</f>
        <v>1172715.1190719244</v>
      </c>
    </row>
    <row r="55" spans="1:13" ht="18.75">
      <c r="A55" s="225" t="s">
        <v>153</v>
      </c>
      <c r="B55" s="239"/>
      <c r="C55" s="223">
        <f>C54*C51</f>
        <v>70564.216068203052</v>
      </c>
      <c r="D55" s="223">
        <f t="shared" ref="D55:M55" si="20">D54*D51</f>
        <v>67203.952046849721</v>
      </c>
      <c r="E55" s="223">
        <f t="shared" si="20"/>
        <v>67359.74717328939</v>
      </c>
      <c r="F55" s="223">
        <f t="shared" si="20"/>
        <v>66917.601572901098</v>
      </c>
      <c r="G55" s="223">
        <f t="shared" si="20"/>
        <v>68809.830205800827</v>
      </c>
      <c r="H55" s="223">
        <f t="shared" si="20"/>
        <v>67179.094660013172</v>
      </c>
      <c r="I55" s="223">
        <f t="shared" si="20"/>
        <v>64690.26784207928</v>
      </c>
      <c r="J55" s="223">
        <f t="shared" si="20"/>
        <v>68466.967636581117</v>
      </c>
      <c r="K55" s="223">
        <f t="shared" si="20"/>
        <v>70881.338821131634</v>
      </c>
      <c r="L55" s="223">
        <f t="shared" si="20"/>
        <v>77074.039928939208</v>
      </c>
      <c r="M55" s="224">
        <f t="shared" si="20"/>
        <v>686039.88773714367</v>
      </c>
    </row>
    <row r="56" spans="1:13" ht="18.75">
      <c r="A56" s="240" t="s">
        <v>154</v>
      </c>
      <c r="B56" s="230"/>
      <c r="C56" s="241">
        <f>C54*C52</f>
        <v>36535.783931796963</v>
      </c>
      <c r="D56" s="241">
        <f t="shared" ref="D56:M56" si="21">D54*D52</f>
        <v>42038.047953150271</v>
      </c>
      <c r="E56" s="241">
        <f t="shared" si="21"/>
        <v>44067.092826710599</v>
      </c>
      <c r="F56" s="241">
        <f t="shared" si="21"/>
        <v>46737.7752270989</v>
      </c>
      <c r="G56" s="241">
        <f t="shared" si="21"/>
        <v>47118.654130199175</v>
      </c>
      <c r="H56" s="241">
        <f t="shared" si="21"/>
        <v>51067.959362706817</v>
      </c>
      <c r="I56" s="241">
        <f t="shared" si="21"/>
        <v>55921.727261095119</v>
      </c>
      <c r="J56" s="241">
        <f t="shared" si="21"/>
        <v>54557.267368656772</v>
      </c>
      <c r="K56" s="241">
        <f t="shared" si="21"/>
        <v>54603.380884211001</v>
      </c>
      <c r="L56" s="241">
        <f t="shared" si="21"/>
        <v>50920.374170510302</v>
      </c>
      <c r="M56" s="242">
        <f t="shared" si="21"/>
        <v>486675.23133478081</v>
      </c>
    </row>
    <row r="57" spans="1:13">
      <c r="A57" s="129"/>
      <c r="B57" s="129"/>
      <c r="C57" s="130"/>
      <c r="D57" s="130"/>
      <c r="E57" s="130"/>
      <c r="F57" s="130"/>
      <c r="G57" s="130"/>
      <c r="H57" s="130"/>
      <c r="I57" s="130"/>
      <c r="J57" s="130"/>
      <c r="K57" s="130"/>
      <c r="L57" s="130"/>
      <c r="M57" s="130"/>
    </row>
    <row r="58" spans="1:13">
      <c r="A58" s="129"/>
      <c r="B58" s="129"/>
      <c r="C58" s="130"/>
      <c r="D58" s="130"/>
      <c r="E58" s="130"/>
      <c r="F58" s="130"/>
      <c r="G58" s="130"/>
      <c r="H58" s="130"/>
      <c r="I58" s="130"/>
      <c r="J58" s="130"/>
      <c r="K58" s="130"/>
      <c r="L58" s="130"/>
      <c r="M58" s="130"/>
    </row>
    <row r="59" spans="1:13">
      <c r="A59" s="129"/>
      <c r="B59" s="129"/>
      <c r="C59" s="130"/>
      <c r="D59" s="130"/>
      <c r="E59" s="130"/>
      <c r="F59" s="130"/>
      <c r="G59" s="130"/>
      <c r="H59" s="130"/>
      <c r="I59" s="130"/>
      <c r="J59" s="130"/>
      <c r="K59" s="130"/>
      <c r="L59" s="130"/>
      <c r="M59" s="130"/>
    </row>
    <row r="60" spans="1:13">
      <c r="A60" s="129"/>
      <c r="B60" s="129"/>
      <c r="C60" s="130"/>
      <c r="D60" s="130"/>
      <c r="E60" s="130"/>
      <c r="F60" s="130"/>
      <c r="G60" s="130"/>
      <c r="H60" s="130"/>
      <c r="I60" s="130"/>
      <c r="J60" s="130"/>
      <c r="K60" s="130"/>
      <c r="L60" s="130"/>
      <c r="M60" s="130"/>
    </row>
    <row r="61" spans="1:13">
      <c r="A61" s="129"/>
      <c r="B61" s="129"/>
      <c r="C61" s="130"/>
      <c r="D61" s="130"/>
      <c r="E61" s="130"/>
      <c r="F61" s="130"/>
      <c r="G61" s="130"/>
      <c r="H61" s="130"/>
      <c r="I61" s="130"/>
      <c r="J61" s="130"/>
      <c r="K61" s="130"/>
      <c r="L61" s="130"/>
      <c r="M61" s="130"/>
    </row>
    <row r="62" spans="1:13">
      <c r="A62" s="129"/>
      <c r="B62" s="129"/>
      <c r="C62" s="130"/>
      <c r="D62" s="130"/>
      <c r="E62" s="130"/>
      <c r="F62" s="130"/>
      <c r="G62" s="130"/>
      <c r="H62" s="130"/>
      <c r="I62" s="130"/>
      <c r="J62" s="130"/>
      <c r="K62" s="130"/>
      <c r="L62" s="130"/>
      <c r="M62" s="130"/>
    </row>
    <row r="63" spans="1:13">
      <c r="A63" s="129"/>
      <c r="B63" s="129"/>
      <c r="C63" s="130"/>
      <c r="D63" s="130"/>
      <c r="E63" s="130"/>
      <c r="F63" s="130"/>
      <c r="G63" s="130"/>
      <c r="H63" s="130"/>
      <c r="I63" s="130"/>
      <c r="J63" s="130"/>
      <c r="K63" s="130"/>
      <c r="L63" s="130"/>
      <c r="M63" s="130"/>
    </row>
    <row r="64" spans="1:13">
      <c r="A64" s="129"/>
      <c r="B64" s="129"/>
      <c r="C64" s="130"/>
      <c r="D64" s="130"/>
      <c r="E64" s="130"/>
      <c r="F64" s="130"/>
      <c r="G64" s="130"/>
      <c r="H64" s="130"/>
      <c r="I64" s="130"/>
      <c r="J64" s="130"/>
      <c r="K64" s="130"/>
      <c r="L64" s="130"/>
      <c r="M64" s="130"/>
    </row>
    <row r="65" spans="1:13">
      <c r="A65" s="129"/>
      <c r="B65" s="129"/>
      <c r="C65" s="130"/>
      <c r="D65" s="130"/>
      <c r="E65" s="130"/>
      <c r="F65" s="130"/>
      <c r="G65" s="130"/>
      <c r="H65" s="130"/>
      <c r="I65" s="130"/>
      <c r="J65" s="130"/>
      <c r="K65" s="130"/>
      <c r="L65" s="130"/>
      <c r="M65" s="130"/>
    </row>
    <row r="66" spans="1:13">
      <c r="A66" s="129"/>
      <c r="B66" s="129"/>
      <c r="C66" s="130"/>
      <c r="D66" s="130"/>
      <c r="E66" s="130"/>
      <c r="F66" s="130"/>
      <c r="G66" s="130"/>
      <c r="H66" s="130"/>
      <c r="I66" s="130"/>
      <c r="J66" s="130"/>
      <c r="K66" s="130"/>
      <c r="L66" s="130"/>
      <c r="M66" s="130"/>
    </row>
    <row r="67" spans="1:13">
      <c r="A67" s="129"/>
      <c r="B67" s="129"/>
      <c r="C67" s="130"/>
      <c r="D67" s="130"/>
      <c r="E67" s="130"/>
      <c r="F67" s="130"/>
      <c r="G67" s="130"/>
      <c r="H67" s="130"/>
      <c r="I67" s="130"/>
      <c r="J67" s="130"/>
      <c r="K67" s="130"/>
      <c r="L67" s="130"/>
      <c r="M67" s="130"/>
    </row>
  </sheetData>
  <mergeCells count="16">
    <mergeCell ref="A28:B28"/>
    <mergeCell ref="A3:B3"/>
    <mergeCell ref="A4:B4"/>
    <mergeCell ref="A6:B6"/>
    <mergeCell ref="A11:B11"/>
    <mergeCell ref="A26:M26"/>
    <mergeCell ref="A37:B37"/>
    <mergeCell ref="A38:B38"/>
    <mergeCell ref="A39:B39"/>
    <mergeCell ref="A45:B45"/>
    <mergeCell ref="A29:B29"/>
    <mergeCell ref="A30:B30"/>
    <mergeCell ref="A31:B31"/>
    <mergeCell ref="A32:B32"/>
    <mergeCell ref="A35:B35"/>
    <mergeCell ref="A36:B36"/>
  </mergeCells>
  <pageMargins left="0.7" right="0.7" top="0.75" bottom="0.75" header="0.3" footer="0.3"/>
  <legacyDrawing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B2:F13"/>
  <sheetViews>
    <sheetView workbookViewId="0">
      <selection activeCell="E2" sqref="E2"/>
    </sheetView>
  </sheetViews>
  <sheetFormatPr defaultRowHeight="15"/>
  <cols>
    <col min="2" max="2" width="11.140625" customWidth="1"/>
    <col min="3" max="3" width="11.7109375" customWidth="1"/>
    <col min="4" max="4" width="11.28515625" customWidth="1"/>
  </cols>
  <sheetData>
    <row r="2" spans="2:6">
      <c r="B2" s="804" t="s">
        <v>451</v>
      </c>
      <c r="C2" s="804"/>
      <c r="D2" s="804"/>
    </row>
    <row r="3" spans="2:6">
      <c r="B3" s="313"/>
      <c r="C3" s="313" t="s">
        <v>195</v>
      </c>
      <c r="D3" s="313" t="s">
        <v>257</v>
      </c>
    </row>
    <row r="4" spans="2:6">
      <c r="B4" s="313">
        <v>2015</v>
      </c>
      <c r="C4" s="369">
        <f>'VEIC TEPF'!C19</f>
        <v>5349341.5249058036</v>
      </c>
      <c r="D4" s="367">
        <f>'VEIC TEPF'!C32</f>
        <v>63908.354869257819</v>
      </c>
      <c r="F4" s="749"/>
    </row>
    <row r="5" spans="2:6">
      <c r="B5" s="313">
        <v>2016</v>
      </c>
      <c r="C5" s="369">
        <f>'VEIC TEPF'!D19</f>
        <v>5856090.3511468926</v>
      </c>
      <c r="D5" s="367">
        <f>'VEIC TEPF'!D32</f>
        <v>76986.414962788345</v>
      </c>
    </row>
    <row r="6" spans="2:6">
      <c r="B6" s="313">
        <v>2017</v>
      </c>
      <c r="C6" s="369">
        <f>'VEIC TEPF'!E19</f>
        <v>6256374.6939400965</v>
      </c>
      <c r="D6" s="367">
        <f>'VEIC TEPF'!E32</f>
        <v>81459.306193944591</v>
      </c>
    </row>
    <row r="7" spans="2:6">
      <c r="B7" s="313">
        <v>2018</v>
      </c>
      <c r="C7" s="369">
        <f>'VEIC TEPF'!F19</f>
        <v>6625317.7771716183</v>
      </c>
      <c r="D7" s="367">
        <f>'VEIC TEPF'!F32</f>
        <v>84772.599978658138</v>
      </c>
    </row>
    <row r="8" spans="2:6">
      <c r="B8" s="313">
        <v>2019</v>
      </c>
      <c r="C8" s="369">
        <f>'VEIC TEPF'!G19</f>
        <v>7192043.5444697235</v>
      </c>
      <c r="D8" s="367">
        <f>'VEIC TEPF'!G32</f>
        <v>90426.330722767016</v>
      </c>
    </row>
    <row r="9" spans="2:6">
      <c r="B9" s="313">
        <v>2020</v>
      </c>
      <c r="C9" s="369">
        <f>'VEIC TEPF'!H19</f>
        <v>7500682.6382795293</v>
      </c>
      <c r="D9" s="367">
        <f>'VEIC TEPF'!H32</f>
        <v>92817.293265167042</v>
      </c>
    </row>
    <row r="10" spans="2:6">
      <c r="B10" s="313">
        <v>2021</v>
      </c>
      <c r="C10" s="369">
        <f>'VEIC TEPF'!I19</f>
        <v>7707212.3136554239</v>
      </c>
      <c r="D10" s="367">
        <f>'VEIC TEPF'!I32</f>
        <v>94531.139152721269</v>
      </c>
    </row>
    <row r="11" spans="2:6">
      <c r="B11" s="313">
        <v>2022</v>
      </c>
      <c r="C11" s="369">
        <f>'VEIC TEPF'!J19</f>
        <v>8049298.0879804911</v>
      </c>
      <c r="D11" s="367">
        <f>'VEIC TEPF'!J32</f>
        <v>97906.444667836287</v>
      </c>
    </row>
    <row r="12" spans="2:6">
      <c r="B12" s="313">
        <v>2023</v>
      </c>
      <c r="C12" s="369">
        <f>'VEIC TEPF'!K19</f>
        <v>8037072.2428779677</v>
      </c>
      <c r="D12" s="367">
        <f>'VEIC TEPF'!K32</f>
        <v>97258.540564398179</v>
      </c>
    </row>
    <row r="13" spans="2:6">
      <c r="B13" s="313">
        <v>2024</v>
      </c>
      <c r="C13" s="369">
        <f>'VEIC TEPF'!L19</f>
        <v>8615968.111122366</v>
      </c>
      <c r="D13" s="367">
        <f>'VEIC TEPF'!L32</f>
        <v>103794.04931710249</v>
      </c>
    </row>
  </sheetData>
  <mergeCells count="1">
    <mergeCell ref="B2:D2"/>
  </mergeCells>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A2:F10"/>
  <sheetViews>
    <sheetView showGridLines="0" workbookViewId="0">
      <selection activeCell="A2" sqref="A2:F10"/>
    </sheetView>
  </sheetViews>
  <sheetFormatPr defaultRowHeight="15"/>
  <cols>
    <col min="1" max="1" width="3.42578125" customWidth="1"/>
    <col min="2" max="2" width="41.7109375" customWidth="1"/>
    <col min="3" max="5" width="11.42578125" bestFit="1" customWidth="1"/>
    <col min="6" max="6" width="12.42578125" bestFit="1" customWidth="1"/>
  </cols>
  <sheetData>
    <row r="2" spans="1:6" ht="15.75">
      <c r="A2" s="332" t="s">
        <v>402</v>
      </c>
      <c r="B2" s="658"/>
    </row>
    <row r="3" spans="1:6">
      <c r="A3" s="645"/>
      <c r="B3" s="651"/>
      <c r="C3" s="652">
        <v>2015</v>
      </c>
      <c r="D3" s="652">
        <v>2016</v>
      </c>
      <c r="E3" s="652">
        <v>2017</v>
      </c>
      <c r="F3" s="650" t="s">
        <v>45</v>
      </c>
    </row>
    <row r="4" spans="1:6">
      <c r="A4" s="646" t="s">
        <v>46</v>
      </c>
      <c r="B4" s="73"/>
      <c r="C4" s="73"/>
      <c r="D4" s="73"/>
      <c r="E4" s="73"/>
      <c r="F4" s="641"/>
    </row>
    <row r="5" spans="1:6">
      <c r="A5" s="647" t="s">
        <v>404</v>
      </c>
      <c r="B5" s="73"/>
      <c r="C5" s="653">
        <f>'DPS Recommendation'!C15</f>
        <v>1842773.8791940133</v>
      </c>
      <c r="D5" s="653">
        <f>'DPS Recommendation'!D15</f>
        <v>1986117.6118683673</v>
      </c>
      <c r="E5" s="653">
        <f>'DPS Recommendation'!E15</f>
        <v>2117160.9470770285</v>
      </c>
      <c r="F5" s="352">
        <f>SUM(C5:E5)</f>
        <v>5946052.4381394088</v>
      </c>
    </row>
    <row r="6" spans="1:6">
      <c r="A6" s="76"/>
      <c r="B6" s="73"/>
      <c r="C6" s="73"/>
      <c r="D6" s="73"/>
      <c r="E6" s="73"/>
      <c r="F6" s="334"/>
    </row>
    <row r="7" spans="1:6">
      <c r="A7" s="649" t="s">
        <v>56</v>
      </c>
      <c r="B7" s="73"/>
      <c r="C7" s="73"/>
      <c r="D7" s="73"/>
      <c r="E7" s="73"/>
      <c r="F7" s="334"/>
    </row>
    <row r="8" spans="1:6">
      <c r="A8" s="754" t="s">
        <v>404</v>
      </c>
      <c r="B8" s="333"/>
      <c r="C8" s="643">
        <f>'DPS Recommendation'!C29</f>
        <v>242900.13452113795</v>
      </c>
      <c r="D8" s="643">
        <f>'DPS Recommendation'!D29</f>
        <v>263454.45239702263</v>
      </c>
      <c r="E8" s="643">
        <f>'DPS Recommendation'!E29</f>
        <v>280331.050451544</v>
      </c>
      <c r="F8" s="642">
        <f>SUM(C8:E8)</f>
        <v>786685.63736970455</v>
      </c>
    </row>
    <row r="9" spans="1:6">
      <c r="A9" s="8"/>
      <c r="B9" s="77"/>
      <c r="C9" s="54"/>
      <c r="D9" s="54"/>
      <c r="E9" s="54"/>
      <c r="F9" s="644"/>
    </row>
    <row r="10" spans="1:6" ht="15.75">
      <c r="A10" s="8"/>
      <c r="C10" s="333"/>
      <c r="D10" s="643"/>
      <c r="E10" s="659" t="s">
        <v>325</v>
      </c>
      <c r="F10" s="660">
        <f>F5+F8</f>
        <v>6732738.0755091133</v>
      </c>
    </row>
  </sheetData>
  <pageMargins left="0.7" right="0.7" top="0.75" bottom="0.75" header="0.3" footer="0.3"/>
  <pageSetup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76"/>
  <sheetViews>
    <sheetView topLeftCell="A16" workbookViewId="0">
      <selection activeCell="B25" sqref="B25"/>
    </sheetView>
  </sheetViews>
  <sheetFormatPr defaultColWidth="29.140625" defaultRowHeight="12.75"/>
  <cols>
    <col min="1" max="1" width="40.140625" style="258" customWidth="1"/>
    <col min="2" max="2" width="10.28515625" style="258" customWidth="1"/>
    <col min="3" max="11" width="9.140625" style="258" bestFit="1" customWidth="1"/>
    <col min="12" max="13" width="9.42578125" style="258" bestFit="1" customWidth="1"/>
    <col min="14" max="21" width="9.140625" style="258" bestFit="1" customWidth="1"/>
    <col min="22" max="35" width="5.85546875" style="258" customWidth="1"/>
    <col min="36" max="16384" width="29.140625" style="258"/>
  </cols>
  <sheetData>
    <row r="1" spans="1:22">
      <c r="A1" s="256" t="s">
        <v>166</v>
      </c>
      <c r="B1" s="257">
        <v>2014</v>
      </c>
      <c r="C1" s="257">
        <f>B1+1</f>
        <v>2015</v>
      </c>
      <c r="D1" s="257">
        <f t="shared" ref="D1:U1" si="0">C1+1</f>
        <v>2016</v>
      </c>
      <c r="E1" s="257">
        <f t="shared" si="0"/>
        <v>2017</v>
      </c>
      <c r="F1" s="257">
        <f t="shared" si="0"/>
        <v>2018</v>
      </c>
      <c r="G1" s="257">
        <f t="shared" si="0"/>
        <v>2019</v>
      </c>
      <c r="H1" s="257">
        <f t="shared" si="0"/>
        <v>2020</v>
      </c>
      <c r="I1" s="257">
        <f t="shared" si="0"/>
        <v>2021</v>
      </c>
      <c r="J1" s="257">
        <f t="shared" si="0"/>
        <v>2022</v>
      </c>
      <c r="K1" s="257">
        <f t="shared" si="0"/>
        <v>2023</v>
      </c>
      <c r="L1" s="257">
        <f t="shared" si="0"/>
        <v>2024</v>
      </c>
      <c r="M1" s="257">
        <f t="shared" si="0"/>
        <v>2025</v>
      </c>
      <c r="N1" s="257">
        <f t="shared" si="0"/>
        <v>2026</v>
      </c>
      <c r="O1" s="257">
        <f t="shared" si="0"/>
        <v>2027</v>
      </c>
      <c r="P1" s="257">
        <f t="shared" si="0"/>
        <v>2028</v>
      </c>
      <c r="Q1" s="257">
        <f t="shared" si="0"/>
        <v>2029</v>
      </c>
      <c r="R1" s="257">
        <f t="shared" si="0"/>
        <v>2030</v>
      </c>
      <c r="S1" s="257">
        <f t="shared" si="0"/>
        <v>2031</v>
      </c>
      <c r="T1" s="257">
        <f t="shared" si="0"/>
        <v>2032</v>
      </c>
      <c r="U1" s="257">
        <f t="shared" si="0"/>
        <v>2033</v>
      </c>
    </row>
    <row r="2" spans="1:22" ht="38.25">
      <c r="A2" s="259" t="s">
        <v>167</v>
      </c>
      <c r="B2" s="260">
        <f>B63+B64</f>
        <v>77286.223164634939</v>
      </c>
      <c r="C2" s="260">
        <f t="shared" ref="C2:U2" si="1">C63+C64</f>
        <v>82364.549842842942</v>
      </c>
      <c r="D2" s="260">
        <f t="shared" si="1"/>
        <v>83300.541287727901</v>
      </c>
      <c r="E2" s="260">
        <f t="shared" si="1"/>
        <v>82792.858581506822</v>
      </c>
      <c r="F2" s="260">
        <f t="shared" si="1"/>
        <v>81965.993655484344</v>
      </c>
      <c r="G2" s="260">
        <f t="shared" si="1"/>
        <v>81334.523246762095</v>
      </c>
      <c r="H2" s="260">
        <f t="shared" si="1"/>
        <v>81427.362984959938</v>
      </c>
      <c r="I2" s="260">
        <f t="shared" si="1"/>
        <v>71159.479279921768</v>
      </c>
      <c r="J2" s="260">
        <f t="shared" si="1"/>
        <v>70653.702960918745</v>
      </c>
      <c r="K2" s="260">
        <f t="shared" si="1"/>
        <v>70404.477067216809</v>
      </c>
      <c r="L2" s="260">
        <f t="shared" si="1"/>
        <v>69747.825312881832</v>
      </c>
      <c r="M2" s="260">
        <f t="shared" si="1"/>
        <v>69517.621197663422</v>
      </c>
      <c r="N2" s="260">
        <f t="shared" si="1"/>
        <v>70330.196256802737</v>
      </c>
      <c r="O2" s="260">
        <f t="shared" si="1"/>
        <v>69893.365802456276</v>
      </c>
      <c r="P2" s="260">
        <f t="shared" si="1"/>
        <v>71008.819283580888</v>
      </c>
      <c r="Q2" s="260">
        <f t="shared" si="1"/>
        <v>71235.741525212798</v>
      </c>
      <c r="R2" s="260">
        <f t="shared" si="1"/>
        <v>71173.212492825769</v>
      </c>
      <c r="S2" s="260">
        <f t="shared" si="1"/>
        <v>70639.781581832081</v>
      </c>
      <c r="T2" s="260">
        <f t="shared" si="1"/>
        <v>70874.162503068364</v>
      </c>
      <c r="U2" s="260">
        <f t="shared" si="1"/>
        <v>71122.270003336031</v>
      </c>
    </row>
    <row r="3" spans="1:22" ht="38.25">
      <c r="A3" s="259" t="s">
        <v>168</v>
      </c>
      <c r="B3" s="260">
        <v>85347.692258692798</v>
      </c>
      <c r="C3" s="260">
        <v>89509.188998812635</v>
      </c>
      <c r="D3" s="260">
        <v>93195.189224947535</v>
      </c>
      <c r="E3" s="260">
        <v>85065.507348687432</v>
      </c>
      <c r="F3" s="260">
        <v>77288.609308357132</v>
      </c>
      <c r="G3" s="260">
        <v>70362.398373070377</v>
      </c>
      <c r="H3" s="260">
        <v>64082.068135096313</v>
      </c>
      <c r="I3" s="260">
        <v>57033.345800576826</v>
      </c>
      <c r="J3" s="260">
        <v>54815.946372051476</v>
      </c>
      <c r="K3" s="260">
        <v>33678.051135334536</v>
      </c>
      <c r="L3" s="260">
        <v>34054.318141790005</v>
      </c>
      <c r="M3" s="260">
        <v>36854.264717053637</v>
      </c>
      <c r="N3" s="260">
        <v>45092.278250933603</v>
      </c>
      <c r="O3" s="260">
        <v>44787.865418891539</v>
      </c>
      <c r="P3" s="260">
        <v>56315.643743237364</v>
      </c>
      <c r="Q3" s="260">
        <v>87998.419951983422</v>
      </c>
      <c r="R3" s="260">
        <v>90808.782261310334</v>
      </c>
      <c r="S3" s="260">
        <v>86814.411312210912</v>
      </c>
      <c r="T3" s="260">
        <v>81035.174546920127</v>
      </c>
      <c r="U3" s="260">
        <v>68757.256393451782</v>
      </c>
    </row>
    <row r="4" spans="1:22" ht="38.25">
      <c r="A4" s="259" t="s">
        <v>169</v>
      </c>
      <c r="B4" s="260">
        <f>B2+B3</f>
        <v>162633.91542332774</v>
      </c>
      <c r="C4" s="260">
        <f t="shared" ref="C4:U4" si="2">C2+C3</f>
        <v>171873.73884165558</v>
      </c>
      <c r="D4" s="260">
        <f t="shared" si="2"/>
        <v>176495.73051267542</v>
      </c>
      <c r="E4" s="260">
        <f t="shared" si="2"/>
        <v>167858.36593019427</v>
      </c>
      <c r="F4" s="260">
        <f t="shared" si="2"/>
        <v>159254.60296384146</v>
      </c>
      <c r="G4" s="260">
        <f t="shared" si="2"/>
        <v>151696.92161983246</v>
      </c>
      <c r="H4" s="260">
        <f t="shared" si="2"/>
        <v>145509.43112005625</v>
      </c>
      <c r="I4" s="260">
        <f t="shared" si="2"/>
        <v>128192.82508049859</v>
      </c>
      <c r="J4" s="260">
        <f t="shared" si="2"/>
        <v>125469.64933297022</v>
      </c>
      <c r="K4" s="260">
        <f t="shared" si="2"/>
        <v>104082.52820255134</v>
      </c>
      <c r="L4" s="260">
        <f t="shared" si="2"/>
        <v>103802.14345467184</v>
      </c>
      <c r="M4" s="260">
        <f t="shared" si="2"/>
        <v>106371.88591471706</v>
      </c>
      <c r="N4" s="260">
        <f t="shared" si="2"/>
        <v>115422.47450773633</v>
      </c>
      <c r="O4" s="260">
        <f t="shared" si="2"/>
        <v>114681.23122134781</v>
      </c>
      <c r="P4" s="260">
        <f t="shared" si="2"/>
        <v>127324.46302681825</v>
      </c>
      <c r="Q4" s="260">
        <f t="shared" si="2"/>
        <v>159234.1614771962</v>
      </c>
      <c r="R4" s="260">
        <f t="shared" si="2"/>
        <v>161981.9947541361</v>
      </c>
      <c r="S4" s="260">
        <f t="shared" si="2"/>
        <v>157454.19289404299</v>
      </c>
      <c r="T4" s="260">
        <f t="shared" si="2"/>
        <v>151909.33704998851</v>
      </c>
      <c r="U4" s="260">
        <f t="shared" si="2"/>
        <v>139879.52639678781</v>
      </c>
      <c r="V4" s="261"/>
    </row>
    <row r="5" spans="1:22">
      <c r="B5" s="262"/>
      <c r="C5" s="262"/>
      <c r="D5" s="262"/>
      <c r="E5" s="262"/>
      <c r="F5" s="262"/>
      <c r="G5" s="262"/>
      <c r="H5" s="262"/>
      <c r="I5" s="262"/>
      <c r="J5" s="262"/>
      <c r="K5" s="262"/>
      <c r="L5" s="262"/>
      <c r="M5" s="262"/>
      <c r="N5" s="262"/>
      <c r="O5" s="262"/>
      <c r="P5" s="262"/>
      <c r="Q5" s="262"/>
      <c r="R5" s="262"/>
      <c r="S5" s="262"/>
      <c r="T5" s="262"/>
      <c r="U5" s="262"/>
    </row>
    <row r="6" spans="1:22">
      <c r="A6" s="263" t="s">
        <v>170</v>
      </c>
      <c r="B6" s="255">
        <v>2135744.81</v>
      </c>
      <c r="C6" s="255">
        <v>2164233.5299999998</v>
      </c>
      <c r="D6" s="255">
        <v>2206598.59</v>
      </c>
      <c r="E6" s="255">
        <v>2238964.02</v>
      </c>
      <c r="F6" s="255">
        <v>2272715.84</v>
      </c>
      <c r="G6" s="255">
        <v>2297198.9900000002</v>
      </c>
      <c r="H6" s="255">
        <v>2208142.7400000002</v>
      </c>
      <c r="I6" s="255">
        <v>2255344.98</v>
      </c>
      <c r="J6" s="255">
        <v>2273697.34</v>
      </c>
      <c r="K6" s="255">
        <v>2203391.88</v>
      </c>
      <c r="L6" s="255">
        <v>2243235.4900000002</v>
      </c>
      <c r="M6" s="255">
        <v>2275181.48</v>
      </c>
      <c r="N6" s="255">
        <v>2306859.9900000002</v>
      </c>
      <c r="O6" s="255">
        <v>2337853.7200000002</v>
      </c>
      <c r="P6" s="255">
        <v>2365359.85</v>
      </c>
      <c r="Q6" s="255">
        <v>2348214.15</v>
      </c>
      <c r="R6" s="255">
        <v>2417494.2000000002</v>
      </c>
      <c r="S6" s="255">
        <v>2430187.2400000002</v>
      </c>
      <c r="T6" s="255">
        <v>2450310.02</v>
      </c>
      <c r="U6" s="255">
        <v>2459955.15</v>
      </c>
    </row>
    <row r="7" spans="1:22">
      <c r="A7" s="263" t="s">
        <v>171</v>
      </c>
      <c r="B7" s="255">
        <f>(B42+B43+B44)</f>
        <v>2864742.2017270038</v>
      </c>
      <c r="C7" s="255">
        <f t="shared" ref="C7:U7" si="3">(C42+C43+C44)</f>
        <v>2917343.2759160986</v>
      </c>
      <c r="D7" s="255">
        <f t="shared" si="3"/>
        <v>2981036.4135923577</v>
      </c>
      <c r="E7" s="255">
        <f t="shared" si="3"/>
        <v>3032825.488203472</v>
      </c>
      <c r="F7" s="255">
        <f t="shared" si="3"/>
        <v>3087870.0718454197</v>
      </c>
      <c r="G7" s="255">
        <f t="shared" si="3"/>
        <v>3142698.3255827385</v>
      </c>
      <c r="H7" s="255">
        <f t="shared" si="3"/>
        <v>3192665.2397639975</v>
      </c>
      <c r="I7" s="255">
        <f t="shared" si="3"/>
        <v>3243890.9933325374</v>
      </c>
      <c r="J7" s="255">
        <f t="shared" si="3"/>
        <v>3280840.7081325492</v>
      </c>
      <c r="K7" s="255">
        <f t="shared" si="3"/>
        <v>3317681.143210561</v>
      </c>
      <c r="L7" s="255">
        <f t="shared" si="3"/>
        <v>3356208.519112403</v>
      </c>
      <c r="M7" s="255">
        <f t="shared" si="3"/>
        <v>3396755.7771757171</v>
      </c>
      <c r="N7" s="255">
        <f t="shared" si="3"/>
        <v>3441155.1898180814</v>
      </c>
      <c r="O7" s="255">
        <f t="shared" si="3"/>
        <v>3486266.9908208097</v>
      </c>
      <c r="P7" s="255">
        <f t="shared" si="3"/>
        <v>3534643.5156084979</v>
      </c>
      <c r="Q7" s="255">
        <f t="shared" si="3"/>
        <v>3579597.8715243703</v>
      </c>
      <c r="R7" s="255">
        <f t="shared" si="3"/>
        <v>3615094.8281015046</v>
      </c>
      <c r="S7" s="255">
        <f t="shared" si="3"/>
        <v>3651498.3873299821</v>
      </c>
      <c r="T7" s="255">
        <f t="shared" si="3"/>
        <v>3688242.423920033</v>
      </c>
      <c r="U7" s="255">
        <f t="shared" si="3"/>
        <v>3725640.135561232</v>
      </c>
    </row>
    <row r="8" spans="1:22" ht="25.5">
      <c r="A8" s="264" t="s">
        <v>172</v>
      </c>
      <c r="B8" s="255">
        <f>B6+B7</f>
        <v>5000487.0117270034</v>
      </c>
      <c r="C8" s="255">
        <f>C6+C7</f>
        <v>5081576.8059160989</v>
      </c>
      <c r="D8" s="255">
        <f t="shared" ref="D8:U8" si="4">D6+D7</f>
        <v>5187635.003592357</v>
      </c>
      <c r="E8" s="255">
        <f t="shared" si="4"/>
        <v>5271789.508203472</v>
      </c>
      <c r="F8" s="255">
        <f t="shared" si="4"/>
        <v>5360585.9118454196</v>
      </c>
      <c r="G8" s="255">
        <f t="shared" si="4"/>
        <v>5439897.3155827392</v>
      </c>
      <c r="H8" s="255">
        <f t="shared" si="4"/>
        <v>5400807.9797639977</v>
      </c>
      <c r="I8" s="255">
        <f t="shared" si="4"/>
        <v>5499235.9733325373</v>
      </c>
      <c r="J8" s="255">
        <f t="shared" si="4"/>
        <v>5554538.048132549</v>
      </c>
      <c r="K8" s="255">
        <f t="shared" si="4"/>
        <v>5521073.0232105609</v>
      </c>
      <c r="L8" s="255">
        <f t="shared" si="4"/>
        <v>5599444.0091124028</v>
      </c>
      <c r="M8" s="255">
        <f t="shared" si="4"/>
        <v>5671937.2571757175</v>
      </c>
      <c r="N8" s="255">
        <f t="shared" si="4"/>
        <v>5748015.1798180817</v>
      </c>
      <c r="O8" s="255">
        <f t="shared" si="4"/>
        <v>5824120.7108208099</v>
      </c>
      <c r="P8" s="255">
        <f t="shared" si="4"/>
        <v>5900003.3656084985</v>
      </c>
      <c r="Q8" s="255">
        <f t="shared" si="4"/>
        <v>5927812.0215243697</v>
      </c>
      <c r="R8" s="255">
        <f t="shared" si="4"/>
        <v>6032589.0281015048</v>
      </c>
      <c r="S8" s="255">
        <f t="shared" si="4"/>
        <v>6081685.6273299828</v>
      </c>
      <c r="T8" s="255">
        <f t="shared" si="4"/>
        <v>6138552.4439200331</v>
      </c>
      <c r="U8" s="255">
        <f t="shared" si="4"/>
        <v>6185595.2855612319</v>
      </c>
    </row>
    <row r="9" spans="1:22">
      <c r="A9" s="265" t="s">
        <v>173</v>
      </c>
      <c r="B9" s="266">
        <f>B8-B4</f>
        <v>4837853.0963036753</v>
      </c>
      <c r="C9" s="266">
        <f>C8-SUM($B4:C4)</f>
        <v>4747069.1516511152</v>
      </c>
      <c r="D9" s="266">
        <f>D8-SUM($B4:D4)</f>
        <v>4676631.6188146984</v>
      </c>
      <c r="E9" s="266">
        <f>E8-SUM($B4:E4)</f>
        <v>4592927.7574956194</v>
      </c>
      <c r="F9" s="266">
        <f>F8-SUM($B4:F4)</f>
        <v>4522469.5581737254</v>
      </c>
      <c r="G9" s="266">
        <f>G8-SUM($B4:G4)</f>
        <v>4450084.0402912125</v>
      </c>
      <c r="H9" s="266">
        <f>H8-SUM($B4:H4)</f>
        <v>4265485.2733524144</v>
      </c>
      <c r="I9" s="266">
        <f>I8-SUM($B4:I4)</f>
        <v>4235720.4418404559</v>
      </c>
      <c r="J9" s="266">
        <f>J8-SUM($B4:J4)</f>
        <v>4165552.8673074972</v>
      </c>
      <c r="K9" s="266">
        <f>K8-SUM($B4:K4)</f>
        <v>4028005.3141829576</v>
      </c>
      <c r="L9" s="266">
        <f>L8-SUM(C4:L4)</f>
        <v>4165208.0720534553</v>
      </c>
      <c r="M9" s="266">
        <f t="shared" ref="M9:U9" si="5">M8-SUM(D4:M4)</f>
        <v>4303203.1730437083</v>
      </c>
      <c r="N9" s="266">
        <f t="shared" si="5"/>
        <v>4440354.3516910113</v>
      </c>
      <c r="O9" s="266">
        <f t="shared" si="5"/>
        <v>4569637.0174025865</v>
      </c>
      <c r="P9" s="266">
        <f t="shared" si="5"/>
        <v>4677449.8121272977</v>
      </c>
      <c r="Q9" s="266">
        <f t="shared" si="5"/>
        <v>4697721.2281858055</v>
      </c>
      <c r="R9" s="266">
        <f t="shared" si="5"/>
        <v>4786025.6711288616</v>
      </c>
      <c r="S9" s="266">
        <f t="shared" si="5"/>
        <v>4805860.9025437944</v>
      </c>
      <c r="T9" s="266">
        <f t="shared" si="5"/>
        <v>4836288.0314168269</v>
      </c>
      <c r="U9" s="266">
        <f t="shared" si="5"/>
        <v>4847533.8748637894</v>
      </c>
    </row>
    <row r="10" spans="1:22">
      <c r="B10" s="262"/>
      <c r="C10" s="262"/>
      <c r="D10" s="262"/>
      <c r="E10" s="262"/>
      <c r="F10" s="262"/>
      <c r="G10" s="262"/>
      <c r="H10" s="262"/>
      <c r="I10" s="262"/>
      <c r="J10" s="262"/>
      <c r="K10" s="262"/>
      <c r="L10" s="262"/>
      <c r="M10" s="262"/>
      <c r="N10" s="262"/>
      <c r="O10" s="262"/>
      <c r="P10" s="262"/>
      <c r="Q10" s="262"/>
      <c r="R10" s="262"/>
      <c r="S10" s="262"/>
      <c r="T10" s="262"/>
      <c r="U10" s="262"/>
    </row>
    <row r="11" spans="1:22">
      <c r="A11" s="267" t="s">
        <v>174</v>
      </c>
      <c r="B11" s="268">
        <f>B2/B6</f>
        <v>3.6187012045055575E-2</v>
      </c>
      <c r="C11" s="268">
        <f t="shared" ref="C11:U12" si="6">C2/C6</f>
        <v>3.8057145266963383E-2</v>
      </c>
      <c r="D11" s="268">
        <f t="shared" si="6"/>
        <v>3.7750654634347389E-2</v>
      </c>
      <c r="E11" s="268">
        <f t="shared" si="6"/>
        <v>3.6978199668213883E-2</v>
      </c>
      <c r="F11" s="268">
        <f t="shared" si="6"/>
        <v>3.6065218630888914E-2</v>
      </c>
      <c r="G11" s="268">
        <f t="shared" si="6"/>
        <v>3.5405954643381629E-2</v>
      </c>
      <c r="H11" s="268">
        <f t="shared" si="6"/>
        <v>3.6875950775247406E-2</v>
      </c>
      <c r="I11" s="268">
        <f t="shared" si="6"/>
        <v>3.1551483214741619E-2</v>
      </c>
      <c r="J11" s="268">
        <f t="shared" si="6"/>
        <v>3.1074365843660946E-2</v>
      </c>
      <c r="K11" s="268">
        <f t="shared" si="6"/>
        <v>3.1952771409512873E-2</v>
      </c>
      <c r="L11" s="268">
        <f t="shared" si="6"/>
        <v>3.1092511519101289E-2</v>
      </c>
      <c r="M11" s="268">
        <f t="shared" si="6"/>
        <v>3.0554758734087192E-2</v>
      </c>
      <c r="N11" s="268">
        <f t="shared" si="6"/>
        <v>3.0487414304152343E-2</v>
      </c>
      <c r="O11" s="268">
        <f t="shared" si="6"/>
        <v>2.9896381114236811E-2</v>
      </c>
      <c r="P11" s="268">
        <f t="shared" si="6"/>
        <v>3.0020302950344271E-2</v>
      </c>
      <c r="Q11" s="268">
        <f t="shared" si="6"/>
        <v>3.0336135026361545E-2</v>
      </c>
      <c r="R11" s="268">
        <f t="shared" si="6"/>
        <v>2.9440903102404863E-2</v>
      </c>
      <c r="S11" s="268">
        <f t="shared" si="6"/>
        <v>2.9067629201210057E-2</v>
      </c>
      <c r="T11" s="268">
        <f t="shared" si="6"/>
        <v>2.8924569513480731E-2</v>
      </c>
      <c r="U11" s="268">
        <f t="shared" si="6"/>
        <v>2.8912018986742921E-2</v>
      </c>
    </row>
    <row r="12" spans="1:22">
      <c r="A12" s="267" t="s">
        <v>175</v>
      </c>
      <c r="B12" s="268">
        <f>B3/B7</f>
        <v>2.979245120459395E-2</v>
      </c>
      <c r="C12" s="268">
        <f t="shared" si="6"/>
        <v>3.0681747238231718E-2</v>
      </c>
      <c r="D12" s="268">
        <f t="shared" si="6"/>
        <v>3.1262680589882769E-2</v>
      </c>
      <c r="E12" s="268">
        <f t="shared" si="6"/>
        <v>2.8048269733804213E-2</v>
      </c>
      <c r="F12" s="268">
        <f t="shared" si="6"/>
        <v>2.5029747855345074E-2</v>
      </c>
      <c r="G12" s="268">
        <f t="shared" si="6"/>
        <v>2.2389167232595687E-2</v>
      </c>
      <c r="H12" s="268">
        <f t="shared" si="6"/>
        <v>2.0071652779930435E-2</v>
      </c>
      <c r="I12" s="268">
        <f t="shared" si="6"/>
        <v>1.7581770138948141E-2</v>
      </c>
      <c r="J12" s="268">
        <f t="shared" si="6"/>
        <v>1.6707896313336301E-2</v>
      </c>
      <c r="K12" s="268">
        <f t="shared" si="6"/>
        <v>1.0151081337112424E-2</v>
      </c>
      <c r="L12" s="268">
        <f t="shared" si="6"/>
        <v>1.014666339944699E-2</v>
      </c>
      <c r="M12" s="268">
        <f t="shared" si="6"/>
        <v>1.0849842359787391E-2</v>
      </c>
      <c r="N12" s="268">
        <f t="shared" si="6"/>
        <v>1.3103820014963472E-2</v>
      </c>
      <c r="O12" s="268">
        <f t="shared" si="6"/>
        <v>1.2846940735410126E-2</v>
      </c>
      <c r="P12" s="268">
        <f t="shared" si="6"/>
        <v>1.5932481873930215E-2</v>
      </c>
      <c r="Q12" s="268">
        <f t="shared" si="6"/>
        <v>2.458332558861125E-2</v>
      </c>
      <c r="R12" s="268">
        <f t="shared" si="6"/>
        <v>2.5119336166625338E-2</v>
      </c>
      <c r="S12" s="268">
        <f t="shared" si="6"/>
        <v>2.3775010174847868E-2</v>
      </c>
      <c r="T12" s="268">
        <f t="shared" si="6"/>
        <v>2.1971216973528607E-2</v>
      </c>
      <c r="U12" s="268">
        <f t="shared" si="6"/>
        <v>1.8455152374262835E-2</v>
      </c>
    </row>
    <row r="13" spans="1:22">
      <c r="A13" s="267" t="s">
        <v>176</v>
      </c>
      <c r="B13" s="269">
        <f>B4/B9</f>
        <v>3.3616960289180119E-2</v>
      </c>
      <c r="C13" s="269">
        <f t="shared" ref="C13:T13" si="7">C4/C9</f>
        <v>3.6206285046821961E-2</v>
      </c>
      <c r="D13" s="269">
        <f t="shared" si="7"/>
        <v>3.7739925848042019E-2</v>
      </c>
      <c r="E13" s="269">
        <f t="shared" si="7"/>
        <v>3.6547138294577099E-2</v>
      </c>
      <c r="F13" s="269">
        <f t="shared" si="7"/>
        <v>3.5214079589769985E-2</v>
      </c>
      <c r="G13" s="269">
        <f>G4/G9</f>
        <v>3.4088552091682621E-2</v>
      </c>
      <c r="H13" s="269">
        <f>H4/H9</f>
        <v>3.4113218495698761E-2</v>
      </c>
      <c r="I13" s="269">
        <f t="shared" si="7"/>
        <v>3.0264703924793898E-2</v>
      </c>
      <c r="J13" s="269">
        <f t="shared" si="7"/>
        <v>3.0120767477876346E-2</v>
      </c>
      <c r="K13" s="269">
        <f t="shared" si="7"/>
        <v>2.5839719683603123E-2</v>
      </c>
      <c r="L13" s="269">
        <f t="shared" si="7"/>
        <v>2.4921238425310452E-2</v>
      </c>
      <c r="M13" s="269">
        <f t="shared" si="7"/>
        <v>2.4719233937420371E-2</v>
      </c>
      <c r="N13" s="269">
        <f t="shared" si="7"/>
        <v>2.5993978265221158E-2</v>
      </c>
      <c r="O13" s="269">
        <f t="shared" si="7"/>
        <v>2.5096354652373115E-2</v>
      </c>
      <c r="P13" s="269">
        <f t="shared" si="7"/>
        <v>2.7220914844816105E-2</v>
      </c>
      <c r="Q13" s="269">
        <f t="shared" si="7"/>
        <v>3.389604315424443E-2</v>
      </c>
      <c r="R13" s="269">
        <f t="shared" si="7"/>
        <v>3.3844781847133305E-2</v>
      </c>
      <c r="S13" s="269">
        <f t="shared" si="7"/>
        <v>3.2762952587891338E-2</v>
      </c>
      <c r="T13" s="269">
        <f t="shared" si="7"/>
        <v>3.1410316354852322E-2</v>
      </c>
      <c r="U13" s="269">
        <f>U4/U9</f>
        <v>2.8855812049527613E-2</v>
      </c>
    </row>
    <row r="14" spans="1:22">
      <c r="A14" s="270" t="s">
        <v>177</v>
      </c>
      <c r="B14" s="269">
        <f t="shared" ref="B14:U14" si="8">B20/B26</f>
        <v>3.3685176852262307E-2</v>
      </c>
      <c r="C14" s="269">
        <f t="shared" si="8"/>
        <v>3.6329391623408543E-2</v>
      </c>
      <c r="D14" s="269">
        <f t="shared" si="8"/>
        <v>3.7831732431773228E-2</v>
      </c>
      <c r="E14" s="269">
        <f t="shared" si="8"/>
        <v>3.6646356695331068E-2</v>
      </c>
      <c r="F14" s="269">
        <f t="shared" si="8"/>
        <v>3.5341627031835902E-2</v>
      </c>
      <c r="G14" s="269">
        <f t="shared" si="8"/>
        <v>3.4267009002993946E-2</v>
      </c>
      <c r="H14" s="269">
        <f t="shared" si="8"/>
        <v>3.4410684988947546E-2</v>
      </c>
      <c r="I14" s="269">
        <f t="shared" si="8"/>
        <v>3.0517815230652355E-2</v>
      </c>
      <c r="J14" s="269">
        <f t="shared" si="8"/>
        <v>3.0373109842066308E-2</v>
      </c>
      <c r="K14" s="269">
        <f t="shared" si="8"/>
        <v>2.6243507695832263E-2</v>
      </c>
      <c r="L14" s="269">
        <f t="shared" si="8"/>
        <v>2.6336526422280449E-2</v>
      </c>
      <c r="M14" s="269">
        <f t="shared" si="8"/>
        <v>2.7157104788683089E-2</v>
      </c>
      <c r="N14" s="269">
        <f t="shared" si="8"/>
        <v>2.9658333731677818E-2</v>
      </c>
      <c r="O14" s="269">
        <f t="shared" si="8"/>
        <v>2.9737606281336697E-2</v>
      </c>
      <c r="P14" s="269">
        <f t="shared" si="8"/>
        <v>3.3384730938416575E-2</v>
      </c>
      <c r="Q14" s="269">
        <f t="shared" si="8"/>
        <v>4.3004840469531284E-2</v>
      </c>
      <c r="R14" s="269">
        <f t="shared" si="8"/>
        <v>4.4359213666856932E-2</v>
      </c>
      <c r="S14" s="269">
        <f t="shared" si="8"/>
        <v>4.4448740010879353E-2</v>
      </c>
      <c r="T14" s="269">
        <f t="shared" si="8"/>
        <v>4.4109599954806282E-2</v>
      </c>
      <c r="U14" s="269">
        <f t="shared" si="8"/>
        <v>4.1847801350603814E-2</v>
      </c>
    </row>
    <row r="15" spans="1:22">
      <c r="A15" s="270" t="s">
        <v>178</v>
      </c>
      <c r="B15" s="269">
        <f t="shared" ref="B15:U15" si="9">B33/B39</f>
        <v>3.273107638658411E-2</v>
      </c>
      <c r="C15" s="269">
        <f t="shared" si="9"/>
        <v>3.4602917267040428E-2</v>
      </c>
      <c r="D15" s="269">
        <f t="shared" si="9"/>
        <v>3.6529504670614978E-2</v>
      </c>
      <c r="E15" s="269">
        <f t="shared" si="9"/>
        <v>3.5225470878587885E-2</v>
      </c>
      <c r="F15" s="269">
        <f t="shared" si="9"/>
        <v>3.3514783848787227E-2</v>
      </c>
      <c r="G15" s="269">
        <f t="shared" si="9"/>
        <v>3.1734619782242228E-2</v>
      </c>
      <c r="H15" s="269">
        <f t="shared" si="9"/>
        <v>3.0310146507487732E-2</v>
      </c>
      <c r="I15" s="269">
        <f t="shared" si="9"/>
        <v>2.7045083496577398E-2</v>
      </c>
      <c r="J15" s="269">
        <f t="shared" si="9"/>
        <v>2.6895256266400283E-2</v>
      </c>
      <c r="K15" s="269">
        <f t="shared" si="9"/>
        <v>2.0776384437916563E-2</v>
      </c>
      <c r="L15" s="269">
        <f t="shared" si="9"/>
        <v>2.0897872949771176E-2</v>
      </c>
      <c r="M15" s="269">
        <f t="shared" si="9"/>
        <v>2.2335261552262963E-2</v>
      </c>
      <c r="N15" s="269">
        <f t="shared" si="9"/>
        <v>2.5767931691392076E-2</v>
      </c>
      <c r="O15" s="269">
        <f t="shared" si="9"/>
        <v>2.6110864157307567E-2</v>
      </c>
      <c r="P15" s="269">
        <f t="shared" si="9"/>
        <v>3.0307062668909372E-2</v>
      </c>
      <c r="Q15" s="269">
        <f t="shared" si="9"/>
        <v>4.2164902058160848E-2</v>
      </c>
      <c r="R15" s="269">
        <f t="shared" si="9"/>
        <v>4.4513172948210909E-2</v>
      </c>
      <c r="S15" s="269">
        <f t="shared" si="9"/>
        <v>4.4454368222573988E-2</v>
      </c>
      <c r="T15" s="269">
        <f t="shared" si="9"/>
        <v>4.3493319084406068E-2</v>
      </c>
      <c r="U15" s="269">
        <f t="shared" si="9"/>
        <v>3.9755730092695889E-2</v>
      </c>
    </row>
    <row r="16" spans="1:22">
      <c r="B16" s="262"/>
      <c r="C16" s="262"/>
      <c r="D16" s="262"/>
      <c r="E16" s="262"/>
      <c r="F16" s="262"/>
      <c r="G16" s="262"/>
      <c r="H16" s="262"/>
      <c r="I16" s="262"/>
      <c r="J16" s="262"/>
      <c r="K16" s="262"/>
      <c r="L16" s="262"/>
      <c r="M16" s="262"/>
      <c r="N16" s="262"/>
      <c r="O16" s="262"/>
      <c r="P16" s="262"/>
      <c r="Q16" s="262"/>
      <c r="R16" s="262"/>
      <c r="S16" s="262"/>
      <c r="T16" s="262"/>
      <c r="U16" s="262"/>
    </row>
    <row r="17" spans="1:22">
      <c r="A17" s="256" t="s">
        <v>156</v>
      </c>
      <c r="B17" s="257">
        <v>2014</v>
      </c>
      <c r="C17" s="257">
        <f>B17+1</f>
        <v>2015</v>
      </c>
      <c r="D17" s="257">
        <f t="shared" ref="D17:U17" si="10">C17+1</f>
        <v>2016</v>
      </c>
      <c r="E17" s="257">
        <f t="shared" si="10"/>
        <v>2017</v>
      </c>
      <c r="F17" s="257">
        <f t="shared" si="10"/>
        <v>2018</v>
      </c>
      <c r="G17" s="257">
        <f t="shared" si="10"/>
        <v>2019</v>
      </c>
      <c r="H17" s="257">
        <f t="shared" si="10"/>
        <v>2020</v>
      </c>
      <c r="I17" s="257">
        <f t="shared" si="10"/>
        <v>2021</v>
      </c>
      <c r="J17" s="257">
        <f t="shared" si="10"/>
        <v>2022</v>
      </c>
      <c r="K17" s="257">
        <f t="shared" si="10"/>
        <v>2023</v>
      </c>
      <c r="L17" s="257">
        <f t="shared" si="10"/>
        <v>2024</v>
      </c>
      <c r="M17" s="257">
        <f t="shared" si="10"/>
        <v>2025</v>
      </c>
      <c r="N17" s="257">
        <f t="shared" si="10"/>
        <v>2026</v>
      </c>
      <c r="O17" s="257">
        <f t="shared" si="10"/>
        <v>2027</v>
      </c>
      <c r="P17" s="257">
        <f t="shared" si="10"/>
        <v>2028</v>
      </c>
      <c r="Q17" s="257">
        <f t="shared" si="10"/>
        <v>2029</v>
      </c>
      <c r="R17" s="257">
        <f t="shared" si="10"/>
        <v>2030</v>
      </c>
      <c r="S17" s="257">
        <f t="shared" si="10"/>
        <v>2031</v>
      </c>
      <c r="T17" s="257">
        <f t="shared" si="10"/>
        <v>2032</v>
      </c>
      <c r="U17" s="257">
        <f t="shared" si="10"/>
        <v>2033</v>
      </c>
    </row>
    <row r="18" spans="1:22" ht="38.25">
      <c r="A18" s="259" t="s">
        <v>167</v>
      </c>
      <c r="B18" s="260">
        <v>73788.538283233662</v>
      </c>
      <c r="C18" s="260">
        <v>78857.46639344166</v>
      </c>
      <c r="D18" s="260">
        <v>79800.44144326949</v>
      </c>
      <c r="E18" s="260">
        <v>79292.749788504341</v>
      </c>
      <c r="F18" s="260">
        <v>78464.217547953202</v>
      </c>
      <c r="G18" s="260">
        <v>77824.393177599617</v>
      </c>
      <c r="H18" s="260">
        <v>77912.424039668796</v>
      </c>
      <c r="I18" s="260">
        <v>68027.404199256707</v>
      </c>
      <c r="J18" s="260">
        <v>67535.309999924968</v>
      </c>
      <c r="K18" s="260">
        <v>67294.235655510041</v>
      </c>
      <c r="L18" s="260">
        <v>66644.074705486928</v>
      </c>
      <c r="M18" s="260">
        <v>66415.278651057015</v>
      </c>
      <c r="N18" s="260">
        <v>67174.495445318607</v>
      </c>
      <c r="O18" s="260">
        <v>66745.289197874969</v>
      </c>
      <c r="P18" s="260">
        <v>67822.098237120124</v>
      </c>
      <c r="Q18" s="260">
        <v>68048.86210064136</v>
      </c>
      <c r="R18" s="260">
        <v>67985.244631766516</v>
      </c>
      <c r="S18" s="260">
        <v>67460.804353734478</v>
      </c>
      <c r="T18" s="260">
        <v>67686.975007437781</v>
      </c>
      <c r="U18" s="260">
        <v>67935.388634811447</v>
      </c>
    </row>
    <row r="19" spans="1:22" ht="38.25">
      <c r="A19" s="259" t="s">
        <v>168</v>
      </c>
      <c r="B19" s="260">
        <v>77523.754084514134</v>
      </c>
      <c r="C19" s="260">
        <v>81303.50839070174</v>
      </c>
      <c r="D19" s="260">
        <v>84651.481099573997</v>
      </c>
      <c r="E19" s="260">
        <v>77268.191186527998</v>
      </c>
      <c r="F19" s="260">
        <v>70208.024739708795</v>
      </c>
      <c r="G19" s="260">
        <v>63920.664546197302</v>
      </c>
      <c r="H19" s="260">
        <v>58218.069526285457</v>
      </c>
      <c r="I19" s="260">
        <v>51816.008256716967</v>
      </c>
      <c r="J19" s="260">
        <v>49805.524858893099</v>
      </c>
      <c r="K19" s="260">
        <v>30607.352037542758</v>
      </c>
      <c r="L19" s="260">
        <v>30964.939443403291</v>
      </c>
      <c r="M19" s="260">
        <v>33442.048424022352</v>
      </c>
      <c r="N19" s="260">
        <v>40859.322488345184</v>
      </c>
      <c r="O19" s="260">
        <v>40584.409906070126</v>
      </c>
      <c r="P19" s="260">
        <v>51125.65065109422</v>
      </c>
      <c r="Q19" s="260">
        <v>79949.109687806034</v>
      </c>
      <c r="R19" s="260">
        <v>82523.796891998223</v>
      </c>
      <c r="S19" s="260">
        <v>78900.218029175405</v>
      </c>
      <c r="T19" s="260">
        <v>73649.507879738463</v>
      </c>
      <c r="U19" s="260">
        <v>62489.981843907815</v>
      </c>
    </row>
    <row r="20" spans="1:22" ht="38.25">
      <c r="A20" s="259" t="s">
        <v>169</v>
      </c>
      <c r="B20" s="260">
        <f>B18+B19</f>
        <v>151312.29236774781</v>
      </c>
      <c r="C20" s="260">
        <f t="shared" ref="C20:U20" si="11">C18+C19</f>
        <v>160160.97478414339</v>
      </c>
      <c r="D20" s="260">
        <f t="shared" si="11"/>
        <v>164451.9225428435</v>
      </c>
      <c r="E20" s="260">
        <f t="shared" si="11"/>
        <v>156560.94097503234</v>
      </c>
      <c r="F20" s="260">
        <f t="shared" si="11"/>
        <v>148672.242287662</v>
      </c>
      <c r="G20" s="260">
        <f t="shared" si="11"/>
        <v>141745.05772379693</v>
      </c>
      <c r="H20" s="260">
        <f t="shared" si="11"/>
        <v>136130.49356595427</v>
      </c>
      <c r="I20" s="260">
        <f t="shared" si="11"/>
        <v>119843.41245597368</v>
      </c>
      <c r="J20" s="260">
        <f t="shared" si="11"/>
        <v>117340.83485881807</v>
      </c>
      <c r="K20" s="260">
        <f t="shared" si="11"/>
        <v>97901.587693052803</v>
      </c>
      <c r="L20" s="260">
        <f t="shared" si="11"/>
        <v>97609.014148890215</v>
      </c>
      <c r="M20" s="260">
        <f t="shared" si="11"/>
        <v>99857.327075079374</v>
      </c>
      <c r="N20" s="260">
        <f t="shared" si="11"/>
        <v>108033.81793366378</v>
      </c>
      <c r="O20" s="260">
        <f t="shared" si="11"/>
        <v>107329.69910394509</v>
      </c>
      <c r="P20" s="260">
        <f t="shared" si="11"/>
        <v>118947.74888821435</v>
      </c>
      <c r="Q20" s="260">
        <f t="shared" si="11"/>
        <v>147997.97178844741</v>
      </c>
      <c r="R20" s="260">
        <f t="shared" si="11"/>
        <v>150509.04152376472</v>
      </c>
      <c r="S20" s="260">
        <f t="shared" si="11"/>
        <v>146361.0223829099</v>
      </c>
      <c r="T20" s="260">
        <f t="shared" si="11"/>
        <v>141336.48288717624</v>
      </c>
      <c r="U20" s="260">
        <f t="shared" si="11"/>
        <v>130425.37047871927</v>
      </c>
      <c r="V20" s="261"/>
    </row>
    <row r="21" spans="1:22" s="273" customFormat="1">
      <c r="A21" s="271" t="s">
        <v>177</v>
      </c>
      <c r="B21" s="272">
        <f>B20/B26</f>
        <v>3.3685176852262307E-2</v>
      </c>
      <c r="C21" s="272">
        <f>C20/C26</f>
        <v>3.6329391623408543E-2</v>
      </c>
      <c r="D21" s="272">
        <f t="shared" ref="D21:U21" si="12">D20/D26</f>
        <v>3.7831732431773228E-2</v>
      </c>
      <c r="E21" s="272">
        <f t="shared" si="12"/>
        <v>3.6646356695331068E-2</v>
      </c>
      <c r="F21" s="272">
        <f t="shared" si="12"/>
        <v>3.5341627031835902E-2</v>
      </c>
      <c r="G21" s="272">
        <f t="shared" si="12"/>
        <v>3.4267009002993946E-2</v>
      </c>
      <c r="H21" s="272">
        <f t="shared" si="12"/>
        <v>3.4410684988947546E-2</v>
      </c>
      <c r="I21" s="272">
        <f t="shared" si="12"/>
        <v>3.0517815230652355E-2</v>
      </c>
      <c r="J21" s="272">
        <f t="shared" si="12"/>
        <v>3.0373109842066308E-2</v>
      </c>
      <c r="K21" s="272">
        <f t="shared" si="12"/>
        <v>2.6243507695832263E-2</v>
      </c>
      <c r="L21" s="272">
        <f t="shared" si="12"/>
        <v>2.6336526422280449E-2</v>
      </c>
      <c r="M21" s="272">
        <f t="shared" si="12"/>
        <v>2.7157104788683089E-2</v>
      </c>
      <c r="N21" s="272">
        <f t="shared" si="12"/>
        <v>2.9658333731677818E-2</v>
      </c>
      <c r="O21" s="272">
        <f t="shared" si="12"/>
        <v>2.9737606281336697E-2</v>
      </c>
      <c r="P21" s="272">
        <f t="shared" si="12"/>
        <v>3.3384730938416575E-2</v>
      </c>
      <c r="Q21" s="272">
        <f t="shared" si="12"/>
        <v>4.3004840469531284E-2</v>
      </c>
      <c r="R21" s="272">
        <f t="shared" si="12"/>
        <v>4.4359213666856932E-2</v>
      </c>
      <c r="S21" s="272">
        <f t="shared" si="12"/>
        <v>4.4448740010879353E-2</v>
      </c>
      <c r="T21" s="272">
        <f t="shared" si="12"/>
        <v>4.4109599954806282E-2</v>
      </c>
      <c r="U21" s="272">
        <f t="shared" si="12"/>
        <v>4.1847801350603814E-2</v>
      </c>
    </row>
    <row r="22" spans="1:22" s="273" customFormat="1">
      <c r="A22" s="274"/>
      <c r="B22" s="275"/>
      <c r="C22" s="275"/>
      <c r="D22" s="275"/>
      <c r="E22" s="275"/>
      <c r="F22" s="275"/>
      <c r="G22" s="275"/>
      <c r="H22" s="275"/>
      <c r="I22" s="275"/>
      <c r="J22" s="275"/>
      <c r="K22" s="275"/>
      <c r="L22" s="275"/>
      <c r="M22" s="275"/>
      <c r="N22" s="275"/>
      <c r="O22" s="275"/>
      <c r="P22" s="275"/>
      <c r="Q22" s="275"/>
      <c r="R22" s="275"/>
      <c r="S22" s="275"/>
      <c r="T22" s="275"/>
      <c r="U22" s="275"/>
      <c r="V22" s="276"/>
    </row>
    <row r="23" spans="1:22">
      <c r="A23" s="263" t="s">
        <v>170</v>
      </c>
      <c r="B23" s="255">
        <v>2051815.81</v>
      </c>
      <c r="C23" s="255">
        <v>2078234.5299999998</v>
      </c>
      <c r="D23" s="255">
        <v>2119925.59</v>
      </c>
      <c r="E23" s="255">
        <v>2153005.02</v>
      </c>
      <c r="F23" s="255">
        <v>2184984.84</v>
      </c>
      <c r="G23" s="255">
        <v>2209701.9900000002</v>
      </c>
      <c r="H23" s="255">
        <v>2120592.7400000002</v>
      </c>
      <c r="I23" s="255">
        <v>2168382.98</v>
      </c>
      <c r="J23" s="255">
        <v>2186817.34</v>
      </c>
      <c r="K23" s="255">
        <v>2116528.88</v>
      </c>
      <c r="L23" s="255">
        <v>2155818.4900000002</v>
      </c>
      <c r="M23" s="255">
        <v>2187894.48</v>
      </c>
      <c r="N23" s="255">
        <v>2219221.9900000002</v>
      </c>
      <c r="O23" s="255">
        <v>2249887.7200000002</v>
      </c>
      <c r="P23" s="255">
        <v>2276624.85</v>
      </c>
      <c r="Q23" s="255">
        <v>2259479.15</v>
      </c>
      <c r="R23" s="255">
        <v>2328378.2000000002</v>
      </c>
      <c r="S23" s="255">
        <v>2340552.2400000002</v>
      </c>
      <c r="T23" s="255">
        <v>2360325.2068203283</v>
      </c>
      <c r="U23" s="255">
        <v>2369619.1584455804</v>
      </c>
    </row>
    <row r="24" spans="1:22">
      <c r="A24" s="263" t="s">
        <v>171</v>
      </c>
      <c r="B24" s="255">
        <f>(B49+B50+B51)</f>
        <v>2591451.2977270037</v>
      </c>
      <c r="C24" s="255">
        <f t="shared" ref="C24:U24" si="13">(C49+C50+C51)</f>
        <v>2641817.2359160986</v>
      </c>
      <c r="D24" s="255">
        <f t="shared" si="13"/>
        <v>2702930.3895923574</v>
      </c>
      <c r="E24" s="255">
        <f t="shared" si="13"/>
        <v>2751691.3682034719</v>
      </c>
      <c r="F24" s="255">
        <f t="shared" si="13"/>
        <v>2802891.0718454197</v>
      </c>
      <c r="G24" s="255">
        <f t="shared" si="13"/>
        <v>2849689.0375827388</v>
      </c>
      <c r="H24" s="255">
        <f t="shared" si="13"/>
        <v>2894494.1837639976</v>
      </c>
      <c r="I24" s="255">
        <f t="shared" si="13"/>
        <v>2937492.7853325377</v>
      </c>
      <c r="J24" s="255">
        <f t="shared" si="13"/>
        <v>2972713.988132549</v>
      </c>
      <c r="K24" s="255">
        <f t="shared" si="13"/>
        <v>3008097.8232105612</v>
      </c>
      <c r="L24" s="255">
        <f t="shared" si="13"/>
        <v>3042132.303112403</v>
      </c>
      <c r="M24" s="255">
        <f t="shared" si="13"/>
        <v>3080715.6571757169</v>
      </c>
      <c r="N24" s="255">
        <f t="shared" si="13"/>
        <v>3123010.4538180814</v>
      </c>
      <c r="O24" s="255">
        <f t="shared" si="13"/>
        <v>3166286.4628208098</v>
      </c>
      <c r="P24" s="255">
        <f t="shared" si="13"/>
        <v>3212211.1876084977</v>
      </c>
      <c r="Q24" s="255">
        <f t="shared" si="13"/>
        <v>3255842.0875243703</v>
      </c>
      <c r="R24" s="255">
        <f t="shared" si="13"/>
        <v>3288986.268101505</v>
      </c>
      <c r="S24" s="255">
        <f t="shared" si="13"/>
        <v>3323017.9153299821</v>
      </c>
      <c r="T24" s="255">
        <f t="shared" si="13"/>
        <v>3355988.0750506059</v>
      </c>
      <c r="U24" s="255">
        <f t="shared" si="13"/>
        <v>3389568.1429329747</v>
      </c>
    </row>
    <row r="25" spans="1:22" ht="25.5">
      <c r="A25" s="264" t="s">
        <v>172</v>
      </c>
      <c r="B25" s="255">
        <f>B23+B24</f>
        <v>4643267.1077270042</v>
      </c>
      <c r="C25" s="255">
        <f t="shared" ref="C25:U25" si="14">C23+C24</f>
        <v>4720051.7659160979</v>
      </c>
      <c r="D25" s="255">
        <f t="shared" si="14"/>
        <v>4822855.9795923568</v>
      </c>
      <c r="E25" s="255">
        <f t="shared" si="14"/>
        <v>4904696.3882034719</v>
      </c>
      <c r="F25" s="255">
        <f t="shared" si="14"/>
        <v>4987875.9118454196</v>
      </c>
      <c r="G25" s="255">
        <f t="shared" si="14"/>
        <v>5059391.0275827385</v>
      </c>
      <c r="H25" s="255">
        <f t="shared" si="14"/>
        <v>5015086.9237639979</v>
      </c>
      <c r="I25" s="255">
        <f t="shared" si="14"/>
        <v>5105875.7653325377</v>
      </c>
      <c r="J25" s="255">
        <f t="shared" si="14"/>
        <v>5159531.3281325493</v>
      </c>
      <c r="K25" s="255">
        <f t="shared" si="14"/>
        <v>5124626.7032105606</v>
      </c>
      <c r="L25" s="255">
        <f t="shared" si="14"/>
        <v>5197950.7931124028</v>
      </c>
      <c r="M25" s="255">
        <f t="shared" si="14"/>
        <v>5268610.1371757165</v>
      </c>
      <c r="N25" s="255">
        <f t="shared" si="14"/>
        <v>5342232.4438180812</v>
      </c>
      <c r="O25" s="255">
        <f t="shared" si="14"/>
        <v>5416174.18282081</v>
      </c>
      <c r="P25" s="255">
        <f t="shared" si="14"/>
        <v>5488836.0376084978</v>
      </c>
      <c r="Q25" s="255">
        <f t="shared" si="14"/>
        <v>5515321.2375243697</v>
      </c>
      <c r="R25" s="255">
        <f t="shared" si="14"/>
        <v>5617364.4681015052</v>
      </c>
      <c r="S25" s="255">
        <f t="shared" si="14"/>
        <v>5663570.1553299818</v>
      </c>
      <c r="T25" s="255">
        <f t="shared" si="14"/>
        <v>5716313.2818709342</v>
      </c>
      <c r="U25" s="255">
        <f t="shared" si="14"/>
        <v>5759187.3013785556</v>
      </c>
    </row>
    <row r="26" spans="1:22">
      <c r="A26" s="265" t="s">
        <v>173</v>
      </c>
      <c r="B26" s="266">
        <f>B25-B20</f>
        <v>4491954.8153592562</v>
      </c>
      <c r="C26" s="266">
        <f>(C25-B25)+(B26-C20)</f>
        <v>4408578.4987642067</v>
      </c>
      <c r="D26" s="266">
        <f t="shared" ref="D26:U26" si="15">(D25-C25)+(C26-D20)</f>
        <v>4346930.7898976225</v>
      </c>
      <c r="E26" s="266">
        <f>(E25-D25)+(D26-E20)</f>
        <v>4272210.2575337049</v>
      </c>
      <c r="F26" s="266">
        <f t="shared" si="15"/>
        <v>4206717.5388879906</v>
      </c>
      <c r="G26" s="266">
        <f t="shared" si="15"/>
        <v>4136487.5969015127</v>
      </c>
      <c r="H26" s="266">
        <f t="shared" si="15"/>
        <v>3956052.9995168177</v>
      </c>
      <c r="I26" s="266">
        <f t="shared" si="15"/>
        <v>3926998.4286293839</v>
      </c>
      <c r="J26" s="266">
        <f t="shared" si="15"/>
        <v>3863313.1565705775</v>
      </c>
      <c r="K26" s="266">
        <f t="shared" si="15"/>
        <v>3730506.943955536</v>
      </c>
      <c r="L26" s="266">
        <f t="shared" si="15"/>
        <v>3706222.0197084881</v>
      </c>
      <c r="M26" s="266">
        <f t="shared" si="15"/>
        <v>3677024.0366967223</v>
      </c>
      <c r="N26" s="266">
        <f t="shared" si="15"/>
        <v>3642612.5254054233</v>
      </c>
      <c r="O26" s="266">
        <f t="shared" si="15"/>
        <v>3609224.5653042071</v>
      </c>
      <c r="P26" s="266">
        <f t="shared" si="15"/>
        <v>3562938.6712036803</v>
      </c>
      <c r="Q26" s="266">
        <f t="shared" si="15"/>
        <v>3441425.8993311049</v>
      </c>
      <c r="R26" s="266">
        <f t="shared" si="15"/>
        <v>3392960.0883844756</v>
      </c>
      <c r="S26" s="266">
        <f t="shared" si="15"/>
        <v>3292804.7532300423</v>
      </c>
      <c r="T26" s="266">
        <f t="shared" si="15"/>
        <v>3204211.3968838183</v>
      </c>
      <c r="U26" s="266">
        <f t="shared" si="15"/>
        <v>3116660.0459127203</v>
      </c>
    </row>
    <row r="27" spans="1:22">
      <c r="A27" s="273"/>
      <c r="B27" s="266"/>
      <c r="C27" s="266"/>
      <c r="D27" s="266"/>
      <c r="E27" s="266"/>
      <c r="F27" s="266"/>
      <c r="G27" s="266"/>
      <c r="H27" s="266"/>
      <c r="I27" s="266"/>
      <c r="J27" s="266"/>
      <c r="K27" s="266"/>
      <c r="L27" s="266"/>
      <c r="M27" s="266"/>
      <c r="N27" s="266"/>
      <c r="O27" s="266"/>
      <c r="P27" s="266"/>
      <c r="Q27" s="266"/>
      <c r="R27" s="266"/>
      <c r="S27" s="266"/>
      <c r="T27" s="266"/>
      <c r="U27" s="266"/>
    </row>
    <row r="29" spans="1:22">
      <c r="B29" s="262"/>
      <c r="C29" s="262"/>
      <c r="D29" s="262"/>
      <c r="E29" s="262"/>
      <c r="F29" s="262"/>
      <c r="G29" s="262"/>
      <c r="H29" s="262"/>
      <c r="I29" s="262"/>
      <c r="J29" s="262"/>
      <c r="K29" s="262"/>
      <c r="L29" s="262"/>
      <c r="M29" s="262"/>
      <c r="N29" s="262"/>
      <c r="O29" s="262"/>
      <c r="P29" s="262"/>
      <c r="Q29" s="262"/>
      <c r="R29" s="262"/>
      <c r="S29" s="262"/>
      <c r="T29" s="262"/>
      <c r="U29" s="262"/>
    </row>
    <row r="30" spans="1:22">
      <c r="A30" s="256" t="s">
        <v>49</v>
      </c>
      <c r="B30" s="257">
        <v>2014</v>
      </c>
      <c r="C30" s="257">
        <f>B30+1</f>
        <v>2015</v>
      </c>
      <c r="D30" s="257">
        <f t="shared" ref="D30:U30" si="16">C30+1</f>
        <v>2016</v>
      </c>
      <c r="E30" s="257">
        <f t="shared" si="16"/>
        <v>2017</v>
      </c>
      <c r="F30" s="257">
        <f t="shared" si="16"/>
        <v>2018</v>
      </c>
      <c r="G30" s="257">
        <f t="shared" si="16"/>
        <v>2019</v>
      </c>
      <c r="H30" s="257">
        <f t="shared" si="16"/>
        <v>2020</v>
      </c>
      <c r="I30" s="257">
        <f t="shared" si="16"/>
        <v>2021</v>
      </c>
      <c r="J30" s="257">
        <f t="shared" si="16"/>
        <v>2022</v>
      </c>
      <c r="K30" s="257">
        <f t="shared" si="16"/>
        <v>2023</v>
      </c>
      <c r="L30" s="257">
        <f t="shared" si="16"/>
        <v>2024</v>
      </c>
      <c r="M30" s="257">
        <f t="shared" si="16"/>
        <v>2025</v>
      </c>
      <c r="N30" s="257">
        <f t="shared" si="16"/>
        <v>2026</v>
      </c>
      <c r="O30" s="257">
        <f t="shared" si="16"/>
        <v>2027</v>
      </c>
      <c r="P30" s="257">
        <f t="shared" si="16"/>
        <v>2028</v>
      </c>
      <c r="Q30" s="257">
        <f t="shared" si="16"/>
        <v>2029</v>
      </c>
      <c r="R30" s="257">
        <f t="shared" si="16"/>
        <v>2030</v>
      </c>
      <c r="S30" s="257">
        <f t="shared" si="16"/>
        <v>2031</v>
      </c>
      <c r="T30" s="257">
        <f t="shared" si="16"/>
        <v>2032</v>
      </c>
      <c r="U30" s="257">
        <f t="shared" si="16"/>
        <v>2033</v>
      </c>
    </row>
    <row r="31" spans="1:22" ht="38.25">
      <c r="A31" s="259" t="s">
        <v>167</v>
      </c>
      <c r="B31" s="260">
        <v>3497.6848814012824</v>
      </c>
      <c r="C31" s="260">
        <v>3507.0834494012834</v>
      </c>
      <c r="D31" s="260">
        <v>3500.0998444584075</v>
      </c>
      <c r="E31" s="260">
        <v>3500.1087930024778</v>
      </c>
      <c r="F31" s="260">
        <v>3501.7761075311473</v>
      </c>
      <c r="G31" s="260">
        <v>3510.130069162477</v>
      </c>
      <c r="H31" s="260">
        <v>3514.9389452911478</v>
      </c>
      <c r="I31" s="260">
        <v>3132.0750806650562</v>
      </c>
      <c r="J31" s="260">
        <v>3118.3929609937727</v>
      </c>
      <c r="K31" s="260">
        <v>3110.2414117067606</v>
      </c>
      <c r="L31" s="260">
        <v>3103.7506073949103</v>
      </c>
      <c r="M31" s="260">
        <v>3102.3425466064136</v>
      </c>
      <c r="N31" s="260">
        <v>3155.7008114841278</v>
      </c>
      <c r="O31" s="260">
        <v>3148.0766045812998</v>
      </c>
      <c r="P31" s="260">
        <v>3186.7210464607592</v>
      </c>
      <c r="Q31" s="260">
        <v>3186.8794245714312</v>
      </c>
      <c r="R31" s="260">
        <v>3187.9678610592591</v>
      </c>
      <c r="S31" s="260">
        <v>3178.9772280976017</v>
      </c>
      <c r="T31" s="260">
        <v>3187.1874956305865</v>
      </c>
      <c r="U31" s="260">
        <v>3186.8813685245868</v>
      </c>
    </row>
    <row r="32" spans="1:22" ht="38.25">
      <c r="A32" s="259" t="s">
        <v>168</v>
      </c>
      <c r="B32" s="260">
        <v>7823.938174178661</v>
      </c>
      <c r="C32" s="260">
        <v>8205.6806081108898</v>
      </c>
      <c r="D32" s="260">
        <v>8543.708125373545</v>
      </c>
      <c r="E32" s="260">
        <v>7797.3161621594345</v>
      </c>
      <c r="F32" s="260">
        <v>7080.584568648339</v>
      </c>
      <c r="G32" s="260">
        <v>6441.7338268730682</v>
      </c>
      <c r="H32" s="260">
        <v>5863.998608810859</v>
      </c>
      <c r="I32" s="260">
        <v>5217.3375438598596</v>
      </c>
      <c r="J32" s="260">
        <v>5010.4215131583824</v>
      </c>
      <c r="K32" s="260">
        <v>3070.6990977917767</v>
      </c>
      <c r="L32" s="260">
        <v>3089.3786983867076</v>
      </c>
      <c r="M32" s="260">
        <v>3412.2162930312834</v>
      </c>
      <c r="N32" s="260">
        <v>4232.9557625884227</v>
      </c>
      <c r="O32" s="260">
        <v>4203.4555128214133</v>
      </c>
      <c r="P32" s="260">
        <v>5189.9930921431433</v>
      </c>
      <c r="Q32" s="260">
        <v>8049.3102641773803</v>
      </c>
      <c r="R32" s="260">
        <v>8284.9853693121258</v>
      </c>
      <c r="S32" s="260">
        <v>7914.1932830355099</v>
      </c>
      <c r="T32" s="260">
        <v>7385.6666671816574</v>
      </c>
      <c r="U32" s="260">
        <v>6267.2745495439676</v>
      </c>
    </row>
    <row r="33" spans="1:22" ht="38.25">
      <c r="A33" s="259" t="s">
        <v>169</v>
      </c>
      <c r="B33" s="260">
        <f>B31+B32</f>
        <v>11321.623055579943</v>
      </c>
      <c r="C33" s="260">
        <f t="shared" ref="C33:U33" si="17">C31+C32</f>
        <v>11712.764057512173</v>
      </c>
      <c r="D33" s="260">
        <f t="shared" si="17"/>
        <v>12043.807969831953</v>
      </c>
      <c r="E33" s="260">
        <f t="shared" si="17"/>
        <v>11297.424955161912</v>
      </c>
      <c r="F33" s="260">
        <f t="shared" si="17"/>
        <v>10582.360676179487</v>
      </c>
      <c r="G33" s="260">
        <f t="shared" si="17"/>
        <v>9951.8638960355456</v>
      </c>
      <c r="H33" s="260">
        <f t="shared" si="17"/>
        <v>9378.9375541020072</v>
      </c>
      <c r="I33" s="260">
        <f t="shared" si="17"/>
        <v>8349.4126245249154</v>
      </c>
      <c r="J33" s="260">
        <f t="shared" si="17"/>
        <v>8128.8144741521555</v>
      </c>
      <c r="K33" s="260">
        <f t="shared" si="17"/>
        <v>6180.9405094985377</v>
      </c>
      <c r="L33" s="260">
        <f t="shared" si="17"/>
        <v>6193.1293057816183</v>
      </c>
      <c r="M33" s="260">
        <f t="shared" si="17"/>
        <v>6514.558839637697</v>
      </c>
      <c r="N33" s="260">
        <f t="shared" si="17"/>
        <v>7388.6565740725509</v>
      </c>
      <c r="O33" s="260">
        <f t="shared" si="17"/>
        <v>7351.5321174027131</v>
      </c>
      <c r="P33" s="260">
        <f t="shared" si="17"/>
        <v>8376.714138603902</v>
      </c>
      <c r="Q33" s="260">
        <f t="shared" si="17"/>
        <v>11236.189688748811</v>
      </c>
      <c r="R33" s="260">
        <f t="shared" si="17"/>
        <v>11472.953230371386</v>
      </c>
      <c r="S33" s="260">
        <f t="shared" si="17"/>
        <v>11093.170511133112</v>
      </c>
      <c r="T33" s="260">
        <f t="shared" si="17"/>
        <v>10572.854162812244</v>
      </c>
      <c r="U33" s="260">
        <f t="shared" si="17"/>
        <v>9454.1559180685545</v>
      </c>
      <c r="V33" s="261"/>
    </row>
    <row r="34" spans="1:22" s="273" customFormat="1">
      <c r="A34" s="277" t="s">
        <v>178</v>
      </c>
      <c r="B34" s="278">
        <f t="shared" ref="B34:U34" si="18">B33/B39</f>
        <v>3.273107638658411E-2</v>
      </c>
      <c r="C34" s="278">
        <f t="shared" si="18"/>
        <v>3.4602917267040428E-2</v>
      </c>
      <c r="D34" s="278">
        <f t="shared" si="18"/>
        <v>3.6529504670614978E-2</v>
      </c>
      <c r="E34" s="278">
        <f t="shared" si="18"/>
        <v>3.5225470878587885E-2</v>
      </c>
      <c r="F34" s="278">
        <f t="shared" si="18"/>
        <v>3.3514783848787227E-2</v>
      </c>
      <c r="G34" s="278">
        <f t="shared" si="18"/>
        <v>3.1734619782242228E-2</v>
      </c>
      <c r="H34" s="278">
        <f t="shared" si="18"/>
        <v>3.0310146507487732E-2</v>
      </c>
      <c r="I34" s="278">
        <f t="shared" si="18"/>
        <v>2.7045083496577398E-2</v>
      </c>
      <c r="J34" s="278">
        <f t="shared" si="18"/>
        <v>2.6895256266400283E-2</v>
      </c>
      <c r="K34" s="278">
        <f t="shared" si="18"/>
        <v>2.0776384437916563E-2</v>
      </c>
      <c r="L34" s="278">
        <f t="shared" si="18"/>
        <v>2.0897872949771176E-2</v>
      </c>
      <c r="M34" s="278">
        <f t="shared" si="18"/>
        <v>2.2335261552262963E-2</v>
      </c>
      <c r="N34" s="278">
        <f t="shared" si="18"/>
        <v>2.5767931691392076E-2</v>
      </c>
      <c r="O34" s="278">
        <f t="shared" si="18"/>
        <v>2.6110864157307567E-2</v>
      </c>
      <c r="P34" s="278">
        <f t="shared" si="18"/>
        <v>3.0307062668909372E-2</v>
      </c>
      <c r="Q34" s="278">
        <f t="shared" si="18"/>
        <v>4.2164902058160848E-2</v>
      </c>
      <c r="R34" s="278">
        <f t="shared" si="18"/>
        <v>4.4513172948210909E-2</v>
      </c>
      <c r="S34" s="278">
        <f t="shared" si="18"/>
        <v>4.4454368222573988E-2</v>
      </c>
      <c r="T34" s="278">
        <f t="shared" si="18"/>
        <v>4.3493319084406068E-2</v>
      </c>
      <c r="U34" s="278">
        <f t="shared" si="18"/>
        <v>3.9755730092695889E-2</v>
      </c>
    </row>
    <row r="35" spans="1:22">
      <c r="B35" s="262"/>
      <c r="C35" s="262"/>
      <c r="D35" s="262"/>
      <c r="E35" s="262"/>
      <c r="F35" s="262"/>
      <c r="G35" s="262"/>
      <c r="H35" s="262"/>
      <c r="I35" s="262"/>
      <c r="J35" s="262"/>
      <c r="K35" s="262"/>
      <c r="L35" s="262"/>
      <c r="M35" s="262"/>
      <c r="N35" s="262"/>
      <c r="O35" s="262"/>
      <c r="P35" s="262"/>
      <c r="Q35" s="262"/>
      <c r="R35" s="262"/>
      <c r="S35" s="262"/>
      <c r="T35" s="262"/>
      <c r="U35" s="262"/>
    </row>
    <row r="36" spans="1:22">
      <c r="A36" s="263" t="s">
        <v>170</v>
      </c>
      <c r="B36" s="255">
        <v>83929</v>
      </c>
      <c r="C36" s="255">
        <v>85999</v>
      </c>
      <c r="D36" s="255">
        <v>86673</v>
      </c>
      <c r="E36" s="255">
        <v>85959</v>
      </c>
      <c r="F36" s="255">
        <v>87731</v>
      </c>
      <c r="G36" s="255">
        <v>87497</v>
      </c>
      <c r="H36" s="255">
        <v>87550</v>
      </c>
      <c r="I36" s="255">
        <v>86962</v>
      </c>
      <c r="J36" s="255">
        <v>86880</v>
      </c>
      <c r="K36" s="255">
        <v>86863</v>
      </c>
      <c r="L36" s="255">
        <v>87417</v>
      </c>
      <c r="M36" s="255">
        <v>87287</v>
      </c>
      <c r="N36" s="255">
        <v>87638</v>
      </c>
      <c r="O36" s="255">
        <v>87966</v>
      </c>
      <c r="P36" s="255">
        <v>88735</v>
      </c>
      <c r="Q36" s="255">
        <v>88735</v>
      </c>
      <c r="R36" s="255">
        <v>89116</v>
      </c>
      <c r="S36" s="255">
        <v>89635</v>
      </c>
      <c r="T36" s="255">
        <v>89984.81317967159</v>
      </c>
      <c r="U36" s="255">
        <v>90335.991554419568</v>
      </c>
    </row>
    <row r="37" spans="1:22">
      <c r="A37" s="263" t="s">
        <v>171</v>
      </c>
      <c r="B37" s="255">
        <f>(B56+B57+B58)</f>
        <v>273290.90399999998</v>
      </c>
      <c r="C37" s="255">
        <f t="shared" ref="C37:U37" si="19">(C56+C57+C58)</f>
        <v>275526.03999999998</v>
      </c>
      <c r="D37" s="255">
        <f t="shared" si="19"/>
        <v>278106.02399999998</v>
      </c>
      <c r="E37" s="255">
        <f t="shared" si="19"/>
        <v>281134.12</v>
      </c>
      <c r="F37" s="255">
        <f t="shared" si="19"/>
        <v>284979</v>
      </c>
      <c r="G37" s="255">
        <f t="shared" si="19"/>
        <v>293009.288</v>
      </c>
      <c r="H37" s="255">
        <f t="shared" si="19"/>
        <v>298171.05599999998</v>
      </c>
      <c r="I37" s="255">
        <f t="shared" si="19"/>
        <v>306398.20799999998</v>
      </c>
      <c r="J37" s="255">
        <f t="shared" si="19"/>
        <v>308126.72000000003</v>
      </c>
      <c r="K37" s="255">
        <f t="shared" si="19"/>
        <v>309583.32</v>
      </c>
      <c r="L37" s="255">
        <f t="shared" si="19"/>
        <v>314076.21599999996</v>
      </c>
      <c r="M37" s="255">
        <f t="shared" si="19"/>
        <v>316040.12</v>
      </c>
      <c r="N37" s="255">
        <f t="shared" si="19"/>
        <v>318144.73599999998</v>
      </c>
      <c r="O37" s="255">
        <f t="shared" si="19"/>
        <v>319980.52799999999</v>
      </c>
      <c r="P37" s="255">
        <f t="shared" si="19"/>
        <v>322432.32799999998</v>
      </c>
      <c r="Q37" s="255">
        <f t="shared" si="19"/>
        <v>323755.78399999999</v>
      </c>
      <c r="R37" s="255">
        <f t="shared" si="19"/>
        <v>326108.56</v>
      </c>
      <c r="S37" s="255">
        <f t="shared" si="19"/>
        <v>328480.47200000001</v>
      </c>
      <c r="T37" s="255">
        <f t="shared" si="19"/>
        <v>332254.3488694267</v>
      </c>
      <c r="U37" s="255">
        <f t="shared" si="19"/>
        <v>336071.99262825679</v>
      </c>
    </row>
    <row r="38" spans="1:22" ht="25.5">
      <c r="A38" s="264" t="s">
        <v>172</v>
      </c>
      <c r="B38" s="255">
        <f>B36+B37</f>
        <v>357219.90399999998</v>
      </c>
      <c r="C38" s="255">
        <f t="shared" ref="C38:U38" si="20">C36+C37</f>
        <v>361525.04</v>
      </c>
      <c r="D38" s="255">
        <f t="shared" si="20"/>
        <v>364779.02399999998</v>
      </c>
      <c r="E38" s="255">
        <f t="shared" si="20"/>
        <v>367093.12</v>
      </c>
      <c r="F38" s="255">
        <f t="shared" si="20"/>
        <v>372710</v>
      </c>
      <c r="G38" s="255">
        <f t="shared" si="20"/>
        <v>380506.288</v>
      </c>
      <c r="H38" s="255">
        <f t="shared" si="20"/>
        <v>385721.05599999998</v>
      </c>
      <c r="I38" s="255">
        <f t="shared" si="20"/>
        <v>393360.20799999998</v>
      </c>
      <c r="J38" s="255">
        <f t="shared" si="20"/>
        <v>395006.72000000003</v>
      </c>
      <c r="K38" s="255">
        <f t="shared" si="20"/>
        <v>396446.32</v>
      </c>
      <c r="L38" s="255">
        <f t="shared" si="20"/>
        <v>401493.21599999996</v>
      </c>
      <c r="M38" s="255">
        <f t="shared" si="20"/>
        <v>403327.12</v>
      </c>
      <c r="N38" s="255">
        <f t="shared" si="20"/>
        <v>405782.73599999998</v>
      </c>
      <c r="O38" s="255">
        <f t="shared" si="20"/>
        <v>407946.52799999999</v>
      </c>
      <c r="P38" s="255">
        <f t="shared" si="20"/>
        <v>411167.32799999998</v>
      </c>
      <c r="Q38" s="255">
        <f t="shared" si="20"/>
        <v>412490.78399999999</v>
      </c>
      <c r="R38" s="255">
        <f t="shared" si="20"/>
        <v>415224.56</v>
      </c>
      <c r="S38" s="255">
        <f t="shared" si="20"/>
        <v>418115.47200000001</v>
      </c>
      <c r="T38" s="255">
        <f t="shared" si="20"/>
        <v>422239.16204909829</v>
      </c>
      <c r="U38" s="255">
        <f t="shared" si="20"/>
        <v>426407.98418267636</v>
      </c>
    </row>
    <row r="39" spans="1:22">
      <c r="A39" s="265" t="s">
        <v>173</v>
      </c>
      <c r="B39" s="266">
        <f>B38-B33</f>
        <v>345898.28094442002</v>
      </c>
      <c r="C39" s="266">
        <f t="shared" ref="C39:U39" si="21">(C38-B38)+(B39-C33)</f>
        <v>338490.65288690786</v>
      </c>
      <c r="D39" s="266">
        <f t="shared" si="21"/>
        <v>329700.82891707588</v>
      </c>
      <c r="E39" s="266">
        <f t="shared" si="21"/>
        <v>320717.49996191397</v>
      </c>
      <c r="F39" s="266">
        <f t="shared" si="21"/>
        <v>315752.01928573451</v>
      </c>
      <c r="G39" s="266">
        <f t="shared" si="21"/>
        <v>313596.44338969898</v>
      </c>
      <c r="H39" s="266">
        <f t="shared" si="21"/>
        <v>309432.27383559698</v>
      </c>
      <c r="I39" s="266">
        <f t="shared" si="21"/>
        <v>308722.01321107207</v>
      </c>
      <c r="J39" s="266">
        <f t="shared" si="21"/>
        <v>302239.71073691995</v>
      </c>
      <c r="K39" s="266">
        <f t="shared" si="21"/>
        <v>297498.3702274214</v>
      </c>
      <c r="L39" s="266">
        <f t="shared" si="21"/>
        <v>296352.13692163973</v>
      </c>
      <c r="M39" s="266">
        <f t="shared" si="21"/>
        <v>291671.4820820021</v>
      </c>
      <c r="N39" s="266">
        <f t="shared" si="21"/>
        <v>286738.44150792953</v>
      </c>
      <c r="O39" s="266">
        <f t="shared" si="21"/>
        <v>281550.70139052684</v>
      </c>
      <c r="P39" s="266">
        <f t="shared" si="21"/>
        <v>276394.78725192294</v>
      </c>
      <c r="Q39" s="266">
        <f t="shared" si="21"/>
        <v>266482.05356317415</v>
      </c>
      <c r="R39" s="266">
        <f t="shared" si="21"/>
        <v>257742.87633280279</v>
      </c>
      <c r="S39" s="266">
        <f t="shared" si="21"/>
        <v>249540.61782166967</v>
      </c>
      <c r="T39" s="266">
        <f t="shared" si="21"/>
        <v>243091.45370795572</v>
      </c>
      <c r="U39" s="266">
        <f t="shared" si="21"/>
        <v>237806.11992346524</v>
      </c>
    </row>
    <row r="41" spans="1:22">
      <c r="A41" s="279" t="s">
        <v>179</v>
      </c>
    </row>
    <row r="42" spans="1:22" ht="15">
      <c r="A42" s="258" t="s">
        <v>65</v>
      </c>
      <c r="B42" s="280">
        <v>2014810.65</v>
      </c>
      <c r="C42" s="280">
        <v>2057481.04</v>
      </c>
      <c r="D42" s="280">
        <v>2106339.83</v>
      </c>
      <c r="E42" s="280">
        <v>2146734.65</v>
      </c>
      <c r="F42" s="280">
        <v>2185562.7999999998</v>
      </c>
      <c r="G42" s="280">
        <v>2224565</v>
      </c>
      <c r="H42" s="280">
        <v>2260319.81</v>
      </c>
      <c r="I42" s="280">
        <v>2297122.69</v>
      </c>
      <c r="J42" s="280">
        <v>2323334.63</v>
      </c>
      <c r="K42" s="280">
        <v>2349642.0699999998</v>
      </c>
      <c r="L42" s="280">
        <v>2377424.52</v>
      </c>
      <c r="M42" s="280">
        <v>2406977.56</v>
      </c>
      <c r="N42" s="280">
        <v>2439777.87</v>
      </c>
      <c r="O42" s="280">
        <v>2473643.67</v>
      </c>
      <c r="P42" s="280">
        <v>2510027.58</v>
      </c>
      <c r="Q42" s="280">
        <v>2544069.41</v>
      </c>
      <c r="R42" s="280">
        <v>2571292.48</v>
      </c>
      <c r="S42" s="280">
        <v>2599362.27</v>
      </c>
      <c r="T42" s="280">
        <v>2627856.4900000002</v>
      </c>
      <c r="U42" s="280">
        <v>2656942.21</v>
      </c>
    </row>
    <row r="43" spans="1:22" ht="15">
      <c r="A43" s="258" t="s">
        <v>180</v>
      </c>
      <c r="B43" s="281">
        <f t="shared" ref="B43:U43" si="22">B46</f>
        <v>810729.99172700383</v>
      </c>
      <c r="C43" s="281">
        <f t="shared" si="22"/>
        <v>821371.29591609864</v>
      </c>
      <c r="D43" s="281">
        <f t="shared" si="22"/>
        <v>836651.06359235733</v>
      </c>
      <c r="E43" s="281">
        <f t="shared" si="22"/>
        <v>848324.50820347201</v>
      </c>
      <c r="F43" s="281">
        <f t="shared" si="22"/>
        <v>864715.93184541981</v>
      </c>
      <c r="G43" s="281">
        <f t="shared" si="22"/>
        <v>880651.67558273883</v>
      </c>
      <c r="H43" s="281">
        <f t="shared" si="22"/>
        <v>894932.52976399753</v>
      </c>
      <c r="I43" s="281">
        <f t="shared" si="22"/>
        <v>909398.5033325376</v>
      </c>
      <c r="J43" s="281">
        <f t="shared" si="22"/>
        <v>920163.2881325495</v>
      </c>
      <c r="K43" s="281">
        <f t="shared" si="22"/>
        <v>930713.21321056131</v>
      </c>
      <c r="L43" s="281">
        <f t="shared" si="22"/>
        <v>941468.74911240302</v>
      </c>
      <c r="M43" s="281">
        <f t="shared" si="22"/>
        <v>952469.61717571691</v>
      </c>
      <c r="N43" s="281">
        <f t="shared" si="22"/>
        <v>964072.88981808117</v>
      </c>
      <c r="O43" s="281">
        <f t="shared" si="22"/>
        <v>975321.51082080998</v>
      </c>
      <c r="P43" s="281">
        <f t="shared" si="22"/>
        <v>987315.75560849765</v>
      </c>
      <c r="Q43" s="281">
        <f t="shared" si="22"/>
        <v>998229.31152437022</v>
      </c>
      <c r="R43" s="281">
        <f t="shared" si="22"/>
        <v>1006503.8381015048</v>
      </c>
      <c r="S43" s="281">
        <f t="shared" si="22"/>
        <v>1014838.0173299822</v>
      </c>
      <c r="T43" s="281">
        <f t="shared" si="22"/>
        <v>1023088.0839200325</v>
      </c>
      <c r="U43" s="281">
        <f t="shared" si="22"/>
        <v>1031400.2355612318</v>
      </c>
    </row>
    <row r="44" spans="1:22" ht="15">
      <c r="A44" s="258" t="s">
        <v>162</v>
      </c>
      <c r="B44" s="280">
        <v>39201.56</v>
      </c>
      <c r="C44" s="280">
        <v>38490.94</v>
      </c>
      <c r="D44" s="280">
        <v>38045.519999999997</v>
      </c>
      <c r="E44" s="280">
        <v>37766.33</v>
      </c>
      <c r="F44" s="280">
        <v>37591.339999999997</v>
      </c>
      <c r="G44" s="280">
        <v>37481.65</v>
      </c>
      <c r="H44" s="280">
        <v>37412.9</v>
      </c>
      <c r="I44" s="280">
        <v>37369.800000000003</v>
      </c>
      <c r="J44" s="280">
        <v>37342.79</v>
      </c>
      <c r="K44" s="280">
        <v>37325.86</v>
      </c>
      <c r="L44" s="280">
        <v>37315.25</v>
      </c>
      <c r="M44" s="280">
        <v>37308.6</v>
      </c>
      <c r="N44" s="280">
        <v>37304.43</v>
      </c>
      <c r="O44" s="280">
        <v>37301.81</v>
      </c>
      <c r="P44" s="280">
        <v>37300.18</v>
      </c>
      <c r="Q44" s="280">
        <v>37299.15</v>
      </c>
      <c r="R44" s="280">
        <v>37298.51</v>
      </c>
      <c r="S44" s="280">
        <v>37298.1</v>
      </c>
      <c r="T44" s="280">
        <v>37297.85</v>
      </c>
      <c r="U44" s="280">
        <v>37297.69</v>
      </c>
    </row>
    <row r="45" spans="1:22" ht="15">
      <c r="A45" s="258" t="s">
        <v>181</v>
      </c>
      <c r="B45" s="280">
        <v>989729.9907270039</v>
      </c>
      <c r="C45" s="280">
        <v>1000371.2949160987</v>
      </c>
      <c r="D45" s="280">
        <v>1015651.0625923574</v>
      </c>
      <c r="E45" s="280">
        <v>1027324.5072034721</v>
      </c>
      <c r="F45" s="280">
        <v>1043715.9308454199</v>
      </c>
      <c r="G45" s="280">
        <v>1059651.6745827389</v>
      </c>
      <c r="H45" s="280">
        <v>1073932.5287639976</v>
      </c>
      <c r="I45" s="280">
        <v>1088398.5033325376</v>
      </c>
      <c r="J45" s="280">
        <v>1099163.2881325495</v>
      </c>
      <c r="K45" s="280">
        <v>1109713.2132105613</v>
      </c>
      <c r="L45" s="280">
        <v>1120468.749112403</v>
      </c>
      <c r="M45" s="280">
        <v>1131469.6171757169</v>
      </c>
      <c r="N45" s="280">
        <v>1143072.8898180812</v>
      </c>
      <c r="O45" s="280">
        <v>1154321.51082081</v>
      </c>
      <c r="P45" s="280">
        <v>1166315.7556084977</v>
      </c>
      <c r="Q45" s="280">
        <v>1177229.3115243702</v>
      </c>
      <c r="R45" s="280">
        <v>1185503.8381015048</v>
      </c>
      <c r="S45" s="280">
        <v>1193838.0173299822</v>
      </c>
      <c r="T45" s="280">
        <v>1202088.0839200325</v>
      </c>
      <c r="U45" s="280">
        <v>1210400.2355612318</v>
      </c>
    </row>
    <row r="46" spans="1:22" ht="15">
      <c r="A46" s="258" t="s">
        <v>180</v>
      </c>
      <c r="B46" s="280">
        <v>810729.99172700383</v>
      </c>
      <c r="C46" s="280">
        <v>821371.29591609864</v>
      </c>
      <c r="D46" s="280">
        <v>836651.06359235733</v>
      </c>
      <c r="E46" s="280">
        <v>848324.50820347201</v>
      </c>
      <c r="F46" s="280">
        <v>864715.93184541981</v>
      </c>
      <c r="G46" s="280">
        <v>880651.67558273883</v>
      </c>
      <c r="H46" s="280">
        <v>894932.52976399753</v>
      </c>
      <c r="I46" s="280">
        <v>909398.5033325376</v>
      </c>
      <c r="J46" s="280">
        <v>920163.2881325495</v>
      </c>
      <c r="K46" s="280">
        <v>930713.21321056131</v>
      </c>
      <c r="L46" s="280">
        <v>941468.74911240302</v>
      </c>
      <c r="M46" s="280">
        <v>952469.61717571691</v>
      </c>
      <c r="N46" s="280">
        <v>964072.88981808117</v>
      </c>
      <c r="O46" s="280">
        <v>975321.51082080998</v>
      </c>
      <c r="P46" s="280">
        <v>987315.75560849765</v>
      </c>
      <c r="Q46" s="280">
        <v>998229.31152437022</v>
      </c>
      <c r="R46" s="280">
        <v>1006503.8381015048</v>
      </c>
      <c r="S46" s="280">
        <v>1014838.0173299822</v>
      </c>
      <c r="T46" s="280">
        <v>1023088.0839200325</v>
      </c>
      <c r="U46" s="280">
        <v>1031400.2355612318</v>
      </c>
    </row>
    <row r="48" spans="1:22">
      <c r="A48" s="279" t="s">
        <v>156</v>
      </c>
    </row>
    <row r="49" spans="1:21" ht="15">
      <c r="A49" s="258" t="s">
        <v>65</v>
      </c>
      <c r="B49" s="280">
        <v>1818894.71</v>
      </c>
      <c r="C49" s="280">
        <v>1859951.07</v>
      </c>
      <c r="D49" s="280">
        <v>1906931.57</v>
      </c>
      <c r="E49" s="280">
        <v>1945129.0899999999</v>
      </c>
      <c r="F49" s="280">
        <v>1981160.6099999999</v>
      </c>
      <c r="G49" s="280">
        <v>2014306.02</v>
      </c>
      <c r="H49" s="280">
        <v>2046300.6</v>
      </c>
      <c r="I49" s="280">
        <v>2077102.88</v>
      </c>
      <c r="J49" s="280">
        <v>2102056.2999999998</v>
      </c>
      <c r="K49" s="280">
        <v>2127319.11</v>
      </c>
      <c r="L49" s="280">
        <v>2151823.86</v>
      </c>
      <c r="M49" s="280">
        <v>2179951.94</v>
      </c>
      <c r="N49" s="280">
        <v>2211227.2800000003</v>
      </c>
      <c r="O49" s="280">
        <v>2243765.94</v>
      </c>
      <c r="P49" s="280">
        <v>2278356.2400000002</v>
      </c>
      <c r="Q49" s="280">
        <v>2311449.8000000003</v>
      </c>
      <c r="R49" s="280">
        <v>2336969.0499999998</v>
      </c>
      <c r="S49" s="280">
        <v>2363316.04</v>
      </c>
      <c r="T49" s="280">
        <v>2389065.166748811</v>
      </c>
      <c r="U49" s="280">
        <v>2415373.8695098599</v>
      </c>
    </row>
    <row r="50" spans="1:21" ht="15">
      <c r="A50" s="258" t="s">
        <v>180</v>
      </c>
      <c r="B50" s="281">
        <f>B53</f>
        <v>738267.93172700377</v>
      </c>
      <c r="C50" s="281">
        <f t="shared" ref="C50:U50" si="23">C53</f>
        <v>748312.26591609861</v>
      </c>
      <c r="D50" s="281">
        <f t="shared" si="23"/>
        <v>762897.32359235734</v>
      </c>
      <c r="E50" s="281">
        <f t="shared" si="23"/>
        <v>773758.06820347207</v>
      </c>
      <c r="F50" s="281">
        <f t="shared" si="23"/>
        <v>789115.12184541975</v>
      </c>
      <c r="G50" s="281">
        <f t="shared" si="23"/>
        <v>802884.65558273881</v>
      </c>
      <c r="H50" s="281">
        <f t="shared" si="23"/>
        <v>815774.7397639975</v>
      </c>
      <c r="I50" s="281">
        <f t="shared" si="23"/>
        <v>828021.31333253765</v>
      </c>
      <c r="J50" s="281">
        <f t="shared" si="23"/>
        <v>838320.61813254945</v>
      </c>
      <c r="K50" s="281">
        <f t="shared" si="23"/>
        <v>848484.17321056128</v>
      </c>
      <c r="L50" s="281">
        <f t="shared" si="23"/>
        <v>858027.40911240305</v>
      </c>
      <c r="M50" s="281">
        <f t="shared" si="23"/>
        <v>868501.2371757169</v>
      </c>
      <c r="N50" s="281">
        <f t="shared" si="23"/>
        <v>879540.47981808113</v>
      </c>
      <c r="O50" s="281">
        <f t="shared" si="23"/>
        <v>890298.24082080997</v>
      </c>
      <c r="P50" s="281">
        <f t="shared" si="23"/>
        <v>901629.09560849762</v>
      </c>
      <c r="Q50" s="281">
        <f t="shared" si="23"/>
        <v>912191.92152437021</v>
      </c>
      <c r="R50" s="281">
        <f t="shared" si="23"/>
        <v>919836.26810150477</v>
      </c>
      <c r="S50" s="281">
        <f t="shared" si="23"/>
        <v>927533.24732998223</v>
      </c>
      <c r="T50" s="281">
        <f t="shared" si="23"/>
        <v>934768.00545726391</v>
      </c>
      <c r="U50" s="281">
        <f t="shared" si="23"/>
        <v>942053.04113337176</v>
      </c>
    </row>
    <row r="51" spans="1:21" ht="15">
      <c r="A51" s="258" t="s">
        <v>162</v>
      </c>
      <c r="B51" s="280">
        <v>34288.655999999995</v>
      </c>
      <c r="C51" s="280">
        <v>33553.9</v>
      </c>
      <c r="D51" s="280">
        <v>33101.495999999999</v>
      </c>
      <c r="E51" s="280">
        <v>32804.210000000006</v>
      </c>
      <c r="F51" s="280">
        <v>32615.339999999997</v>
      </c>
      <c r="G51" s="280">
        <v>32498.362000000001</v>
      </c>
      <c r="H51" s="280">
        <v>32418.844000000001</v>
      </c>
      <c r="I51" s="280">
        <v>32368.592000000004</v>
      </c>
      <c r="J51" s="280">
        <v>32337.069999999942</v>
      </c>
      <c r="K51" s="280">
        <v>32294.54</v>
      </c>
      <c r="L51" s="280">
        <v>32281.034000000058</v>
      </c>
      <c r="M51" s="280">
        <v>32262.48</v>
      </c>
      <c r="N51" s="280">
        <v>32242.694000000003</v>
      </c>
      <c r="O51" s="280">
        <v>32222.281999999999</v>
      </c>
      <c r="P51" s="280">
        <v>32225.851999999999</v>
      </c>
      <c r="Q51" s="280">
        <v>32200.366000000002</v>
      </c>
      <c r="R51" s="280">
        <v>32180.950000000004</v>
      </c>
      <c r="S51" s="280">
        <v>32168.627999999997</v>
      </c>
      <c r="T51" s="280">
        <v>32154.902844531098</v>
      </c>
      <c r="U51" s="280">
        <v>32141.232289743341</v>
      </c>
    </row>
    <row r="52" spans="1:21" ht="15">
      <c r="A52" s="258" t="s">
        <v>181</v>
      </c>
      <c r="B52" s="281">
        <f>B45-B59</f>
        <v>917267.93072700384</v>
      </c>
      <c r="C52" s="281">
        <f t="shared" ref="C52:U53" si="24">C45-C59</f>
        <v>927312.26491609868</v>
      </c>
      <c r="D52" s="281">
        <f t="shared" si="24"/>
        <v>941897.32259235741</v>
      </c>
      <c r="E52" s="281">
        <f t="shared" si="24"/>
        <v>952758.06720347214</v>
      </c>
      <c r="F52" s="281">
        <f t="shared" si="24"/>
        <v>968115.12084541982</v>
      </c>
      <c r="G52" s="281">
        <f t="shared" si="24"/>
        <v>981884.65458273888</v>
      </c>
      <c r="H52" s="281">
        <f t="shared" si="24"/>
        <v>994774.73876399756</v>
      </c>
      <c r="I52" s="281">
        <f t="shared" si="24"/>
        <v>1007021.3133325377</v>
      </c>
      <c r="J52" s="281">
        <f t="shared" si="24"/>
        <v>1017320.6181325495</v>
      </c>
      <c r="K52" s="281">
        <f t="shared" si="24"/>
        <v>1027484.1732105613</v>
      </c>
      <c r="L52" s="281">
        <f t="shared" si="24"/>
        <v>1037027.4091124031</v>
      </c>
      <c r="M52" s="281">
        <f t="shared" si="24"/>
        <v>1047501.2371757169</v>
      </c>
      <c r="N52" s="281">
        <f t="shared" si="24"/>
        <v>1058540.4798180813</v>
      </c>
      <c r="O52" s="281">
        <f t="shared" si="24"/>
        <v>1069298.24082081</v>
      </c>
      <c r="P52" s="281">
        <f t="shared" si="24"/>
        <v>1080629.0956084977</v>
      </c>
      <c r="Q52" s="281">
        <f t="shared" si="24"/>
        <v>1091191.9215243703</v>
      </c>
      <c r="R52" s="281">
        <f t="shared" si="24"/>
        <v>1098836.2681015048</v>
      </c>
      <c r="S52" s="281">
        <f t="shared" si="24"/>
        <v>1106533.2473299822</v>
      </c>
      <c r="T52" s="281">
        <f t="shared" si="24"/>
        <v>1113768.0054572639</v>
      </c>
      <c r="U52" s="281">
        <f t="shared" si="24"/>
        <v>1121053.0411333719</v>
      </c>
    </row>
    <row r="53" spans="1:21" ht="15">
      <c r="A53" s="258" t="s">
        <v>180</v>
      </c>
      <c r="B53" s="281">
        <f>B46-B60</f>
        <v>738267.93172700377</v>
      </c>
      <c r="C53" s="281">
        <f t="shared" si="24"/>
        <v>748312.26591609861</v>
      </c>
      <c r="D53" s="281">
        <f t="shared" si="24"/>
        <v>762897.32359235734</v>
      </c>
      <c r="E53" s="281">
        <f t="shared" si="24"/>
        <v>773758.06820347207</v>
      </c>
      <c r="F53" s="281">
        <f t="shared" si="24"/>
        <v>789115.12184541975</v>
      </c>
      <c r="G53" s="281">
        <f t="shared" si="24"/>
        <v>802884.65558273881</v>
      </c>
      <c r="H53" s="281">
        <f t="shared" si="24"/>
        <v>815774.7397639975</v>
      </c>
      <c r="I53" s="281">
        <f t="shared" si="24"/>
        <v>828021.31333253765</v>
      </c>
      <c r="J53" s="281">
        <f t="shared" si="24"/>
        <v>838320.61813254945</v>
      </c>
      <c r="K53" s="281">
        <f t="shared" si="24"/>
        <v>848484.17321056128</v>
      </c>
      <c r="L53" s="281">
        <f t="shared" si="24"/>
        <v>858027.40911240305</v>
      </c>
      <c r="M53" s="281">
        <f t="shared" si="24"/>
        <v>868501.2371757169</v>
      </c>
      <c r="N53" s="281">
        <f t="shared" si="24"/>
        <v>879540.47981808113</v>
      </c>
      <c r="O53" s="281">
        <f t="shared" si="24"/>
        <v>890298.24082080997</v>
      </c>
      <c r="P53" s="281">
        <f t="shared" si="24"/>
        <v>901629.09560849762</v>
      </c>
      <c r="Q53" s="281">
        <f t="shared" si="24"/>
        <v>912191.92152437021</v>
      </c>
      <c r="R53" s="281">
        <f t="shared" si="24"/>
        <v>919836.26810150477</v>
      </c>
      <c r="S53" s="281">
        <f t="shared" si="24"/>
        <v>927533.24732998223</v>
      </c>
      <c r="T53" s="281">
        <f t="shared" si="24"/>
        <v>934768.00545726391</v>
      </c>
      <c r="U53" s="281">
        <f t="shared" si="24"/>
        <v>942053.04113337176</v>
      </c>
    </row>
    <row r="55" spans="1:21">
      <c r="A55" s="279" t="s">
        <v>49</v>
      </c>
    </row>
    <row r="56" spans="1:21" ht="15">
      <c r="A56" s="258" t="s">
        <v>65</v>
      </c>
      <c r="B56" s="280">
        <v>195915.94</v>
      </c>
      <c r="C56" s="280">
        <v>197529.97</v>
      </c>
      <c r="D56" s="280">
        <v>199408.26</v>
      </c>
      <c r="E56" s="280">
        <v>201605.56</v>
      </c>
      <c r="F56" s="280">
        <v>204402.19</v>
      </c>
      <c r="G56" s="280">
        <v>210258.97999999998</v>
      </c>
      <c r="H56" s="280">
        <v>214019.21</v>
      </c>
      <c r="I56" s="280">
        <v>220019.81</v>
      </c>
      <c r="J56" s="280">
        <v>221278.33</v>
      </c>
      <c r="K56" s="280">
        <v>222322.96</v>
      </c>
      <c r="L56" s="280">
        <v>225600.66</v>
      </c>
      <c r="M56" s="280">
        <v>227025.62</v>
      </c>
      <c r="N56" s="280">
        <v>228550.59</v>
      </c>
      <c r="O56" s="280">
        <v>229877.72999999998</v>
      </c>
      <c r="P56" s="280">
        <v>231671.34</v>
      </c>
      <c r="Q56" s="280">
        <v>232619.61</v>
      </c>
      <c r="R56" s="280">
        <v>234323.43</v>
      </c>
      <c r="S56" s="280">
        <v>236046.22999999998</v>
      </c>
      <c r="T56" s="280">
        <v>238791.32325118917</v>
      </c>
      <c r="U56" s="280">
        <v>241568.34049014008</v>
      </c>
    </row>
    <row r="57" spans="1:21" ht="15">
      <c r="A57" s="258" t="s">
        <v>180</v>
      </c>
      <c r="B57" s="281">
        <f t="shared" ref="B57:U57" si="25">B60</f>
        <v>72462.06</v>
      </c>
      <c r="C57" s="281">
        <f t="shared" si="25"/>
        <v>73059.03</v>
      </c>
      <c r="D57" s="281">
        <f t="shared" si="25"/>
        <v>73753.740000000005</v>
      </c>
      <c r="E57" s="281">
        <f t="shared" si="25"/>
        <v>74566.44</v>
      </c>
      <c r="F57" s="281">
        <f t="shared" si="25"/>
        <v>75600.810000000012</v>
      </c>
      <c r="G57" s="281">
        <f t="shared" si="25"/>
        <v>77767.02</v>
      </c>
      <c r="H57" s="281">
        <f t="shared" si="25"/>
        <v>79157.790000000008</v>
      </c>
      <c r="I57" s="281">
        <f t="shared" si="25"/>
        <v>81377.19</v>
      </c>
      <c r="J57" s="281">
        <f t="shared" si="25"/>
        <v>81842.67</v>
      </c>
      <c r="K57" s="281">
        <f t="shared" si="25"/>
        <v>82229.040000000008</v>
      </c>
      <c r="L57" s="281">
        <f t="shared" si="25"/>
        <v>83441.340000000011</v>
      </c>
      <c r="M57" s="281">
        <f t="shared" si="25"/>
        <v>83968.38</v>
      </c>
      <c r="N57" s="281">
        <f t="shared" si="25"/>
        <v>84532.41</v>
      </c>
      <c r="O57" s="281">
        <f t="shared" si="25"/>
        <v>85023.27</v>
      </c>
      <c r="P57" s="281">
        <f t="shared" si="25"/>
        <v>85686.66</v>
      </c>
      <c r="Q57" s="281">
        <f t="shared" si="25"/>
        <v>86037.39</v>
      </c>
      <c r="R57" s="281">
        <f t="shared" si="25"/>
        <v>86667.57</v>
      </c>
      <c r="S57" s="281">
        <f t="shared" si="25"/>
        <v>87304.77</v>
      </c>
      <c r="T57" s="281">
        <f t="shared" si="25"/>
        <v>88320.078462768608</v>
      </c>
      <c r="U57" s="281">
        <f t="shared" si="25"/>
        <v>89347.194427860042</v>
      </c>
    </row>
    <row r="58" spans="1:21" ht="15">
      <c r="A58" s="258" t="s">
        <v>162</v>
      </c>
      <c r="B58" s="280">
        <v>4912.9040000000005</v>
      </c>
      <c r="C58" s="280">
        <v>4937.0399999999991</v>
      </c>
      <c r="D58" s="280">
        <v>4944.0239999999994</v>
      </c>
      <c r="E58" s="280">
        <v>4962.119999999999</v>
      </c>
      <c r="F58" s="280">
        <v>4976</v>
      </c>
      <c r="G58" s="280">
        <v>4983.2880000000005</v>
      </c>
      <c r="H58" s="280">
        <v>4994.0560000000005</v>
      </c>
      <c r="I58" s="280">
        <v>5001.2080000000005</v>
      </c>
      <c r="J58" s="280">
        <v>5005.7200000000576</v>
      </c>
      <c r="K58" s="280">
        <v>5031.32</v>
      </c>
      <c r="L58" s="280">
        <v>5034.2159999999421</v>
      </c>
      <c r="M58" s="280">
        <v>5046.119999999999</v>
      </c>
      <c r="N58" s="280">
        <v>5061.735999999999</v>
      </c>
      <c r="O58" s="280">
        <v>5079.5280000000002</v>
      </c>
      <c r="P58" s="280">
        <v>5074.3279999999995</v>
      </c>
      <c r="Q58" s="280">
        <v>5098.7839999999997</v>
      </c>
      <c r="R58" s="280">
        <v>5117.5599999999995</v>
      </c>
      <c r="S58" s="280">
        <v>5129.4719999999998</v>
      </c>
      <c r="T58" s="280">
        <v>5142.9471554689017</v>
      </c>
      <c r="U58" s="280">
        <v>5156.4577102566636</v>
      </c>
    </row>
    <row r="59" spans="1:21" ht="15">
      <c r="A59" s="258" t="s">
        <v>181</v>
      </c>
      <c r="B59" s="280">
        <v>72462.06</v>
      </c>
      <c r="C59" s="280">
        <v>73059.03</v>
      </c>
      <c r="D59" s="280">
        <v>73753.740000000005</v>
      </c>
      <c r="E59" s="280">
        <v>74566.44</v>
      </c>
      <c r="F59" s="280">
        <v>75600.810000000012</v>
      </c>
      <c r="G59" s="280">
        <v>77767.02</v>
      </c>
      <c r="H59" s="280">
        <v>79157.790000000008</v>
      </c>
      <c r="I59" s="280">
        <v>81377.19</v>
      </c>
      <c r="J59" s="280">
        <v>81842.67</v>
      </c>
      <c r="K59" s="280">
        <v>82229.040000000008</v>
      </c>
      <c r="L59" s="280">
        <v>83441.340000000011</v>
      </c>
      <c r="M59" s="280">
        <v>83968.38</v>
      </c>
      <c r="N59" s="280">
        <v>84532.41</v>
      </c>
      <c r="O59" s="280">
        <v>85023.27</v>
      </c>
      <c r="P59" s="280">
        <v>85686.66</v>
      </c>
      <c r="Q59" s="280">
        <v>86037.39</v>
      </c>
      <c r="R59" s="280">
        <v>86667.57</v>
      </c>
      <c r="S59" s="280">
        <v>87304.77</v>
      </c>
      <c r="T59" s="280">
        <v>88320.078462768608</v>
      </c>
      <c r="U59" s="280">
        <v>89347.194427860042</v>
      </c>
    </row>
    <row r="60" spans="1:21" ht="15">
      <c r="A60" s="258" t="s">
        <v>180</v>
      </c>
      <c r="B60" s="281">
        <f>B59</f>
        <v>72462.06</v>
      </c>
      <c r="C60" s="281">
        <f t="shared" ref="C60:U60" si="26">C59</f>
        <v>73059.03</v>
      </c>
      <c r="D60" s="281">
        <f t="shared" si="26"/>
        <v>73753.740000000005</v>
      </c>
      <c r="E60" s="281">
        <f t="shared" si="26"/>
        <v>74566.44</v>
      </c>
      <c r="F60" s="281">
        <f t="shared" si="26"/>
        <v>75600.810000000012</v>
      </c>
      <c r="G60" s="281">
        <f t="shared" si="26"/>
        <v>77767.02</v>
      </c>
      <c r="H60" s="281">
        <f t="shared" si="26"/>
        <v>79157.790000000008</v>
      </c>
      <c r="I60" s="281">
        <f t="shared" si="26"/>
        <v>81377.19</v>
      </c>
      <c r="J60" s="281">
        <f t="shared" si="26"/>
        <v>81842.67</v>
      </c>
      <c r="K60" s="281">
        <f t="shared" si="26"/>
        <v>82229.040000000008</v>
      </c>
      <c r="L60" s="281">
        <f t="shared" si="26"/>
        <v>83441.340000000011</v>
      </c>
      <c r="M60" s="281">
        <f t="shared" si="26"/>
        <v>83968.38</v>
      </c>
      <c r="N60" s="281">
        <f t="shared" si="26"/>
        <v>84532.41</v>
      </c>
      <c r="O60" s="281">
        <f t="shared" si="26"/>
        <v>85023.27</v>
      </c>
      <c r="P60" s="281">
        <f t="shared" si="26"/>
        <v>85686.66</v>
      </c>
      <c r="Q60" s="281">
        <f t="shared" si="26"/>
        <v>86037.39</v>
      </c>
      <c r="R60" s="281">
        <f t="shared" si="26"/>
        <v>86667.57</v>
      </c>
      <c r="S60" s="281">
        <f t="shared" si="26"/>
        <v>87304.77</v>
      </c>
      <c r="T60" s="281">
        <f t="shared" si="26"/>
        <v>88320.078462768608</v>
      </c>
      <c r="U60" s="281">
        <f t="shared" si="26"/>
        <v>89347.194427860042</v>
      </c>
    </row>
    <row r="62" spans="1:21">
      <c r="A62" s="279" t="s">
        <v>182</v>
      </c>
    </row>
    <row r="63" spans="1:21" ht="15">
      <c r="A63" s="258" t="s">
        <v>156</v>
      </c>
      <c r="B63" s="282">
        <v>73788.538283233662</v>
      </c>
      <c r="C63" s="282">
        <v>78857.46639344166</v>
      </c>
      <c r="D63" s="282">
        <v>79800.44144326949</v>
      </c>
      <c r="E63" s="282">
        <v>79292.749788504341</v>
      </c>
      <c r="F63" s="282">
        <v>78464.217547953202</v>
      </c>
      <c r="G63" s="282">
        <v>77824.393177599617</v>
      </c>
      <c r="H63" s="282">
        <v>77912.424039668796</v>
      </c>
      <c r="I63" s="282">
        <v>68027.404199256707</v>
      </c>
      <c r="J63" s="282">
        <v>67535.309999924968</v>
      </c>
      <c r="K63" s="282">
        <v>67294.235655510041</v>
      </c>
      <c r="L63" s="282">
        <v>66644.074705486928</v>
      </c>
      <c r="M63" s="282">
        <v>66415.278651057015</v>
      </c>
      <c r="N63" s="282">
        <v>67174.495445318607</v>
      </c>
      <c r="O63" s="282">
        <v>66745.289197874969</v>
      </c>
      <c r="P63" s="282">
        <v>67822.098237120124</v>
      </c>
      <c r="Q63" s="282">
        <v>68048.86210064136</v>
      </c>
      <c r="R63" s="282">
        <v>67985.244631766516</v>
      </c>
      <c r="S63" s="282">
        <v>67460.804353734478</v>
      </c>
      <c r="T63" s="282">
        <v>67686.975007437781</v>
      </c>
      <c r="U63" s="282">
        <v>67935.388634811447</v>
      </c>
    </row>
    <row r="64" spans="1:21" ht="15">
      <c r="A64" s="258" t="s">
        <v>49</v>
      </c>
      <c r="B64" s="282">
        <v>3497.6848814012824</v>
      </c>
      <c r="C64" s="282">
        <v>3507.0834494012834</v>
      </c>
      <c r="D64" s="282">
        <v>3500.0998444584075</v>
      </c>
      <c r="E64" s="282">
        <v>3500.1087930024778</v>
      </c>
      <c r="F64" s="282">
        <v>3501.7761075311473</v>
      </c>
      <c r="G64" s="282">
        <v>3510.130069162477</v>
      </c>
      <c r="H64" s="282">
        <v>3514.9389452911478</v>
      </c>
      <c r="I64" s="282">
        <v>3132.0750806650562</v>
      </c>
      <c r="J64" s="282">
        <v>3118.3929609937727</v>
      </c>
      <c r="K64" s="282">
        <v>3110.2414117067606</v>
      </c>
      <c r="L64" s="282">
        <v>3103.7506073949103</v>
      </c>
      <c r="M64" s="282">
        <v>3102.3425466064136</v>
      </c>
      <c r="N64" s="282">
        <v>3155.7008114841278</v>
      </c>
      <c r="O64" s="282">
        <v>3148.0766045812998</v>
      </c>
      <c r="P64" s="282">
        <v>3186.7210464607592</v>
      </c>
      <c r="Q64" s="282">
        <v>3186.8794245714312</v>
      </c>
      <c r="R64" s="282">
        <v>3187.9678610592591</v>
      </c>
      <c r="S64" s="282">
        <v>3178.9772280976017</v>
      </c>
      <c r="T64" s="282">
        <v>3187.1874956305865</v>
      </c>
      <c r="U64" s="282">
        <v>3186.8813685245868</v>
      </c>
    </row>
    <row r="65" spans="1:21">
      <c r="K65" s="283"/>
    </row>
    <row r="66" spans="1:21" ht="38.25">
      <c r="A66" s="259" t="s">
        <v>183</v>
      </c>
      <c r="B66" s="260">
        <v>88890.165871455582</v>
      </c>
      <c r="C66" s="260">
        <v>93235.346428533536</v>
      </c>
      <c r="D66" s="260">
        <v>97078.78992634677</v>
      </c>
      <c r="E66" s="260">
        <v>88555.499870890781</v>
      </c>
      <c r="F66" s="260">
        <v>80253.790924965986</v>
      </c>
      <c r="G66" s="260">
        <v>72881.49071992391</v>
      </c>
      <c r="H66" s="260">
        <v>66233.792848033714</v>
      </c>
      <c r="I66" s="260">
        <v>58870.183970157537</v>
      </c>
      <c r="J66" s="260">
        <v>56364.138543555229</v>
      </c>
      <c r="K66" s="260">
        <v>34255.343131488473</v>
      </c>
      <c r="L66" s="260">
        <v>34259.555346991889</v>
      </c>
      <c r="M66" s="260">
        <v>37401.166336151502</v>
      </c>
      <c r="N66" s="260">
        <v>46002.430394458614</v>
      </c>
      <c r="O66" s="260">
        <v>46062.786466061007</v>
      </c>
      <c r="P66" s="260">
        <v>59870.643274008187</v>
      </c>
      <c r="Q66" s="260">
        <v>91576.866906982439</v>
      </c>
      <c r="R66" s="260">
        <v>94337.690955753074</v>
      </c>
      <c r="S66" s="260">
        <v>89938.570058643658</v>
      </c>
      <c r="T66" s="260">
        <v>83690.694752355281</v>
      </c>
      <c r="U66" s="260">
        <v>70971.371629562986</v>
      </c>
    </row>
    <row r="67" spans="1:21" ht="51">
      <c r="A67" s="259" t="s">
        <v>184</v>
      </c>
      <c r="B67" s="260">
        <v>85347.692258692798</v>
      </c>
      <c r="C67" s="260">
        <v>89509.188998812635</v>
      </c>
      <c r="D67" s="260">
        <v>93195.189224947535</v>
      </c>
      <c r="E67" s="260">
        <v>85065.507348687432</v>
      </c>
      <c r="F67" s="260">
        <v>77288.609308357132</v>
      </c>
      <c r="G67" s="260">
        <v>70362.398373070377</v>
      </c>
      <c r="H67" s="260">
        <v>64082.068135096313</v>
      </c>
      <c r="I67" s="260">
        <v>57033.345800576826</v>
      </c>
      <c r="J67" s="260">
        <v>54815.946372051476</v>
      </c>
      <c r="K67" s="260">
        <v>33678.051135334536</v>
      </c>
      <c r="L67" s="260">
        <v>34054.318141790005</v>
      </c>
      <c r="M67" s="260">
        <v>36854.264717053637</v>
      </c>
      <c r="N67" s="260">
        <v>45092.278250933603</v>
      </c>
      <c r="O67" s="260">
        <v>44787.865418891539</v>
      </c>
      <c r="P67" s="260">
        <v>56315.643743237364</v>
      </c>
      <c r="Q67" s="260">
        <v>87998.419951983422</v>
      </c>
      <c r="R67" s="260">
        <v>90808.782261310334</v>
      </c>
      <c r="S67" s="260">
        <v>86814.411312210912</v>
      </c>
      <c r="T67" s="260">
        <v>81035.174546920127</v>
      </c>
      <c r="U67" s="260">
        <v>68757.256393451782</v>
      </c>
    </row>
    <row r="70" spans="1:21">
      <c r="B70" s="284"/>
      <c r="C70" s="284"/>
      <c r="D70" s="284"/>
      <c r="E70" s="284"/>
      <c r="F70" s="284"/>
      <c r="G70" s="284"/>
      <c r="H70" s="284"/>
      <c r="I70" s="284"/>
      <c r="J70" s="284"/>
      <c r="K70" s="284"/>
      <c r="L70" s="284"/>
      <c r="M70" s="284"/>
      <c r="N70" s="284"/>
      <c r="O70" s="284"/>
      <c r="P70" s="284"/>
      <c r="Q70" s="284"/>
      <c r="R70" s="284"/>
      <c r="S70" s="284"/>
      <c r="T70" s="284"/>
      <c r="U70" s="284"/>
    </row>
    <row r="71" spans="1:21">
      <c r="B71" s="261"/>
    </row>
    <row r="73" spans="1:21">
      <c r="F73" s="285"/>
      <c r="G73" s="285"/>
      <c r="H73" s="285"/>
    </row>
    <row r="74" spans="1:21" ht="15">
      <c r="A74" s="286"/>
      <c r="B74" s="261"/>
      <c r="C74" s="261"/>
      <c r="D74" s="261"/>
      <c r="E74" s="261"/>
      <c r="F74" s="287"/>
      <c r="G74" s="287"/>
      <c r="H74" s="287"/>
      <c r="J74" s="79"/>
      <c r="K74" s="79"/>
      <c r="L74" s="79"/>
      <c r="M74" s="89"/>
    </row>
    <row r="75" spans="1:21" ht="15">
      <c r="A75" s="286"/>
      <c r="B75" s="90"/>
      <c r="C75" s="90"/>
      <c r="D75" s="90"/>
      <c r="E75" s="261"/>
      <c r="F75" s="287"/>
      <c r="G75" s="287"/>
      <c r="H75" s="287"/>
      <c r="J75" s="79"/>
      <c r="K75" s="79"/>
      <c r="L75" s="79"/>
      <c r="M75" s="89"/>
    </row>
    <row r="76" spans="1:21" ht="15">
      <c r="A76" s="286"/>
      <c r="B76" s="261"/>
      <c r="C76" s="261"/>
      <c r="D76" s="261"/>
      <c r="E76" s="261"/>
      <c r="F76" s="287"/>
      <c r="G76" s="287"/>
      <c r="H76" s="287"/>
      <c r="M76" s="92"/>
    </row>
  </sheetData>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U29"/>
  <sheetViews>
    <sheetView topLeftCell="A13" workbookViewId="0">
      <selection activeCell="U26" sqref="U26"/>
    </sheetView>
  </sheetViews>
  <sheetFormatPr defaultRowHeight="15"/>
  <cols>
    <col min="1" max="1" width="43.28515625" bestFit="1" customWidth="1"/>
    <col min="2" max="2" width="14.28515625" customWidth="1"/>
    <col min="3" max="21" width="9.140625" bestFit="1" customWidth="1"/>
  </cols>
  <sheetData>
    <row r="2" spans="1:21" s="258" customFormat="1" ht="12.75">
      <c r="A2" s="288" t="s">
        <v>185</v>
      </c>
      <c r="B2" s="289">
        <v>2014</v>
      </c>
      <c r="C2" s="290">
        <v>2015</v>
      </c>
      <c r="D2" s="290">
        <v>2016</v>
      </c>
      <c r="E2" s="290">
        <v>2017</v>
      </c>
      <c r="F2" s="290">
        <v>2018</v>
      </c>
      <c r="G2" s="290">
        <v>2019</v>
      </c>
      <c r="H2" s="290">
        <v>2020</v>
      </c>
      <c r="I2" s="290">
        <v>2021</v>
      </c>
      <c r="J2" s="290">
        <v>2022</v>
      </c>
      <c r="K2" s="290">
        <v>2023</v>
      </c>
      <c r="L2" s="290">
        <v>2024</v>
      </c>
      <c r="M2" s="290">
        <v>2025</v>
      </c>
      <c r="N2" s="290">
        <v>2026</v>
      </c>
      <c r="O2" s="290">
        <v>2027</v>
      </c>
      <c r="P2" s="290">
        <v>2028</v>
      </c>
      <c r="Q2" s="290">
        <v>2029</v>
      </c>
      <c r="R2" s="290">
        <v>2030</v>
      </c>
      <c r="S2" s="290">
        <v>2031</v>
      </c>
      <c r="T2" s="290">
        <v>2032</v>
      </c>
      <c r="U2" s="290">
        <v>2033</v>
      </c>
    </row>
    <row r="3" spans="1:21" s="258" customFormat="1" ht="12.75">
      <c r="A3" s="291" t="s">
        <v>186</v>
      </c>
      <c r="B3" s="292">
        <f>'[4]2013 Updated Study'!B4/'[4]2013 Savings as % of Sales'!B25</f>
        <v>3.364159403824183E-2</v>
      </c>
      <c r="C3" s="293">
        <f>'[4]2013 Updated Study'!C4/'[4]2013 Savings as % of Sales'!C25</f>
        <v>3.626180850741488E-2</v>
      </c>
      <c r="D3" s="293">
        <f>'[4]2013 Updated Study'!D4/'[4]2013 Savings as % of Sales'!D25</f>
        <v>3.7830138313715046E-2</v>
      </c>
      <c r="E3" s="293">
        <f>'[4]2013 Updated Study'!E4/'[4]2013 Savings as % of Sales'!E25</f>
        <v>3.6612216278650175E-2</v>
      </c>
      <c r="F3" s="293">
        <f>'[4]2013 Updated Study'!F4/'[4]2013 Savings as % of Sales'!F25</f>
        <v>3.5104867526051096E-2</v>
      </c>
      <c r="G3" s="293">
        <f>'[4]2013 Updated Study'!G4/'[4]2013 Savings as % of Sales'!G25</f>
        <v>3.3768044190585281E-2</v>
      </c>
      <c r="H3" s="293">
        <f>'[4]2013 Updated Study'!H4/'[4]2013 Savings as % of Sales'!H25</f>
        <v>3.3522512030882141E-2</v>
      </c>
      <c r="I3" s="293">
        <f>'[4]2013 Updated Study'!I4/'[4]2013 Savings as % of Sales'!I25</f>
        <v>2.9017264034013977E-2</v>
      </c>
      <c r="J3" s="293">
        <f>'[4]2013 Updated Study'!J4/'[4]2013 Savings as % of Sales'!J25</f>
        <v>2.8559088554613015E-2</v>
      </c>
      <c r="K3" s="293">
        <f>'[4]2013 Updated Study'!K4/'[4]2013 Savings as % of Sales'!K25</f>
        <v>2.4166418820721566E-2</v>
      </c>
      <c r="L3" s="293">
        <f>'[4]2013 Updated Study'!L4/'[4]2013 Savings as % of Sales'!L25</f>
        <v>2.3837287862424283E-2</v>
      </c>
      <c r="M3" s="293">
        <f>'[4]2013 Updated Study'!M4/'[4]2013 Savings as % of Sales'!M25</f>
        <v>2.4191329687826762E-2</v>
      </c>
      <c r="N3" s="293">
        <f>'[4]2013 Updated Study'!N4/'[4]2013 Savings as % of Sales'!N25</f>
        <v>2.5961446357059235E-2</v>
      </c>
      <c r="O3" s="293">
        <f>'[4]2013 Updated Study'!O4/'[4]2013 Savings as % of Sales'!O25</f>
        <v>2.5509387186371208E-2</v>
      </c>
      <c r="P3" s="293">
        <f>'[4]2013 Updated Study'!P4/'[4]2013 Savings as % of Sales'!P25</f>
        <v>2.800674388404098E-2</v>
      </c>
      <c r="Q3" s="293">
        <f>'[4]2013 Updated Study'!Q4/'[4]2013 Savings as % of Sales'!Q25</f>
        <v>3.4984077587175415E-2</v>
      </c>
      <c r="R3" s="293">
        <f>'[4]2013 Updated Study'!R4/'[4]2013 Savings as % of Sales'!R25</f>
        <v>3.4940390320989743E-2</v>
      </c>
      <c r="S3" s="293">
        <f>'[4]2013 Updated Study'!S4/'[4]2013 Savings as % of Sales'!S25</f>
        <v>3.3749225472566716E-2</v>
      </c>
      <c r="T3" s="293">
        <f>'[4]2013 Updated Study'!T4/'[4]2013 Savings as % of Sales'!T25</f>
        <v>3.2284434532577934E-2</v>
      </c>
      <c r="U3" s="293">
        <f>'[4]2013 Updated Study'!U4/'[4]2013 Savings as % of Sales'!U25</f>
        <v>2.9537895134378479E-2</v>
      </c>
    </row>
    <row r="4" spans="1:21" s="258" customFormat="1" ht="12.75">
      <c r="A4" s="294" t="s">
        <v>156</v>
      </c>
      <c r="B4" s="295">
        <f>'[4]2013 Updated Study'!B20/'[4]2013 Savings as % of Sales'!B26</f>
        <v>3.3711762834354571E-2</v>
      </c>
      <c r="C4" s="296">
        <f>'[4]2013 Updated Study'!C20/'[4]2013 Savings as % of Sales'!C26</f>
        <v>3.6389388522432863E-2</v>
      </c>
      <c r="D4" s="296">
        <f>'[4]2013 Updated Study'!D20/'[4]2013 Savings as % of Sales'!D26</f>
        <v>3.7929040963953289E-2</v>
      </c>
      <c r="E4" s="296">
        <f>'[4]2013 Updated Study'!E20/'[4]2013 Savings as % of Sales'!E26</f>
        <v>3.6719537453506076E-2</v>
      </c>
      <c r="F4" s="296">
        <f>'[4]2013 Updated Study'!F20/'[4]2013 Savings as % of Sales'!F26</f>
        <v>3.5238548976399484E-2</v>
      </c>
      <c r="G4" s="296">
        <f>'[4]2013 Updated Study'!G20/'[4]2013 Savings as % of Sales'!G26</f>
        <v>3.3949633724534911E-2</v>
      </c>
      <c r="H4" s="296">
        <f>'[4]2013 Updated Study'!H20/'[4]2013 Savings as % of Sales'!H26</f>
        <v>3.3816580362701826E-2</v>
      </c>
      <c r="I4" s="296">
        <f>'[4]2013 Updated Study'!I20/'[4]2013 Savings as % of Sales'!I26</f>
        <v>2.924090812142768E-2</v>
      </c>
      <c r="J4" s="296">
        <f>'[4]2013 Updated Study'!J20/'[4]2013 Savings as % of Sales'!J26</f>
        <v>2.877567884627031E-2</v>
      </c>
      <c r="K4" s="296">
        <f>'[4]2013 Updated Study'!K20/'[4]2013 Savings as % of Sales'!K26</f>
        <v>2.4517061220309229E-2</v>
      </c>
      <c r="L4" s="296">
        <f>'[4]2013 Updated Study'!L20/'[4]2013 Savings as % of Sales'!L26</f>
        <v>2.4174095139666996E-2</v>
      </c>
      <c r="M4" s="296">
        <f>'[4]2013 Updated Study'!M20/'[4]2013 Savings as % of Sales'!M26</f>
        <v>2.4473026277404442E-2</v>
      </c>
      <c r="N4" s="296">
        <f>'[4]2013 Updated Study'!N20/'[4]2013 Savings as % of Sales'!N26</f>
        <v>2.6168179836002347E-2</v>
      </c>
      <c r="O4" s="296">
        <f>'[4]2013 Updated Study'!O20/'[4]2013 Savings as % of Sales'!O26</f>
        <v>2.5690644426690477E-2</v>
      </c>
      <c r="P4" s="296">
        <f>'[4]2013 Updated Study'!P20/'[4]2013 Savings as % of Sales'!P26</f>
        <v>2.8141107309753798E-2</v>
      </c>
      <c r="Q4" s="296">
        <f>'[4]2013 Updated Study'!Q20/'[4]2013 Savings as % of Sales'!Q26</f>
        <v>3.4968266308275056E-2</v>
      </c>
      <c r="R4" s="296">
        <f>'[4]2013 Updated Study'!R20/'[4]2013 Savings as % of Sales'!R26</f>
        <v>3.4877952691942229E-2</v>
      </c>
      <c r="S4" s="296">
        <f>'[4]2013 Updated Study'!S20/'[4]2013 Savings as % of Sales'!S26</f>
        <v>3.3698840779635565E-2</v>
      </c>
      <c r="T4" s="296">
        <f>'[4]2013 Updated Study'!T20/'[4]2013 Savings as % of Sales'!T26</f>
        <v>3.2267450324371394E-2</v>
      </c>
      <c r="U4" s="296">
        <f>'[4]2013 Updated Study'!U20/'[4]2013 Savings as % of Sales'!U26</f>
        <v>2.9592552640373106E-2</v>
      </c>
    </row>
    <row r="5" spans="1:21" s="258" customFormat="1" ht="12.75">
      <c r="A5" s="294" t="s">
        <v>49</v>
      </c>
      <c r="B5" s="295">
        <f>'[4]2013 Updated Study'!B33/'[4]2013 Savings as % of Sales'!B27</f>
        <v>3.273107638658411E-2</v>
      </c>
      <c r="C5" s="296">
        <f>'[4]2013 Updated Study'!C33/'[4]2013 Savings as % of Sales'!C27</f>
        <v>3.4602917267040428E-2</v>
      </c>
      <c r="D5" s="296">
        <f>'[4]2013 Updated Study'!D33/'[4]2013 Savings as % of Sales'!D27</f>
        <v>3.6529504670614978E-2</v>
      </c>
      <c r="E5" s="296">
        <f>'[4]2013 Updated Study'!E33/'[4]2013 Savings as % of Sales'!E27</f>
        <v>3.5187020055724487E-2</v>
      </c>
      <c r="F5" s="296">
        <f>'[4]2013 Updated Study'!F33/'[4]2013 Savings as % of Sales'!F27</f>
        <v>3.3328564435602004E-2</v>
      </c>
      <c r="G5" s="296">
        <f>'[4]2013 Updated Study'!G33/'[4]2013 Savings as % of Sales'!G27</f>
        <v>3.1377598303260236E-2</v>
      </c>
      <c r="H5" s="296">
        <f>'[4]2013 Updated Study'!H33/'[4]2013 Savings as % of Sales'!H27</f>
        <v>2.9765569585114674E-2</v>
      </c>
      <c r="I5" s="296">
        <f>'[4]2013 Updated Study'!I33/'[4]2013 Savings as % of Sales'!I27</f>
        <v>2.614685215561605E-2</v>
      </c>
      <c r="J5" s="296">
        <f>'[4]2013 Updated Study'!J33/'[4]2013 Savings as % of Sales'!J27</f>
        <v>2.5760205843578941E-2</v>
      </c>
      <c r="K5" s="296">
        <f>'[4]2013 Updated Study'!K33/'[4]2013 Savings as % of Sales'!K27</f>
        <v>1.9703034300340875E-2</v>
      </c>
      <c r="L5" s="296">
        <f>'[4]2013 Updated Study'!L33/'[4]2013 Savings as % of Sales'!L27</f>
        <v>1.9545341537726215E-2</v>
      </c>
      <c r="M5" s="296">
        <f>'[4]2013 Updated Study'!M33/'[4]2013 Savings as % of Sales'!M27</f>
        <v>2.0563223181516935E-2</v>
      </c>
      <c r="N5" s="296">
        <f>'[4]2013 Updated Study'!N33/'[4]2013 Savings as % of Sales'!N27</f>
        <v>2.3273096917851458E-2</v>
      </c>
      <c r="O5" s="296">
        <f>'[4]2013 Updated Study'!O33/'[4]2013 Savings as % of Sales'!O27</f>
        <v>2.312715230923959E-2</v>
      </c>
      <c r="P5" s="296">
        <f>'[4]2013 Updated Study'!P33/'[4]2013 Savings as % of Sales'!P27</f>
        <v>2.6228482558507529E-2</v>
      </c>
      <c r="Q5" s="296">
        <f>'[4]2013 Updated Study'!Q33/'[4]2013 Savings as % of Sales'!Q27</f>
        <v>3.5193679030433619E-2</v>
      </c>
      <c r="R5" s="296">
        <f>'[4]2013 Updated Study'!R33/'[4]2013 Savings as % of Sales'!R27</f>
        <v>3.5780684649191451E-2</v>
      </c>
      <c r="S5" s="296">
        <f>'[4]2013 Updated Study'!S33/'[4]2013 Savings as % of Sales'!S27</f>
        <v>3.4428382214429176E-2</v>
      </c>
      <c r="T5" s="296">
        <f>'[4]2013 Updated Study'!T33/'[4]2013 Savings as % of Sales'!T27</f>
        <v>3.2513206334652905E-2</v>
      </c>
      <c r="U5" s="296">
        <f>'[4]2013 Updated Study'!U33/'[4]2013 Savings as % of Sales'!U27</f>
        <v>2.880395798684075E-2</v>
      </c>
    </row>
    <row r="7" spans="1:21" s="258" customFormat="1" ht="12.75">
      <c r="A7" s="288" t="s">
        <v>187</v>
      </c>
      <c r="B7" s="289">
        <v>2014</v>
      </c>
      <c r="C7" s="290">
        <v>2015</v>
      </c>
      <c r="D7" s="290">
        <v>2016</v>
      </c>
      <c r="E7" s="290">
        <v>2017</v>
      </c>
      <c r="F7" s="290">
        <v>2018</v>
      </c>
      <c r="G7" s="290">
        <v>2019</v>
      </c>
      <c r="H7" s="290">
        <v>2020</v>
      </c>
      <c r="I7" s="290">
        <v>2021</v>
      </c>
      <c r="J7" s="290">
        <v>2022</v>
      </c>
      <c r="K7" s="290">
        <v>2023</v>
      </c>
      <c r="L7" s="290">
        <v>2024</v>
      </c>
      <c r="M7" s="290">
        <v>2025</v>
      </c>
      <c r="N7" s="290">
        <v>2026</v>
      </c>
      <c r="O7" s="290">
        <v>2027</v>
      </c>
      <c r="P7" s="290">
        <v>2028</v>
      </c>
      <c r="Q7" s="290">
        <v>2029</v>
      </c>
      <c r="R7" s="290">
        <v>2030</v>
      </c>
      <c r="S7" s="290">
        <v>2031</v>
      </c>
      <c r="T7" s="290">
        <v>2032</v>
      </c>
      <c r="U7" s="290">
        <v>2033</v>
      </c>
    </row>
    <row r="8" spans="1:21" s="299" customFormat="1" ht="12.75">
      <c r="A8" s="297" t="s">
        <v>188</v>
      </c>
      <c r="B8" s="298">
        <f>B11+B14</f>
        <v>166176.38903609058</v>
      </c>
      <c r="C8" s="298">
        <f t="shared" ref="C8:U8" si="0">C11+C14</f>
        <v>341776.28530746698</v>
      </c>
      <c r="D8" s="298">
        <f t="shared" si="0"/>
        <v>522155.61652154161</v>
      </c>
      <c r="E8" s="298">
        <f t="shared" si="0"/>
        <v>687025.6508983305</v>
      </c>
      <c r="F8" s="298">
        <f t="shared" si="0"/>
        <v>824046.84512882703</v>
      </c>
      <c r="G8" s="298">
        <f t="shared" si="0"/>
        <v>947575.49902558117</v>
      </c>
      <c r="H8" s="298">
        <f t="shared" si="0"/>
        <v>1060159.7912867223</v>
      </c>
      <c r="I8" s="298">
        <f t="shared" si="0"/>
        <v>1081423.7037046624</v>
      </c>
      <c r="J8" s="298">
        <f t="shared" si="0"/>
        <v>1161202.837415409</v>
      </c>
      <c r="K8" s="298">
        <f t="shared" si="0"/>
        <v>1214165.6169172677</v>
      </c>
      <c r="L8" s="298">
        <f t="shared" si="0"/>
        <v>1244831.8546692997</v>
      </c>
      <c r="M8" s="298">
        <f t="shared" si="0"/>
        <v>1274829.3971541126</v>
      </c>
      <c r="N8" s="298">
        <f t="shared" si="0"/>
        <v>1302096.6851286837</v>
      </c>
      <c r="O8" s="298">
        <f t="shared" si="0"/>
        <v>1328472.4859736811</v>
      </c>
      <c r="P8" s="298">
        <f t="shared" si="0"/>
        <v>1353796.0823201598</v>
      </c>
      <c r="Q8" s="298">
        <f t="shared" si="0"/>
        <v>1376193.9009548898</v>
      </c>
      <c r="R8" s="298">
        <f t="shared" si="0"/>
        <v>1396636.3880181264</v>
      </c>
      <c r="S8" s="298">
        <f t="shared" si="0"/>
        <v>1416269.1417863162</v>
      </c>
      <c r="T8" s="298">
        <f t="shared" si="0"/>
        <v>1433209.4744869415</v>
      </c>
      <c r="U8" s="298">
        <f t="shared" si="0"/>
        <v>1449999.6799696458</v>
      </c>
    </row>
    <row r="9" spans="1:21">
      <c r="A9" s="300" t="s">
        <v>189</v>
      </c>
      <c r="B9" s="301">
        <v>81066.227697276961</v>
      </c>
      <c r="C9" s="301">
        <v>166095.89351769956</v>
      </c>
      <c r="D9" s="301">
        <v>254630.97531867278</v>
      </c>
      <c r="E9" s="301">
        <v>334781.15873075946</v>
      </c>
      <c r="F9" s="301">
        <v>403737.03222682647</v>
      </c>
      <c r="G9" s="301">
        <v>463565.42576875485</v>
      </c>
      <c r="H9" s="301">
        <v>515459.36753287405</v>
      </c>
      <c r="I9" s="301">
        <v>560265.85966009169</v>
      </c>
      <c r="J9" s="301">
        <v>598763.1268972524</v>
      </c>
      <c r="K9" s="301">
        <v>616213.12457636278</v>
      </c>
      <c r="L9" s="301">
        <v>621194.32027325674</v>
      </c>
      <c r="M9" s="301">
        <v>626175.51597015082</v>
      </c>
      <c r="N9" s="301">
        <v>631127.17567170702</v>
      </c>
      <c r="O9" s="301">
        <v>635965.71773824946</v>
      </c>
      <c r="P9" s="301">
        <v>640654.26588821365</v>
      </c>
      <c r="Q9" s="301">
        <v>645121.71109462006</v>
      </c>
      <c r="R9" s="301">
        <v>649589.15630102635</v>
      </c>
      <c r="S9" s="301">
        <v>654056.60150743299</v>
      </c>
      <c r="T9" s="301">
        <v>658394.30969780334</v>
      </c>
      <c r="U9" s="286">
        <v>662733.23575347324</v>
      </c>
    </row>
    <row r="10" spans="1:21">
      <c r="A10" s="300" t="s">
        <v>190</v>
      </c>
      <c r="B10" s="302">
        <v>73788.538283233662</v>
      </c>
      <c r="C10" s="302">
        <v>152646.00467667531</v>
      </c>
      <c r="D10" s="302">
        <v>232446.4461199448</v>
      </c>
      <c r="E10" s="302">
        <v>306219.33806154452</v>
      </c>
      <c r="F10" s="302">
        <v>365116.0592625931</v>
      </c>
      <c r="G10" s="302">
        <v>420668.40059328813</v>
      </c>
      <c r="H10" s="302">
        <v>474072.86956918985</v>
      </c>
      <c r="I10" s="302">
        <v>447125.27727772616</v>
      </c>
      <c r="J10" s="302">
        <v>482990.03705388401</v>
      </c>
      <c r="K10" s="302">
        <v>515211.17915762693</v>
      </c>
      <c r="L10" s="302">
        <v>539003.9288473468</v>
      </c>
      <c r="M10" s="302">
        <v>562133.07029863656</v>
      </c>
      <c r="N10" s="302">
        <v>582663.0680881883</v>
      </c>
      <c r="O10" s="302">
        <v>602434.74631829618</v>
      </c>
      <c r="P10" s="302">
        <v>621349.20330224326</v>
      </c>
      <c r="Q10" s="302">
        <v>637848.67198019859</v>
      </c>
      <c r="R10" s="302">
        <v>652469.22565694037</v>
      </c>
      <c r="S10" s="302">
        <v>666307.11120340624</v>
      </c>
      <c r="T10" s="302">
        <v>677762.45325456792</v>
      </c>
      <c r="U10" s="286">
        <v>689082.6548607396</v>
      </c>
    </row>
    <row r="11" spans="1:21">
      <c r="A11" s="303" t="s">
        <v>163</v>
      </c>
      <c r="B11" s="304">
        <f>B9+B10</f>
        <v>154854.76598051062</v>
      </c>
      <c r="C11" s="304">
        <f t="shared" ref="C11:U11" si="1">C9+C10</f>
        <v>318741.89819437487</v>
      </c>
      <c r="D11" s="304">
        <f t="shared" si="1"/>
        <v>487077.42143861757</v>
      </c>
      <c r="E11" s="304">
        <f t="shared" si="1"/>
        <v>641000.49679230398</v>
      </c>
      <c r="F11" s="304">
        <f t="shared" si="1"/>
        <v>768853.09148941957</v>
      </c>
      <c r="G11" s="304">
        <f t="shared" si="1"/>
        <v>884233.82636204292</v>
      </c>
      <c r="H11" s="304">
        <f t="shared" si="1"/>
        <v>989532.23710206384</v>
      </c>
      <c r="I11" s="304">
        <f t="shared" si="1"/>
        <v>1007391.1369378178</v>
      </c>
      <c r="J11" s="304">
        <f t="shared" si="1"/>
        <v>1081753.1639511364</v>
      </c>
      <c r="K11" s="304">
        <f t="shared" si="1"/>
        <v>1131424.3037339896</v>
      </c>
      <c r="L11" s="304">
        <f t="shared" si="1"/>
        <v>1160198.2491206035</v>
      </c>
      <c r="M11" s="304">
        <f t="shared" si="1"/>
        <v>1188308.5862687873</v>
      </c>
      <c r="N11" s="304">
        <f t="shared" si="1"/>
        <v>1213790.2437598952</v>
      </c>
      <c r="O11" s="304">
        <f t="shared" si="1"/>
        <v>1238400.4640565456</v>
      </c>
      <c r="P11" s="304">
        <f t="shared" si="1"/>
        <v>1262003.4691904569</v>
      </c>
      <c r="Q11" s="304">
        <f t="shared" si="1"/>
        <v>1282970.3830748186</v>
      </c>
      <c r="R11" s="304">
        <f t="shared" si="1"/>
        <v>1302058.3819579668</v>
      </c>
      <c r="S11" s="304">
        <f t="shared" si="1"/>
        <v>1320363.7127108392</v>
      </c>
      <c r="T11" s="304">
        <f t="shared" si="1"/>
        <v>1336156.7629523713</v>
      </c>
      <c r="U11" s="304">
        <f t="shared" si="1"/>
        <v>1351815.890614213</v>
      </c>
    </row>
    <row r="12" spans="1:21">
      <c r="A12" s="300" t="s">
        <v>191</v>
      </c>
      <c r="B12" s="301">
        <v>7823.938174178661</v>
      </c>
      <c r="C12" s="301">
        <v>16029.61878228955</v>
      </c>
      <c r="D12" s="301">
        <v>24573.326907663097</v>
      </c>
      <c r="E12" s="301">
        <v>32309.835248502608</v>
      </c>
      <c r="F12" s="301">
        <v>38968.632485092079</v>
      </c>
      <c r="G12" s="301">
        <v>44749.145250799957</v>
      </c>
      <c r="H12" s="301">
        <v>49765.4154984095</v>
      </c>
      <c r="I12" s="301">
        <v>54097.967962041599</v>
      </c>
      <c r="J12" s="301">
        <v>57822.541922256467</v>
      </c>
      <c r="K12" s="301">
        <v>59519.566389335749</v>
      </c>
      <c r="L12" s="301">
        <v>60015.600547139264</v>
      </c>
      <c r="M12" s="301">
        <v>60511.634704942779</v>
      </c>
      <c r="N12" s="301">
        <v>61004.714884702327</v>
      </c>
      <c r="O12" s="301">
        <v>61486.487456248644</v>
      </c>
      <c r="P12" s="301">
        <v>61953.258713932599</v>
      </c>
      <c r="Q12" s="301">
        <v>62397.948135299324</v>
      </c>
      <c r="R12" s="301">
        <v>62842.637556666021</v>
      </c>
      <c r="S12" s="301">
        <v>63287.326978032732</v>
      </c>
      <c r="T12" s="301">
        <v>63719.041035187889</v>
      </c>
      <c r="U12" s="286">
        <v>64150.8768944802</v>
      </c>
    </row>
    <row r="13" spans="1:21">
      <c r="A13" s="300" t="s">
        <v>192</v>
      </c>
      <c r="B13" s="302">
        <v>3497.6848814012824</v>
      </c>
      <c r="C13" s="302">
        <v>7004.7683308025653</v>
      </c>
      <c r="D13" s="302">
        <v>10504.868175260972</v>
      </c>
      <c r="E13" s="302">
        <v>13715.318857523866</v>
      </c>
      <c r="F13" s="302">
        <v>16225.121154315433</v>
      </c>
      <c r="G13" s="302">
        <v>18592.527412738324</v>
      </c>
      <c r="H13" s="302">
        <v>20862.138686248891</v>
      </c>
      <c r="I13" s="302">
        <v>19934.598804803059</v>
      </c>
      <c r="J13" s="302">
        <v>21627.131542016246</v>
      </c>
      <c r="K13" s="302">
        <v>23221.746793942428</v>
      </c>
      <c r="L13" s="302">
        <v>24618.005001556758</v>
      </c>
      <c r="M13" s="302">
        <v>26009.17618038259</v>
      </c>
      <c r="N13" s="302">
        <v>27301.726484086132</v>
      </c>
      <c r="O13" s="302">
        <v>28585.534460886847</v>
      </c>
      <c r="P13" s="302">
        <v>29839.354415770304</v>
      </c>
      <c r="Q13" s="302">
        <v>30825.569744771787</v>
      </c>
      <c r="R13" s="302">
        <v>31735.368503493548</v>
      </c>
      <c r="S13" s="302">
        <v>32618.102097444233</v>
      </c>
      <c r="T13" s="302">
        <v>33333.670499382439</v>
      </c>
      <c r="U13" s="286">
        <v>34032.912460952655</v>
      </c>
    </row>
    <row r="14" spans="1:21">
      <c r="A14" s="303" t="s">
        <v>164</v>
      </c>
      <c r="B14" s="304">
        <f>B12+B13</f>
        <v>11321.623055579943</v>
      </c>
      <c r="C14" s="304">
        <f t="shared" ref="C14:U14" si="2">C12+C13</f>
        <v>23034.387113092114</v>
      </c>
      <c r="D14" s="304">
        <f t="shared" si="2"/>
        <v>35078.195082924067</v>
      </c>
      <c r="E14" s="304">
        <f t="shared" si="2"/>
        <v>46025.154106026472</v>
      </c>
      <c r="F14" s="304">
        <f t="shared" si="2"/>
        <v>55193.753639407514</v>
      </c>
      <c r="G14" s="304">
        <f t="shared" si="2"/>
        <v>63341.67266353828</v>
      </c>
      <c r="H14" s="304">
        <f t="shared" si="2"/>
        <v>70627.554184658395</v>
      </c>
      <c r="I14" s="304">
        <f t="shared" si="2"/>
        <v>74032.566766844655</v>
      </c>
      <c r="J14" s="304">
        <f t="shared" si="2"/>
        <v>79449.67346427271</v>
      </c>
      <c r="K14" s="304">
        <f t="shared" si="2"/>
        <v>82741.31318327818</v>
      </c>
      <c r="L14" s="304">
        <f t="shared" si="2"/>
        <v>84633.605548696025</v>
      </c>
      <c r="M14" s="304">
        <f t="shared" si="2"/>
        <v>86520.810885325365</v>
      </c>
      <c r="N14" s="304">
        <f t="shared" si="2"/>
        <v>88306.441368788452</v>
      </c>
      <c r="O14" s="304">
        <f t="shared" si="2"/>
        <v>90072.021917135484</v>
      </c>
      <c r="P14" s="304">
        <f t="shared" si="2"/>
        <v>91792.613129702906</v>
      </c>
      <c r="Q14" s="304">
        <f t="shared" si="2"/>
        <v>93223.517880071115</v>
      </c>
      <c r="R14" s="304">
        <f t="shared" si="2"/>
        <v>94578.006060159561</v>
      </c>
      <c r="S14" s="304">
        <f t="shared" si="2"/>
        <v>95905.429075476961</v>
      </c>
      <c r="T14" s="304">
        <f t="shared" si="2"/>
        <v>97052.711534570321</v>
      </c>
      <c r="U14" s="304">
        <f t="shared" si="2"/>
        <v>98183.789355432848</v>
      </c>
    </row>
    <row r="17" spans="1:21">
      <c r="A17" s="305" t="s">
        <v>193</v>
      </c>
      <c r="B17" s="305">
        <v>2014</v>
      </c>
      <c r="C17" s="290">
        <v>2015</v>
      </c>
      <c r="D17" s="290">
        <v>2016</v>
      </c>
      <c r="E17" s="290">
        <v>2017</v>
      </c>
      <c r="F17" s="290">
        <v>2018</v>
      </c>
      <c r="G17" s="290">
        <v>2019</v>
      </c>
      <c r="H17" s="290">
        <v>2020</v>
      </c>
      <c r="I17" s="290">
        <v>2021</v>
      </c>
      <c r="J17" s="290">
        <v>2022</v>
      </c>
      <c r="K17" s="290">
        <v>2023</v>
      </c>
      <c r="L17" s="290">
        <v>2024</v>
      </c>
      <c r="M17" s="290">
        <v>2025</v>
      </c>
      <c r="N17" s="290">
        <v>2026</v>
      </c>
      <c r="O17" s="290">
        <v>2027</v>
      </c>
      <c r="P17" s="290">
        <v>2028</v>
      </c>
      <c r="Q17" s="290">
        <v>2029</v>
      </c>
      <c r="R17" s="290">
        <v>2030</v>
      </c>
      <c r="S17" s="290">
        <v>2031</v>
      </c>
      <c r="T17" s="290">
        <v>2032</v>
      </c>
      <c r="U17" s="290">
        <v>2033</v>
      </c>
    </row>
    <row r="18" spans="1:21">
      <c r="A18" s="306" t="s">
        <v>188</v>
      </c>
      <c r="B18" s="307">
        <f>'2013 P-Study'!B8</f>
        <v>5000487.0117270034</v>
      </c>
      <c r="C18" s="307">
        <f>'2013 P-Study'!C8</f>
        <v>5081576.8059160989</v>
      </c>
      <c r="D18" s="307">
        <f>'2013 P-Study'!D8</f>
        <v>5187635.003592357</v>
      </c>
      <c r="E18" s="307">
        <f>'2013 P-Study'!E8</f>
        <v>5271789.508203472</v>
      </c>
      <c r="F18" s="307">
        <f>'2013 P-Study'!F8</f>
        <v>5360585.9118454196</v>
      </c>
      <c r="G18" s="307">
        <f>'2013 P-Study'!G8</f>
        <v>5439897.3155827392</v>
      </c>
      <c r="H18" s="307">
        <f>'2013 P-Study'!H8</f>
        <v>5400807.9797639977</v>
      </c>
      <c r="I18" s="307">
        <f>'2013 P-Study'!I8</f>
        <v>5499235.9733325373</v>
      </c>
      <c r="J18" s="307">
        <f>'2013 P-Study'!J8</f>
        <v>5554538.048132549</v>
      </c>
      <c r="K18" s="307">
        <f>'2013 P-Study'!K8</f>
        <v>5521073.0232105609</v>
      </c>
      <c r="L18" s="307">
        <f>'2013 P-Study'!L8</f>
        <v>5599444.0091124028</v>
      </c>
      <c r="M18" s="307">
        <f>'2013 P-Study'!M8</f>
        <v>5671937.2571757175</v>
      </c>
      <c r="N18" s="307">
        <f>'2013 P-Study'!N8</f>
        <v>5748015.1798180817</v>
      </c>
      <c r="O18" s="307">
        <f>'2013 P-Study'!O8</f>
        <v>5824120.7108208099</v>
      </c>
      <c r="P18" s="307">
        <f>'2013 P-Study'!P8</f>
        <v>5900003.3656084985</v>
      </c>
      <c r="Q18" s="307">
        <f>'2013 P-Study'!Q8</f>
        <v>5927812.0215243697</v>
      </c>
      <c r="R18" s="307">
        <f>'2013 P-Study'!R8</f>
        <v>6032589.0281015048</v>
      </c>
      <c r="S18" s="307">
        <f>'2013 P-Study'!S8</f>
        <v>6081685.6273299828</v>
      </c>
      <c r="T18" s="307">
        <f>'2013 P-Study'!T8</f>
        <v>6138552.4439200331</v>
      </c>
      <c r="U18" s="307">
        <f>'2013 P-Study'!U8</f>
        <v>6185595.2855612319</v>
      </c>
    </row>
    <row r="19" spans="1:21">
      <c r="A19" s="308" t="s">
        <v>156</v>
      </c>
      <c r="B19" s="309">
        <f>'2013 P-Study'!B25</f>
        <v>4643267.1077270042</v>
      </c>
      <c r="C19" s="309">
        <f>'2013 P-Study'!C25</f>
        <v>4720051.7659160979</v>
      </c>
      <c r="D19" s="309">
        <f>'2013 P-Study'!D25</f>
        <v>4822855.9795923568</v>
      </c>
      <c r="E19" s="309">
        <f>'2013 P-Study'!E25</f>
        <v>4904696.3882034719</v>
      </c>
      <c r="F19" s="309">
        <f>'2013 P-Study'!F25</f>
        <v>4987875.9118454196</v>
      </c>
      <c r="G19" s="309">
        <f>'2013 P-Study'!G25</f>
        <v>5059391.0275827385</v>
      </c>
      <c r="H19" s="309">
        <f>'2013 P-Study'!H25</f>
        <v>5015086.9237639979</v>
      </c>
      <c r="I19" s="309">
        <f>'2013 P-Study'!I25</f>
        <v>5105875.7653325377</v>
      </c>
      <c r="J19" s="309">
        <f>'2013 P-Study'!J25</f>
        <v>5159531.3281325493</v>
      </c>
      <c r="K19" s="309">
        <f>'2013 P-Study'!K25</f>
        <v>5124626.7032105606</v>
      </c>
      <c r="L19" s="309">
        <f>'2013 P-Study'!L25</f>
        <v>5197950.7931124028</v>
      </c>
      <c r="M19" s="309">
        <f>'2013 P-Study'!M25</f>
        <v>5268610.1371757165</v>
      </c>
      <c r="N19" s="309">
        <f>'2013 P-Study'!N25</f>
        <v>5342232.4438180812</v>
      </c>
      <c r="O19" s="309">
        <f>'2013 P-Study'!O25</f>
        <v>5416174.18282081</v>
      </c>
      <c r="P19" s="309">
        <f>'2013 P-Study'!P25</f>
        <v>5488836.0376084978</v>
      </c>
      <c r="Q19" s="309">
        <f>'2013 P-Study'!Q25</f>
        <v>5515321.2375243697</v>
      </c>
      <c r="R19" s="309">
        <f>'2013 P-Study'!R25</f>
        <v>5617364.4681015052</v>
      </c>
      <c r="S19" s="309">
        <f>'2013 P-Study'!S25</f>
        <v>5663570.1553299818</v>
      </c>
      <c r="T19" s="309">
        <f>'2013 P-Study'!T25</f>
        <v>5716313.2818709342</v>
      </c>
      <c r="U19" s="309">
        <f>'2013 P-Study'!U25</f>
        <v>5759187.3013785556</v>
      </c>
    </row>
    <row r="20" spans="1:21">
      <c r="A20" s="308" t="s">
        <v>49</v>
      </c>
      <c r="B20" s="309">
        <f>'2013 P-Study'!B38</f>
        <v>357219.90399999998</v>
      </c>
      <c r="C20" s="309">
        <f>'2013 P-Study'!C38</f>
        <v>361525.04</v>
      </c>
      <c r="D20" s="309">
        <f>'2013 P-Study'!D38</f>
        <v>364779.02399999998</v>
      </c>
      <c r="E20" s="309">
        <f>'2013 P-Study'!E38</f>
        <v>367093.12</v>
      </c>
      <c r="F20" s="309">
        <f>'2013 P-Study'!F38</f>
        <v>372710</v>
      </c>
      <c r="G20" s="309">
        <f>'2013 P-Study'!G38</f>
        <v>380506.288</v>
      </c>
      <c r="H20" s="309">
        <f>'2013 P-Study'!H38</f>
        <v>385721.05599999998</v>
      </c>
      <c r="I20" s="309">
        <f>'2013 P-Study'!I38</f>
        <v>393360.20799999998</v>
      </c>
      <c r="J20" s="309">
        <f>'2013 P-Study'!J38</f>
        <v>395006.72000000003</v>
      </c>
      <c r="K20" s="309">
        <f>'2013 P-Study'!K38</f>
        <v>396446.32</v>
      </c>
      <c r="L20" s="309">
        <f>'2013 P-Study'!L38</f>
        <v>401493.21599999996</v>
      </c>
      <c r="M20" s="309">
        <f>'2013 P-Study'!M38</f>
        <v>403327.12</v>
      </c>
      <c r="N20" s="309">
        <f>'2013 P-Study'!N38</f>
        <v>405782.73599999998</v>
      </c>
      <c r="O20" s="309">
        <f>'2013 P-Study'!O38</f>
        <v>407946.52799999999</v>
      </c>
      <c r="P20" s="309">
        <f>'2013 P-Study'!P38</f>
        <v>411167.32799999998</v>
      </c>
      <c r="Q20" s="309">
        <f>'2013 P-Study'!Q38</f>
        <v>412490.78399999999</v>
      </c>
      <c r="R20" s="309">
        <f>'2013 P-Study'!R38</f>
        <v>415224.56</v>
      </c>
      <c r="S20" s="309">
        <f>'2013 P-Study'!S38</f>
        <v>418115.47200000001</v>
      </c>
      <c r="T20" s="309">
        <f>'2013 P-Study'!T38</f>
        <v>422239.16204909829</v>
      </c>
      <c r="U20" s="309">
        <f>'2013 P-Study'!U38</f>
        <v>426407.98418267636</v>
      </c>
    </row>
    <row r="24" spans="1:21">
      <c r="A24" s="305" t="s">
        <v>173</v>
      </c>
      <c r="B24" s="305">
        <v>2014</v>
      </c>
      <c r="C24" s="290">
        <v>2015</v>
      </c>
      <c r="D24" s="290">
        <v>2016</v>
      </c>
      <c r="E24" s="290">
        <v>2017</v>
      </c>
      <c r="F24" s="290">
        <v>2018</v>
      </c>
      <c r="G24" s="290">
        <v>2019</v>
      </c>
      <c r="H24" s="290">
        <v>2020</v>
      </c>
      <c r="I24" s="290">
        <v>2021</v>
      </c>
      <c r="J24" s="290">
        <v>2022</v>
      </c>
      <c r="K24" s="290">
        <v>2023</v>
      </c>
      <c r="L24" s="290">
        <v>2024</v>
      </c>
      <c r="M24" s="290">
        <v>2025</v>
      </c>
      <c r="N24" s="290">
        <v>2026</v>
      </c>
      <c r="O24" s="290">
        <v>2027</v>
      </c>
      <c r="P24" s="290">
        <v>2028</v>
      </c>
      <c r="Q24" s="290">
        <v>2029</v>
      </c>
      <c r="R24" s="290">
        <v>2030</v>
      </c>
      <c r="S24" s="290">
        <v>2031</v>
      </c>
      <c r="T24" s="290">
        <v>2032</v>
      </c>
      <c r="U24" s="290">
        <v>2033</v>
      </c>
    </row>
    <row r="25" spans="1:21">
      <c r="A25" s="306" t="s">
        <v>188</v>
      </c>
      <c r="B25" s="307">
        <f>B18-B8</f>
        <v>4834310.6226909123</v>
      </c>
      <c r="C25" s="307">
        <f t="shared" ref="C25:U25" si="3">C18-C8</f>
        <v>4739800.5206086319</v>
      </c>
      <c r="D25" s="307">
        <f t="shared" si="3"/>
        <v>4665479.3870708151</v>
      </c>
      <c r="E25" s="307">
        <f t="shared" si="3"/>
        <v>4584763.8573051412</v>
      </c>
      <c r="F25" s="307">
        <f t="shared" si="3"/>
        <v>4536539.0667165928</v>
      </c>
      <c r="G25" s="307">
        <f t="shared" si="3"/>
        <v>4492321.8165571578</v>
      </c>
      <c r="H25" s="307">
        <f t="shared" si="3"/>
        <v>4340648.1884772759</v>
      </c>
      <c r="I25" s="307">
        <f t="shared" si="3"/>
        <v>4417812.2696278747</v>
      </c>
      <c r="J25" s="307">
        <f t="shared" si="3"/>
        <v>4393335.2107171398</v>
      </c>
      <c r="K25" s="307">
        <f t="shared" si="3"/>
        <v>4306907.4062932935</v>
      </c>
      <c r="L25" s="307">
        <f t="shared" si="3"/>
        <v>4354612.1544431029</v>
      </c>
      <c r="M25" s="307">
        <f t="shared" si="3"/>
        <v>4397107.8600216052</v>
      </c>
      <c r="N25" s="307">
        <f t="shared" si="3"/>
        <v>4445918.4946893975</v>
      </c>
      <c r="O25" s="307">
        <f t="shared" si="3"/>
        <v>4495648.2248471286</v>
      </c>
      <c r="P25" s="307">
        <f t="shared" si="3"/>
        <v>4546207.2832883392</v>
      </c>
      <c r="Q25" s="307">
        <f t="shared" si="3"/>
        <v>4551618.1205694797</v>
      </c>
      <c r="R25" s="307">
        <f t="shared" si="3"/>
        <v>4635952.6400833782</v>
      </c>
      <c r="S25" s="307">
        <f t="shared" si="3"/>
        <v>4665416.4855436664</v>
      </c>
      <c r="T25" s="307">
        <f t="shared" si="3"/>
        <v>4705342.9694330916</v>
      </c>
      <c r="U25" s="307">
        <f t="shared" si="3"/>
        <v>4735595.6055915859</v>
      </c>
    </row>
    <row r="26" spans="1:21">
      <c r="A26" s="308" t="s">
        <v>156</v>
      </c>
      <c r="B26" s="309">
        <f>B19-B11</f>
        <v>4488412.3417464932</v>
      </c>
      <c r="C26" s="309">
        <f>C19-C11</f>
        <v>4401309.8677217234</v>
      </c>
      <c r="D26" s="309">
        <f t="shared" ref="D26:U26" si="4">D19-D11</f>
        <v>4335778.5581537392</v>
      </c>
      <c r="E26" s="309">
        <f t="shared" si="4"/>
        <v>4263695.8914111676</v>
      </c>
      <c r="F26" s="309">
        <f t="shared" si="4"/>
        <v>4219022.8203560002</v>
      </c>
      <c r="G26" s="309">
        <f t="shared" si="4"/>
        <v>4175157.2012206959</v>
      </c>
      <c r="H26" s="309">
        <f t="shared" si="4"/>
        <v>4025554.686661934</v>
      </c>
      <c r="I26" s="309">
        <f t="shared" si="4"/>
        <v>4098484.6283947201</v>
      </c>
      <c r="J26" s="309">
        <f t="shared" si="4"/>
        <v>4077778.1641814131</v>
      </c>
      <c r="K26" s="309">
        <f t="shared" si="4"/>
        <v>3993202.399476571</v>
      </c>
      <c r="L26" s="309">
        <f t="shared" si="4"/>
        <v>4037752.5439917995</v>
      </c>
      <c r="M26" s="309">
        <f t="shared" si="4"/>
        <v>4080301.5509069292</v>
      </c>
      <c r="N26" s="309">
        <f t="shared" si="4"/>
        <v>4128442.200058186</v>
      </c>
      <c r="O26" s="309">
        <f t="shared" si="4"/>
        <v>4177773.7187642641</v>
      </c>
      <c r="P26" s="309">
        <f t="shared" si="4"/>
        <v>4226832.5684180409</v>
      </c>
      <c r="Q26" s="309">
        <f t="shared" si="4"/>
        <v>4232350.8544495516</v>
      </c>
      <c r="R26" s="309">
        <f t="shared" si="4"/>
        <v>4315306.0861435384</v>
      </c>
      <c r="S26" s="309">
        <f t="shared" si="4"/>
        <v>4343206.4426191431</v>
      </c>
      <c r="T26" s="309">
        <f t="shared" si="4"/>
        <v>4380156.5189185627</v>
      </c>
      <c r="U26" s="309">
        <f t="shared" si="4"/>
        <v>4407371.4107643422</v>
      </c>
    </row>
    <row r="27" spans="1:21">
      <c r="A27" s="308" t="s">
        <v>49</v>
      </c>
      <c r="B27" s="309">
        <f>B20-B14</f>
        <v>345898.28094442002</v>
      </c>
      <c r="C27" s="309">
        <f t="shared" ref="C27:U27" si="5">C20-C14</f>
        <v>338490.65288690786</v>
      </c>
      <c r="D27" s="309">
        <f t="shared" si="5"/>
        <v>329700.82891707588</v>
      </c>
      <c r="E27" s="309">
        <f t="shared" si="5"/>
        <v>321067.96589397354</v>
      </c>
      <c r="F27" s="309">
        <f t="shared" si="5"/>
        <v>317516.24636059249</v>
      </c>
      <c r="G27" s="309">
        <f t="shared" si="5"/>
        <v>317164.61533646169</v>
      </c>
      <c r="H27" s="309">
        <f t="shared" si="5"/>
        <v>315093.50181534159</v>
      </c>
      <c r="I27" s="309">
        <f t="shared" si="5"/>
        <v>319327.64123315533</v>
      </c>
      <c r="J27" s="309">
        <f t="shared" si="5"/>
        <v>315557.04653572734</v>
      </c>
      <c r="K27" s="309">
        <f t="shared" si="5"/>
        <v>313705.00681672181</v>
      </c>
      <c r="L27" s="309">
        <f t="shared" si="5"/>
        <v>316859.61045130395</v>
      </c>
      <c r="M27" s="309">
        <f t="shared" si="5"/>
        <v>316806.30911467463</v>
      </c>
      <c r="N27" s="309">
        <f t="shared" si="5"/>
        <v>317476.29463121155</v>
      </c>
      <c r="O27" s="309">
        <f t="shared" si="5"/>
        <v>317874.50608286448</v>
      </c>
      <c r="P27" s="309">
        <f t="shared" si="5"/>
        <v>319374.71487029706</v>
      </c>
      <c r="Q27" s="309">
        <f t="shared" si="5"/>
        <v>319267.26611992886</v>
      </c>
      <c r="R27" s="309">
        <f t="shared" si="5"/>
        <v>320646.55393984041</v>
      </c>
      <c r="S27" s="309">
        <f t="shared" si="5"/>
        <v>322210.04292452306</v>
      </c>
      <c r="T27" s="309">
        <f t="shared" si="5"/>
        <v>325186.45051452797</v>
      </c>
      <c r="U27" s="309">
        <f t="shared" si="5"/>
        <v>328224.19482724351</v>
      </c>
    </row>
    <row r="29" spans="1:21">
      <c r="O29" t="s">
        <v>165</v>
      </c>
    </row>
  </sheetData>
  <pageMargins left="0.7" right="0.7" top="0.75" bottom="0.75" header="0.3" footer="0.3"/>
  <drawing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V66"/>
  <sheetViews>
    <sheetView topLeftCell="A36" workbookViewId="0">
      <selection activeCell="C52" sqref="C52"/>
    </sheetView>
  </sheetViews>
  <sheetFormatPr defaultRowHeight="15"/>
  <cols>
    <col min="1" max="1" width="43.28515625" bestFit="1" customWidth="1"/>
    <col min="2" max="2" width="14.28515625" customWidth="1"/>
    <col min="3" max="3" width="13.5703125" bestFit="1" customWidth="1"/>
    <col min="4" max="21" width="12.5703125" bestFit="1" customWidth="1"/>
  </cols>
  <sheetData>
    <row r="2" spans="1:21" s="258" customFormat="1" ht="12.75">
      <c r="A2" s="288" t="s">
        <v>185</v>
      </c>
      <c r="B2" s="289">
        <v>2014</v>
      </c>
      <c r="C2" s="290">
        <v>2015</v>
      </c>
      <c r="D2" s="290">
        <v>2016</v>
      </c>
      <c r="E2" s="290">
        <v>2017</v>
      </c>
      <c r="F2" s="290">
        <v>2018</v>
      </c>
      <c r="G2" s="290">
        <v>2019</v>
      </c>
      <c r="H2" s="290">
        <v>2020</v>
      </c>
      <c r="I2" s="290">
        <v>2021</v>
      </c>
      <c r="J2" s="290">
        <v>2022</v>
      </c>
      <c r="K2" s="290">
        <v>2023</v>
      </c>
      <c r="L2" s="290">
        <v>2024</v>
      </c>
      <c r="M2" s="290">
        <v>2025</v>
      </c>
      <c r="N2" s="290">
        <v>2026</v>
      </c>
      <c r="O2" s="290">
        <v>2027</v>
      </c>
      <c r="P2" s="290">
        <v>2028</v>
      </c>
      <c r="Q2" s="290">
        <v>2029</v>
      </c>
      <c r="R2" s="290">
        <v>2030</v>
      </c>
      <c r="S2" s="290">
        <v>2031</v>
      </c>
      <c r="T2" s="290">
        <v>2032</v>
      </c>
      <c r="U2" s="290">
        <v>2033</v>
      </c>
    </row>
    <row r="3" spans="1:21" s="258" customFormat="1" ht="12.75">
      <c r="A3" s="291" t="s">
        <v>186</v>
      </c>
      <c r="B3" s="292">
        <f>'[4]2013 Updated Study'!B4/'[4]2013 Savings as % of Sales'!B25</f>
        <v>3.364159403824183E-2</v>
      </c>
      <c r="C3" s="293">
        <f>'[4]2013 Updated Study'!C4/'[4]2013 Savings as % of Sales'!C25</f>
        <v>3.626180850741488E-2</v>
      </c>
      <c r="D3" s="293">
        <f>'[4]2013 Updated Study'!D4/'[4]2013 Savings as % of Sales'!D25</f>
        <v>3.7830138313715046E-2</v>
      </c>
      <c r="E3" s="293">
        <f>'[4]2013 Updated Study'!E4/'[4]2013 Savings as % of Sales'!E25</f>
        <v>3.6612216278650175E-2</v>
      </c>
      <c r="F3" s="293">
        <f>'[4]2013 Updated Study'!F4/'[4]2013 Savings as % of Sales'!F25</f>
        <v>3.5104867526051096E-2</v>
      </c>
      <c r="G3" s="293">
        <f>'[4]2013 Updated Study'!G4/'[4]2013 Savings as % of Sales'!G25</f>
        <v>3.3768044190585281E-2</v>
      </c>
      <c r="H3" s="293">
        <f>'[4]2013 Updated Study'!H4/'[4]2013 Savings as % of Sales'!H25</f>
        <v>3.3522512030882141E-2</v>
      </c>
      <c r="I3" s="293">
        <f>'[4]2013 Updated Study'!I4/'[4]2013 Savings as % of Sales'!I25</f>
        <v>2.9017264034013977E-2</v>
      </c>
      <c r="J3" s="293">
        <f>'[4]2013 Updated Study'!J4/'[4]2013 Savings as % of Sales'!J25</f>
        <v>2.8559088554613015E-2</v>
      </c>
      <c r="K3" s="293">
        <f>'[4]2013 Updated Study'!K4/'[4]2013 Savings as % of Sales'!K25</f>
        <v>2.4166418820721566E-2</v>
      </c>
      <c r="L3" s="293">
        <f>'[4]2013 Updated Study'!L4/'[4]2013 Savings as % of Sales'!L25</f>
        <v>2.3837287862424283E-2</v>
      </c>
      <c r="M3" s="293">
        <f>'[4]2013 Updated Study'!M4/'[4]2013 Savings as % of Sales'!M25</f>
        <v>2.4191329687826762E-2</v>
      </c>
      <c r="N3" s="293">
        <f>'[4]2013 Updated Study'!N4/'[4]2013 Savings as % of Sales'!N25</f>
        <v>2.5961446357059235E-2</v>
      </c>
      <c r="O3" s="293">
        <f>'[4]2013 Updated Study'!O4/'[4]2013 Savings as % of Sales'!O25</f>
        <v>2.5509387186371208E-2</v>
      </c>
      <c r="P3" s="293">
        <f>'[4]2013 Updated Study'!P4/'[4]2013 Savings as % of Sales'!P25</f>
        <v>2.800674388404098E-2</v>
      </c>
      <c r="Q3" s="293">
        <f>'[4]2013 Updated Study'!Q4/'[4]2013 Savings as % of Sales'!Q25</f>
        <v>3.4984077587175415E-2</v>
      </c>
      <c r="R3" s="293">
        <f>'[4]2013 Updated Study'!R4/'[4]2013 Savings as % of Sales'!R25</f>
        <v>3.4940390320989743E-2</v>
      </c>
      <c r="S3" s="293">
        <f>'[4]2013 Updated Study'!S4/'[4]2013 Savings as % of Sales'!S25</f>
        <v>3.3749225472566716E-2</v>
      </c>
      <c r="T3" s="293">
        <f>'[4]2013 Updated Study'!T4/'[4]2013 Savings as % of Sales'!T25</f>
        <v>3.2284434532577934E-2</v>
      </c>
      <c r="U3" s="293">
        <f>'[4]2013 Updated Study'!U4/'[4]2013 Savings as % of Sales'!U25</f>
        <v>2.9537895134378479E-2</v>
      </c>
    </row>
    <row r="4" spans="1:21" s="258" customFormat="1" ht="12.75">
      <c r="A4" s="294" t="s">
        <v>227</v>
      </c>
      <c r="B4" s="295">
        <f>'[4]2013 Updated Study'!B20/'[4]2013 Savings as % of Sales'!B26</f>
        <v>3.3711762834354571E-2</v>
      </c>
      <c r="C4" s="296">
        <f>'[4]2013 Updated Study'!C20/'[4]2013 Savings as % of Sales'!C26</f>
        <v>3.6389388522432863E-2</v>
      </c>
      <c r="D4" s="296">
        <f>'[4]2013 Updated Study'!D20/'[4]2013 Savings as % of Sales'!D26</f>
        <v>3.7929040963953289E-2</v>
      </c>
      <c r="E4" s="296">
        <f>'[4]2013 Updated Study'!E20/'[4]2013 Savings as % of Sales'!E26</f>
        <v>3.6719537453506076E-2</v>
      </c>
      <c r="F4" s="296">
        <f>'[4]2013 Updated Study'!F20/'[4]2013 Savings as % of Sales'!F26</f>
        <v>3.5238548976399484E-2</v>
      </c>
      <c r="G4" s="296">
        <f>'[4]2013 Updated Study'!G20/'[4]2013 Savings as % of Sales'!G26</f>
        <v>3.3949633724534911E-2</v>
      </c>
      <c r="H4" s="296">
        <f>'[4]2013 Updated Study'!H20/'[4]2013 Savings as % of Sales'!H26</f>
        <v>3.3816580362701826E-2</v>
      </c>
      <c r="I4" s="296">
        <f>'[4]2013 Updated Study'!I20/'[4]2013 Savings as % of Sales'!I26</f>
        <v>2.924090812142768E-2</v>
      </c>
      <c r="J4" s="296">
        <f>'[4]2013 Updated Study'!J20/'[4]2013 Savings as % of Sales'!J26</f>
        <v>2.877567884627031E-2</v>
      </c>
      <c r="K4" s="296">
        <f>'[4]2013 Updated Study'!K20/'[4]2013 Savings as % of Sales'!K26</f>
        <v>2.4517061220309229E-2</v>
      </c>
      <c r="L4" s="296">
        <f>'[4]2013 Updated Study'!L20/'[4]2013 Savings as % of Sales'!L26</f>
        <v>2.4174095139666996E-2</v>
      </c>
      <c r="M4" s="296">
        <f>'[4]2013 Updated Study'!M20/'[4]2013 Savings as % of Sales'!M26</f>
        <v>2.4473026277404442E-2</v>
      </c>
      <c r="N4" s="296">
        <f>'[4]2013 Updated Study'!N20/'[4]2013 Savings as % of Sales'!N26</f>
        <v>2.6168179836002347E-2</v>
      </c>
      <c r="O4" s="296">
        <f>'[4]2013 Updated Study'!O20/'[4]2013 Savings as % of Sales'!O26</f>
        <v>2.5690644426690477E-2</v>
      </c>
      <c r="P4" s="296">
        <f>'[4]2013 Updated Study'!P20/'[4]2013 Savings as % of Sales'!P26</f>
        <v>2.8141107309753798E-2</v>
      </c>
      <c r="Q4" s="296">
        <f>'[4]2013 Updated Study'!Q20/'[4]2013 Savings as % of Sales'!Q26</f>
        <v>3.4968266308275056E-2</v>
      </c>
      <c r="R4" s="296">
        <f>'[4]2013 Updated Study'!R20/'[4]2013 Savings as % of Sales'!R26</f>
        <v>3.4877952691942229E-2</v>
      </c>
      <c r="S4" s="296">
        <f>'[4]2013 Updated Study'!S20/'[4]2013 Savings as % of Sales'!S26</f>
        <v>3.3698840779635565E-2</v>
      </c>
      <c r="T4" s="296">
        <f>'[4]2013 Updated Study'!T20/'[4]2013 Savings as % of Sales'!T26</f>
        <v>3.2267450324371394E-2</v>
      </c>
      <c r="U4" s="296">
        <f>'[4]2013 Updated Study'!U20/'[4]2013 Savings as % of Sales'!U26</f>
        <v>2.9592552640373106E-2</v>
      </c>
    </row>
    <row r="5" spans="1:21" s="258" customFormat="1" ht="12.75">
      <c r="A5" s="294" t="s">
        <v>228</v>
      </c>
      <c r="B5" s="295">
        <f>'[4]2013 Updated Study'!B33/'[4]2013 Savings as % of Sales'!B27</f>
        <v>3.273107638658411E-2</v>
      </c>
      <c r="C5" s="296">
        <f>'[4]2013 Updated Study'!C33/'[4]2013 Savings as % of Sales'!C27</f>
        <v>3.4602917267040428E-2</v>
      </c>
      <c r="D5" s="296">
        <f>'[4]2013 Updated Study'!D33/'[4]2013 Savings as % of Sales'!D27</f>
        <v>3.6529504670614978E-2</v>
      </c>
      <c r="E5" s="296">
        <f>'[4]2013 Updated Study'!E33/'[4]2013 Savings as % of Sales'!E27</f>
        <v>3.5187020055724487E-2</v>
      </c>
      <c r="F5" s="296">
        <f>'[4]2013 Updated Study'!F33/'[4]2013 Savings as % of Sales'!F27</f>
        <v>3.3328564435602004E-2</v>
      </c>
      <c r="G5" s="296">
        <f>'[4]2013 Updated Study'!G33/'[4]2013 Savings as % of Sales'!G27</f>
        <v>3.1377598303260236E-2</v>
      </c>
      <c r="H5" s="296">
        <f>'[4]2013 Updated Study'!H33/'[4]2013 Savings as % of Sales'!H27</f>
        <v>2.9765569585114674E-2</v>
      </c>
      <c r="I5" s="296">
        <f>'[4]2013 Updated Study'!I33/'[4]2013 Savings as % of Sales'!I27</f>
        <v>2.614685215561605E-2</v>
      </c>
      <c r="J5" s="296">
        <f>'[4]2013 Updated Study'!J33/'[4]2013 Savings as % of Sales'!J27</f>
        <v>2.5760205843578941E-2</v>
      </c>
      <c r="K5" s="296">
        <f>'[4]2013 Updated Study'!K33/'[4]2013 Savings as % of Sales'!K27</f>
        <v>1.9703034300340875E-2</v>
      </c>
      <c r="L5" s="296">
        <f>'[4]2013 Updated Study'!L33/'[4]2013 Savings as % of Sales'!L27</f>
        <v>1.9545341537726215E-2</v>
      </c>
      <c r="M5" s="296">
        <f>'[4]2013 Updated Study'!M33/'[4]2013 Savings as % of Sales'!M27</f>
        <v>2.0563223181516935E-2</v>
      </c>
      <c r="N5" s="296">
        <f>'[4]2013 Updated Study'!N33/'[4]2013 Savings as % of Sales'!N27</f>
        <v>2.3273096917851458E-2</v>
      </c>
      <c r="O5" s="296">
        <f>'[4]2013 Updated Study'!O33/'[4]2013 Savings as % of Sales'!O27</f>
        <v>2.312715230923959E-2</v>
      </c>
      <c r="P5" s="296">
        <f>'[4]2013 Updated Study'!P33/'[4]2013 Savings as % of Sales'!P27</f>
        <v>2.6228482558507529E-2</v>
      </c>
      <c r="Q5" s="296">
        <f>'[4]2013 Updated Study'!Q33/'[4]2013 Savings as % of Sales'!Q27</f>
        <v>3.5193679030433619E-2</v>
      </c>
      <c r="R5" s="296">
        <f>'[4]2013 Updated Study'!R33/'[4]2013 Savings as % of Sales'!R27</f>
        <v>3.5780684649191451E-2</v>
      </c>
      <c r="S5" s="296">
        <f>'[4]2013 Updated Study'!S33/'[4]2013 Savings as % of Sales'!S27</f>
        <v>3.4428382214429176E-2</v>
      </c>
      <c r="T5" s="296">
        <f>'[4]2013 Updated Study'!T33/'[4]2013 Savings as % of Sales'!T27</f>
        <v>3.2513206334652905E-2</v>
      </c>
      <c r="U5" s="296">
        <f>'[4]2013 Updated Study'!U33/'[4]2013 Savings as % of Sales'!U27</f>
        <v>2.880395798684075E-2</v>
      </c>
    </row>
    <row r="6" spans="1:21" s="258" customFormat="1" ht="12.75">
      <c r="A6" s="308" t="s">
        <v>438</v>
      </c>
      <c r="B6" s="295"/>
      <c r="C6" s="484">
        <f>C30</f>
        <v>2.1982019368575981E-2</v>
      </c>
      <c r="D6" s="484">
        <f t="shared" ref="D6:U6" si="0">D30</f>
        <v>2.2315730307901835E-2</v>
      </c>
      <c r="E6" s="484">
        <f t="shared" si="0"/>
        <v>2.2484173370083058E-2</v>
      </c>
      <c r="F6" s="484">
        <f t="shared" si="0"/>
        <v>2.1803375029861436E-2</v>
      </c>
      <c r="G6" s="484">
        <f t="shared" si="0"/>
        <v>2.2631768886013773E-2</v>
      </c>
      <c r="H6" s="484">
        <f t="shared" si="0"/>
        <v>2.0210866785220414E-2</v>
      </c>
      <c r="I6" s="484">
        <f t="shared" si="0"/>
        <v>1.8895004203835376E-2</v>
      </c>
      <c r="J6" s="484">
        <f t="shared" si="0"/>
        <v>1.8469506527588418E-2</v>
      </c>
      <c r="K6" s="484">
        <f t="shared" si="0"/>
        <v>1.8354563890521331E-2</v>
      </c>
      <c r="L6" s="484">
        <f t="shared" si="0"/>
        <v>1.8689383276843594E-2</v>
      </c>
      <c r="M6" s="484">
        <f t="shared" si="0"/>
        <v>1.8565945310055561E-2</v>
      </c>
      <c r="N6" s="484">
        <f t="shared" si="0"/>
        <v>1.8479534339474329E-2</v>
      </c>
      <c r="O6" s="484">
        <f t="shared" si="0"/>
        <v>1.8075284062436345E-2</v>
      </c>
      <c r="P6" s="484">
        <f t="shared" si="0"/>
        <v>1.7481297418939425E-2</v>
      </c>
      <c r="Q6" s="484">
        <f t="shared" si="0"/>
        <v>1.7661231268755267E-2</v>
      </c>
      <c r="R6" s="484">
        <f t="shared" si="0"/>
        <v>1.7183918917264944E-2</v>
      </c>
      <c r="S6" s="484">
        <f t="shared" si="0"/>
        <v>1.6953015052504829E-2</v>
      </c>
      <c r="T6" s="484">
        <f t="shared" si="0"/>
        <v>1.6642978330116701E-2</v>
      </c>
      <c r="U6" s="484">
        <f t="shared" si="0"/>
        <v>1.6077727823580565E-2</v>
      </c>
    </row>
    <row r="7" spans="1:21" s="258" customFormat="1" ht="12.75">
      <c r="A7" s="308" t="s">
        <v>407</v>
      </c>
      <c r="B7" s="295"/>
      <c r="C7" s="484">
        <f>C33</f>
        <v>2.1997507881547751E-2</v>
      </c>
      <c r="D7" s="484">
        <f t="shared" ref="D7:U7" si="1">D33</f>
        <v>2.2611766287877106E-2</v>
      </c>
      <c r="E7" s="484">
        <f t="shared" si="1"/>
        <v>2.3242942958051994E-2</v>
      </c>
      <c r="F7" s="484">
        <f t="shared" si="1"/>
        <v>2.256199302160946E-2</v>
      </c>
      <c r="G7" s="484">
        <f t="shared" si="1"/>
        <v>2.0259040861626641E-2</v>
      </c>
      <c r="H7" s="484">
        <f t="shared" si="1"/>
        <v>2.1737925216267804E-2</v>
      </c>
      <c r="I7" s="484">
        <f t="shared" si="1"/>
        <v>2.1280887759200819E-2</v>
      </c>
      <c r="J7" s="484">
        <f t="shared" si="1"/>
        <v>1.9131425627378858E-2</v>
      </c>
      <c r="K7" s="484">
        <f t="shared" si="1"/>
        <v>1.9939251678625196E-2</v>
      </c>
      <c r="L7" s="484">
        <f t="shared" si="1"/>
        <v>1.8536648882058457E-2</v>
      </c>
      <c r="M7" s="484">
        <f t="shared" si="1"/>
        <v>1.7624851237077091E-2</v>
      </c>
      <c r="N7" s="484">
        <f t="shared" si="1"/>
        <v>1.7458157801800333E-2</v>
      </c>
      <c r="O7" s="484">
        <f t="shared" si="1"/>
        <v>1.661523587246436E-2</v>
      </c>
      <c r="P7" s="484">
        <f t="shared" si="1"/>
        <v>1.7342450550612287E-2</v>
      </c>
      <c r="Q7" s="484">
        <f t="shared" si="1"/>
        <v>1.7162556593231796E-2</v>
      </c>
      <c r="R7" s="484">
        <f t="shared" si="1"/>
        <v>1.5970028540292131E-2</v>
      </c>
      <c r="S7" s="484">
        <f t="shared" si="1"/>
        <v>1.5589242016998952E-2</v>
      </c>
      <c r="T7" s="484">
        <f t="shared" si="1"/>
        <v>1.5384495743754858E-2</v>
      </c>
      <c r="U7" s="484">
        <f t="shared" si="1"/>
        <v>1.4534851485026956E-2</v>
      </c>
    </row>
    <row r="9" spans="1:21" s="258" customFormat="1" ht="12.75">
      <c r="A9" s="288" t="s">
        <v>434</v>
      </c>
      <c r="B9" s="289">
        <v>2014</v>
      </c>
      <c r="C9" s="290">
        <v>2015</v>
      </c>
      <c r="D9" s="290">
        <v>2016</v>
      </c>
      <c r="E9" s="290">
        <v>2017</v>
      </c>
      <c r="F9" s="290">
        <v>2018</v>
      </c>
      <c r="G9" s="290">
        <v>2019</v>
      </c>
      <c r="H9" s="290">
        <v>2020</v>
      </c>
      <c r="I9" s="290">
        <v>2021</v>
      </c>
      <c r="J9" s="290">
        <v>2022</v>
      </c>
      <c r="K9" s="290">
        <v>2023</v>
      </c>
      <c r="L9" s="290">
        <v>2024</v>
      </c>
      <c r="M9" s="290">
        <v>2025</v>
      </c>
      <c r="N9" s="290">
        <v>2026</v>
      </c>
      <c r="O9" s="290">
        <v>2027</v>
      </c>
      <c r="P9" s="290">
        <v>2028</v>
      </c>
      <c r="Q9" s="290">
        <v>2029</v>
      </c>
      <c r="R9" s="290">
        <v>2030</v>
      </c>
      <c r="S9" s="290">
        <v>2031</v>
      </c>
      <c r="T9" s="290">
        <v>2032</v>
      </c>
      <c r="U9" s="290">
        <v>2033</v>
      </c>
    </row>
    <row r="10" spans="1:21" s="299" customFormat="1" ht="12.75">
      <c r="A10" s="297" t="s">
        <v>188</v>
      </c>
      <c r="B10" s="298">
        <f>B13+B16</f>
        <v>166176.38903609058</v>
      </c>
      <c r="C10" s="298">
        <f t="shared" ref="C10:U10" si="2">C13+C16</f>
        <v>341776.28530746698</v>
      </c>
      <c r="D10" s="298">
        <f t="shared" si="2"/>
        <v>522155.61652154161</v>
      </c>
      <c r="E10" s="298">
        <f t="shared" si="2"/>
        <v>687025.6508983305</v>
      </c>
      <c r="F10" s="298">
        <f t="shared" si="2"/>
        <v>824046.84512882703</v>
      </c>
      <c r="G10" s="298">
        <f t="shared" si="2"/>
        <v>947575.49902558117</v>
      </c>
      <c r="H10" s="298">
        <f t="shared" si="2"/>
        <v>1060159.7912867223</v>
      </c>
      <c r="I10" s="298">
        <f t="shared" si="2"/>
        <v>1081423.7037046624</v>
      </c>
      <c r="J10" s="298">
        <f t="shared" si="2"/>
        <v>1161202.837415409</v>
      </c>
      <c r="K10" s="298">
        <f t="shared" si="2"/>
        <v>1214165.6169172677</v>
      </c>
      <c r="L10" s="298">
        <f t="shared" si="2"/>
        <v>1244831.8546692997</v>
      </c>
      <c r="M10" s="298">
        <f t="shared" si="2"/>
        <v>1274829.3971541126</v>
      </c>
      <c r="N10" s="298">
        <f t="shared" si="2"/>
        <v>1302096.6851286837</v>
      </c>
      <c r="O10" s="298">
        <f t="shared" si="2"/>
        <v>1328472.4859736811</v>
      </c>
      <c r="P10" s="298">
        <f t="shared" si="2"/>
        <v>1353796.0823201598</v>
      </c>
      <c r="Q10" s="298">
        <f t="shared" si="2"/>
        <v>1376193.9009548898</v>
      </c>
      <c r="R10" s="298">
        <f t="shared" si="2"/>
        <v>1396636.3880181264</v>
      </c>
      <c r="S10" s="298">
        <f t="shared" si="2"/>
        <v>1416269.1417863162</v>
      </c>
      <c r="T10" s="298">
        <f t="shared" si="2"/>
        <v>1433209.4744869415</v>
      </c>
      <c r="U10" s="298">
        <f t="shared" si="2"/>
        <v>1449999.6799696458</v>
      </c>
    </row>
    <row r="11" spans="1:21">
      <c r="A11" s="300" t="s">
        <v>189</v>
      </c>
      <c r="B11" s="301">
        <v>81066.227697276961</v>
      </c>
      <c r="C11" s="301">
        <v>166095.89351769956</v>
      </c>
      <c r="D11" s="301">
        <v>254630.97531867278</v>
      </c>
      <c r="E11" s="301">
        <v>334781.15873075946</v>
      </c>
      <c r="F11" s="301">
        <v>403737.03222682647</v>
      </c>
      <c r="G11" s="301">
        <v>463565.42576875485</v>
      </c>
      <c r="H11" s="301">
        <v>515459.36753287405</v>
      </c>
      <c r="I11" s="301">
        <v>560265.85966009169</v>
      </c>
      <c r="J11" s="301">
        <v>598763.1268972524</v>
      </c>
      <c r="K11" s="301">
        <v>616213.12457636278</v>
      </c>
      <c r="L11" s="301">
        <v>621194.32027325674</v>
      </c>
      <c r="M11" s="301">
        <v>626175.51597015082</v>
      </c>
      <c r="N11" s="301">
        <v>631127.17567170702</v>
      </c>
      <c r="O11" s="301">
        <v>635965.71773824946</v>
      </c>
      <c r="P11" s="301">
        <v>640654.26588821365</v>
      </c>
      <c r="Q11" s="301">
        <v>645121.71109462006</v>
      </c>
      <c r="R11" s="301">
        <v>649589.15630102635</v>
      </c>
      <c r="S11" s="301">
        <v>654056.60150743299</v>
      </c>
      <c r="T11" s="301">
        <v>658394.30969780334</v>
      </c>
      <c r="U11" s="286">
        <v>662733.23575347324</v>
      </c>
    </row>
    <row r="12" spans="1:21">
      <c r="A12" s="300" t="s">
        <v>190</v>
      </c>
      <c r="B12" s="302">
        <v>73788.538283233662</v>
      </c>
      <c r="C12" s="302">
        <v>152646.00467667531</v>
      </c>
      <c r="D12" s="302">
        <v>232446.4461199448</v>
      </c>
      <c r="E12" s="302">
        <v>306219.33806154452</v>
      </c>
      <c r="F12" s="302">
        <v>365116.0592625931</v>
      </c>
      <c r="G12" s="302">
        <v>420668.40059328813</v>
      </c>
      <c r="H12" s="302">
        <v>474072.86956918985</v>
      </c>
      <c r="I12" s="302">
        <v>447125.27727772616</v>
      </c>
      <c r="J12" s="302">
        <v>482990.03705388401</v>
      </c>
      <c r="K12" s="302">
        <v>515211.17915762693</v>
      </c>
      <c r="L12" s="302">
        <v>539003.9288473468</v>
      </c>
      <c r="M12" s="302">
        <v>562133.07029863656</v>
      </c>
      <c r="N12" s="302">
        <v>582663.0680881883</v>
      </c>
      <c r="O12" s="302">
        <v>602434.74631829618</v>
      </c>
      <c r="P12" s="302">
        <v>621349.20330224326</v>
      </c>
      <c r="Q12" s="302">
        <v>637848.67198019859</v>
      </c>
      <c r="R12" s="302">
        <v>652469.22565694037</v>
      </c>
      <c r="S12" s="302">
        <v>666307.11120340624</v>
      </c>
      <c r="T12" s="302">
        <v>677762.45325456792</v>
      </c>
      <c r="U12" s="286">
        <v>689082.6548607396</v>
      </c>
    </row>
    <row r="13" spans="1:21">
      <c r="A13" s="303" t="s">
        <v>163</v>
      </c>
      <c r="B13" s="304">
        <f>B11+B12</f>
        <v>154854.76598051062</v>
      </c>
      <c r="C13" s="304">
        <f t="shared" ref="C13:U13" si="3">C11+C12</f>
        <v>318741.89819437487</v>
      </c>
      <c r="D13" s="304">
        <f t="shared" si="3"/>
        <v>487077.42143861757</v>
      </c>
      <c r="E13" s="304">
        <f t="shared" si="3"/>
        <v>641000.49679230398</v>
      </c>
      <c r="F13" s="304">
        <f t="shared" si="3"/>
        <v>768853.09148941957</v>
      </c>
      <c r="G13" s="304">
        <f t="shared" si="3"/>
        <v>884233.82636204292</v>
      </c>
      <c r="H13" s="304">
        <f t="shared" si="3"/>
        <v>989532.23710206384</v>
      </c>
      <c r="I13" s="304">
        <f t="shared" si="3"/>
        <v>1007391.1369378178</v>
      </c>
      <c r="J13" s="304">
        <f t="shared" si="3"/>
        <v>1081753.1639511364</v>
      </c>
      <c r="K13" s="304">
        <f t="shared" si="3"/>
        <v>1131424.3037339896</v>
      </c>
      <c r="L13" s="304">
        <f t="shared" si="3"/>
        <v>1160198.2491206035</v>
      </c>
      <c r="M13" s="304">
        <f t="shared" si="3"/>
        <v>1188308.5862687873</v>
      </c>
      <c r="N13" s="304">
        <f t="shared" si="3"/>
        <v>1213790.2437598952</v>
      </c>
      <c r="O13" s="304">
        <f t="shared" si="3"/>
        <v>1238400.4640565456</v>
      </c>
      <c r="P13" s="304">
        <f t="shared" si="3"/>
        <v>1262003.4691904569</v>
      </c>
      <c r="Q13" s="304">
        <f t="shared" si="3"/>
        <v>1282970.3830748186</v>
      </c>
      <c r="R13" s="304">
        <f t="shared" si="3"/>
        <v>1302058.3819579668</v>
      </c>
      <c r="S13" s="304">
        <f t="shared" si="3"/>
        <v>1320363.7127108392</v>
      </c>
      <c r="T13" s="304">
        <f t="shared" si="3"/>
        <v>1336156.7629523713</v>
      </c>
      <c r="U13" s="304">
        <f t="shared" si="3"/>
        <v>1351815.890614213</v>
      </c>
    </row>
    <row r="14" spans="1:21">
      <c r="A14" s="300" t="s">
        <v>191</v>
      </c>
      <c r="B14" s="301">
        <v>7823.938174178661</v>
      </c>
      <c r="C14" s="301">
        <v>16029.61878228955</v>
      </c>
      <c r="D14" s="301">
        <v>24573.326907663097</v>
      </c>
      <c r="E14" s="301">
        <v>32309.835248502608</v>
      </c>
      <c r="F14" s="301">
        <v>38968.632485092079</v>
      </c>
      <c r="G14" s="301">
        <v>44749.145250799957</v>
      </c>
      <c r="H14" s="301">
        <v>49765.4154984095</v>
      </c>
      <c r="I14" s="301">
        <v>54097.967962041599</v>
      </c>
      <c r="J14" s="301">
        <v>57822.541922256467</v>
      </c>
      <c r="K14" s="301">
        <v>59519.566389335749</v>
      </c>
      <c r="L14" s="301">
        <v>60015.600547139264</v>
      </c>
      <c r="M14" s="301">
        <v>60511.634704942779</v>
      </c>
      <c r="N14" s="301">
        <v>61004.714884702327</v>
      </c>
      <c r="O14" s="301">
        <v>61486.487456248644</v>
      </c>
      <c r="P14" s="301">
        <v>61953.258713932599</v>
      </c>
      <c r="Q14" s="301">
        <v>62397.948135299324</v>
      </c>
      <c r="R14" s="301">
        <v>62842.637556666021</v>
      </c>
      <c r="S14" s="301">
        <v>63287.326978032732</v>
      </c>
      <c r="T14" s="301">
        <v>63719.041035187889</v>
      </c>
      <c r="U14" s="286">
        <v>64150.8768944802</v>
      </c>
    </row>
    <row r="15" spans="1:21">
      <c r="A15" s="300" t="s">
        <v>192</v>
      </c>
      <c r="B15" s="302">
        <v>3497.6848814012824</v>
      </c>
      <c r="C15" s="302">
        <v>7004.7683308025653</v>
      </c>
      <c r="D15" s="302">
        <v>10504.868175260972</v>
      </c>
      <c r="E15" s="302">
        <v>13715.318857523866</v>
      </c>
      <c r="F15" s="302">
        <v>16225.121154315433</v>
      </c>
      <c r="G15" s="302">
        <v>18592.527412738324</v>
      </c>
      <c r="H15" s="302">
        <v>20862.138686248891</v>
      </c>
      <c r="I15" s="302">
        <v>19934.598804803059</v>
      </c>
      <c r="J15" s="302">
        <v>21627.131542016246</v>
      </c>
      <c r="K15" s="302">
        <v>23221.746793942428</v>
      </c>
      <c r="L15" s="302">
        <v>24618.005001556758</v>
      </c>
      <c r="M15" s="302">
        <v>26009.17618038259</v>
      </c>
      <c r="N15" s="302">
        <v>27301.726484086132</v>
      </c>
      <c r="O15" s="302">
        <v>28585.534460886847</v>
      </c>
      <c r="P15" s="302">
        <v>29839.354415770304</v>
      </c>
      <c r="Q15" s="302">
        <v>30825.569744771787</v>
      </c>
      <c r="R15" s="302">
        <v>31735.368503493548</v>
      </c>
      <c r="S15" s="302">
        <v>32618.102097444233</v>
      </c>
      <c r="T15" s="302">
        <v>33333.670499382439</v>
      </c>
      <c r="U15" s="286">
        <v>34032.912460952655</v>
      </c>
    </row>
    <row r="16" spans="1:21">
      <c r="A16" s="303" t="s">
        <v>164</v>
      </c>
      <c r="B16" s="304">
        <f>B14+B15</f>
        <v>11321.623055579943</v>
      </c>
      <c r="C16" s="304">
        <f>C14+C15</f>
        <v>23034.387113092114</v>
      </c>
      <c r="D16" s="304">
        <f t="shared" ref="D16:U16" si="4">D14+D15</f>
        <v>35078.195082924067</v>
      </c>
      <c r="E16" s="304">
        <f t="shared" si="4"/>
        <v>46025.154106026472</v>
      </c>
      <c r="F16" s="304">
        <f t="shared" si="4"/>
        <v>55193.753639407514</v>
      </c>
      <c r="G16" s="304">
        <f t="shared" si="4"/>
        <v>63341.67266353828</v>
      </c>
      <c r="H16" s="304">
        <f t="shared" si="4"/>
        <v>70627.554184658395</v>
      </c>
      <c r="I16" s="304">
        <f t="shared" si="4"/>
        <v>74032.566766844655</v>
      </c>
      <c r="J16" s="304">
        <f t="shared" si="4"/>
        <v>79449.67346427271</v>
      </c>
      <c r="K16" s="304">
        <f t="shared" si="4"/>
        <v>82741.31318327818</v>
      </c>
      <c r="L16" s="304">
        <f t="shared" si="4"/>
        <v>84633.605548696025</v>
      </c>
      <c r="M16" s="304">
        <f t="shared" si="4"/>
        <v>86520.810885325365</v>
      </c>
      <c r="N16" s="304">
        <f t="shared" si="4"/>
        <v>88306.441368788452</v>
      </c>
      <c r="O16" s="304">
        <f t="shared" si="4"/>
        <v>90072.021917135484</v>
      </c>
      <c r="P16" s="304">
        <f t="shared" si="4"/>
        <v>91792.613129702906</v>
      </c>
      <c r="Q16" s="304">
        <f t="shared" si="4"/>
        <v>93223.517880071115</v>
      </c>
      <c r="R16" s="304">
        <f t="shared" si="4"/>
        <v>94578.006060159561</v>
      </c>
      <c r="S16" s="304">
        <f t="shared" si="4"/>
        <v>95905.429075476961</v>
      </c>
      <c r="T16" s="304">
        <f t="shared" si="4"/>
        <v>97052.711534570321</v>
      </c>
      <c r="U16" s="304">
        <f t="shared" si="4"/>
        <v>98183.789355432848</v>
      </c>
    </row>
    <row r="19" spans="1:21">
      <c r="A19" s="305" t="s">
        <v>193</v>
      </c>
      <c r="B19" s="305">
        <v>2014</v>
      </c>
      <c r="C19" s="290">
        <v>2015</v>
      </c>
      <c r="D19" s="290">
        <v>2016</v>
      </c>
      <c r="E19" s="290">
        <v>2017</v>
      </c>
      <c r="F19" s="290">
        <v>2018</v>
      </c>
      <c r="G19" s="290">
        <v>2019</v>
      </c>
      <c r="H19" s="290">
        <v>2020</v>
      </c>
      <c r="I19" s="290">
        <v>2021</v>
      </c>
      <c r="J19" s="290">
        <v>2022</v>
      </c>
      <c r="K19" s="290">
        <v>2023</v>
      </c>
      <c r="L19" s="290">
        <v>2024</v>
      </c>
      <c r="M19" s="290">
        <v>2025</v>
      </c>
      <c r="N19" s="290">
        <v>2026</v>
      </c>
      <c r="O19" s="290">
        <v>2027</v>
      </c>
      <c r="P19" s="290">
        <v>2028</v>
      </c>
      <c r="Q19" s="290">
        <v>2029</v>
      </c>
      <c r="R19" s="290">
        <v>2030</v>
      </c>
      <c r="S19" s="290">
        <v>2031</v>
      </c>
      <c r="T19" s="290">
        <v>2032</v>
      </c>
      <c r="U19" s="290">
        <v>2033</v>
      </c>
    </row>
    <row r="20" spans="1:21">
      <c r="A20" s="306" t="s">
        <v>439</v>
      </c>
      <c r="B20" s="307">
        <f>'2013 P-Study'!B8</f>
        <v>5000487.0117270034</v>
      </c>
      <c r="C20" s="307">
        <f>'2013 P-Study'!C8</f>
        <v>5081576.8059160989</v>
      </c>
      <c r="D20" s="307">
        <f>'2013 P-Study'!D8</f>
        <v>5187635.003592357</v>
      </c>
      <c r="E20" s="307">
        <f>'2013 P-Study'!E8</f>
        <v>5271789.508203472</v>
      </c>
      <c r="F20" s="307">
        <f>'2013 P-Study'!F8</f>
        <v>5360585.9118454196</v>
      </c>
      <c r="G20" s="307">
        <f>'2013 P-Study'!G8</f>
        <v>5439897.3155827392</v>
      </c>
      <c r="H20" s="307">
        <f>'2013 P-Study'!H8</f>
        <v>5400807.9797639977</v>
      </c>
      <c r="I20" s="307">
        <f>'2013 P-Study'!I8</f>
        <v>5499235.9733325373</v>
      </c>
      <c r="J20" s="307">
        <f>'2013 P-Study'!J8</f>
        <v>5554538.048132549</v>
      </c>
      <c r="K20" s="307">
        <f>'2013 P-Study'!K8</f>
        <v>5521073.0232105609</v>
      </c>
      <c r="L20" s="307">
        <f>'2013 P-Study'!L8</f>
        <v>5599444.0091124028</v>
      </c>
      <c r="M20" s="307">
        <f>'2013 P-Study'!M8</f>
        <v>5671937.2571757175</v>
      </c>
      <c r="N20" s="307">
        <f>'2013 P-Study'!N8</f>
        <v>5748015.1798180817</v>
      </c>
      <c r="O20" s="307">
        <f>'2013 P-Study'!O8</f>
        <v>5824120.7108208099</v>
      </c>
      <c r="P20" s="307">
        <f>'2013 P-Study'!P8</f>
        <v>5900003.3656084985</v>
      </c>
      <c r="Q20" s="307">
        <f>'2013 P-Study'!Q8</f>
        <v>5927812.0215243697</v>
      </c>
      <c r="R20" s="307">
        <f>'2013 P-Study'!R8</f>
        <v>6032589.0281015048</v>
      </c>
      <c r="S20" s="307">
        <f>'2013 P-Study'!S8</f>
        <v>6081685.6273299828</v>
      </c>
      <c r="T20" s="307">
        <f>'2013 P-Study'!T8</f>
        <v>6138552.4439200331</v>
      </c>
      <c r="U20" s="307">
        <f>'2013 P-Study'!U8</f>
        <v>6185595.2855612319</v>
      </c>
    </row>
    <row r="21" spans="1:21">
      <c r="A21" s="308" t="s">
        <v>156</v>
      </c>
      <c r="B21" s="309">
        <f>'2013 P-Study'!B25</f>
        <v>4643267.1077270042</v>
      </c>
      <c r="C21" s="309">
        <f>'2013 P-Study'!C25</f>
        <v>4720051.7659160979</v>
      </c>
      <c r="D21" s="309">
        <f>'2013 P-Study'!D25</f>
        <v>4822855.9795923568</v>
      </c>
      <c r="E21" s="309">
        <f>'2013 P-Study'!E25</f>
        <v>4904696.3882034719</v>
      </c>
      <c r="F21" s="309">
        <f>'2013 P-Study'!F25</f>
        <v>4987875.9118454196</v>
      </c>
      <c r="G21" s="309">
        <f>'2013 P-Study'!G25</f>
        <v>5059391.0275827385</v>
      </c>
      <c r="H21" s="309">
        <f>'2013 P-Study'!H25</f>
        <v>5015086.9237639979</v>
      </c>
      <c r="I21" s="309">
        <f>'2013 P-Study'!I25</f>
        <v>5105875.7653325377</v>
      </c>
      <c r="J21" s="309">
        <f>'2013 P-Study'!J25</f>
        <v>5159531.3281325493</v>
      </c>
      <c r="K21" s="309">
        <f>'2013 P-Study'!K25</f>
        <v>5124626.7032105606</v>
      </c>
      <c r="L21" s="309">
        <f>'2013 P-Study'!L25</f>
        <v>5197950.7931124028</v>
      </c>
      <c r="M21" s="309">
        <f>'2013 P-Study'!M25</f>
        <v>5268610.1371757165</v>
      </c>
      <c r="N21" s="309">
        <f>'2013 P-Study'!N25</f>
        <v>5342232.4438180812</v>
      </c>
      <c r="O21" s="309">
        <f>'2013 P-Study'!O25</f>
        <v>5416174.18282081</v>
      </c>
      <c r="P21" s="309">
        <f>'2013 P-Study'!P25</f>
        <v>5488836.0376084978</v>
      </c>
      <c r="Q21" s="309">
        <f>'2013 P-Study'!Q25</f>
        <v>5515321.2375243697</v>
      </c>
      <c r="R21" s="309">
        <f>'2013 P-Study'!R25</f>
        <v>5617364.4681015052</v>
      </c>
      <c r="S21" s="309">
        <f>'2013 P-Study'!S25</f>
        <v>5663570.1553299818</v>
      </c>
      <c r="T21" s="309">
        <f>'2013 P-Study'!T25</f>
        <v>5716313.2818709342</v>
      </c>
      <c r="U21" s="309">
        <f>'2013 P-Study'!U25</f>
        <v>5759187.3013785556</v>
      </c>
    </row>
    <row r="22" spans="1:21">
      <c r="A22" s="308" t="s">
        <v>49</v>
      </c>
      <c r="B22" s="309">
        <f>'2013 P-Study'!B38</f>
        <v>357219.90399999998</v>
      </c>
      <c r="C22" s="309">
        <f>'2013 P-Study'!C38</f>
        <v>361525.04</v>
      </c>
      <c r="D22" s="309">
        <f>'2013 P-Study'!D38</f>
        <v>364779.02399999998</v>
      </c>
      <c r="E22" s="309">
        <f>'2013 P-Study'!E38</f>
        <v>367093.12</v>
      </c>
      <c r="F22" s="309">
        <f>'2013 P-Study'!F38</f>
        <v>372710</v>
      </c>
      <c r="G22" s="309">
        <f>'2013 P-Study'!G38</f>
        <v>380506.288</v>
      </c>
      <c r="H22" s="309">
        <f>'2013 P-Study'!H38</f>
        <v>385721.05599999998</v>
      </c>
      <c r="I22" s="309">
        <f>'2013 P-Study'!I38</f>
        <v>393360.20799999998</v>
      </c>
      <c r="J22" s="309">
        <f>'2013 P-Study'!J38</f>
        <v>395006.72000000003</v>
      </c>
      <c r="K22" s="309">
        <f>'2013 P-Study'!K38</f>
        <v>396446.32</v>
      </c>
      <c r="L22" s="309">
        <f>'2013 P-Study'!L38</f>
        <v>401493.21599999996</v>
      </c>
      <c r="M22" s="309">
        <f>'2013 P-Study'!M38</f>
        <v>403327.12</v>
      </c>
      <c r="N22" s="309">
        <f>'2013 P-Study'!N38</f>
        <v>405782.73599999998</v>
      </c>
      <c r="O22" s="309">
        <f>'2013 P-Study'!O38</f>
        <v>407946.52799999999</v>
      </c>
      <c r="P22" s="309">
        <f>'2013 P-Study'!P38</f>
        <v>411167.32799999998</v>
      </c>
      <c r="Q22" s="309">
        <f>'2013 P-Study'!Q38</f>
        <v>412490.78399999999</v>
      </c>
      <c r="R22" s="309">
        <f>'2013 P-Study'!R38</f>
        <v>415224.56</v>
      </c>
      <c r="S22" s="309">
        <f>'2013 P-Study'!S38</f>
        <v>418115.47200000001</v>
      </c>
      <c r="T22" s="309">
        <f>'2013 P-Study'!T38</f>
        <v>422239.16204909829</v>
      </c>
      <c r="U22" s="309">
        <f>'2013 P-Study'!U38</f>
        <v>426407.98418267636</v>
      </c>
    </row>
    <row r="26" spans="1:21">
      <c r="A26" s="305" t="s">
        <v>173</v>
      </c>
      <c r="B26" s="305">
        <v>2014</v>
      </c>
      <c r="C26" s="290">
        <v>2015</v>
      </c>
      <c r="D26" s="290">
        <v>2016</v>
      </c>
      <c r="E26" s="290">
        <v>2017</v>
      </c>
      <c r="F26" s="290">
        <v>2018</v>
      </c>
      <c r="G26" s="290">
        <v>2019</v>
      </c>
      <c r="H26" s="290">
        <v>2020</v>
      </c>
      <c r="I26" s="290">
        <v>2021</v>
      </c>
      <c r="J26" s="290">
        <v>2022</v>
      </c>
      <c r="K26" s="290">
        <v>2023</v>
      </c>
      <c r="L26" s="290">
        <v>2024</v>
      </c>
      <c r="M26" s="290">
        <v>2025</v>
      </c>
      <c r="N26" s="290">
        <v>2026</v>
      </c>
      <c r="O26" s="290">
        <v>2027</v>
      </c>
      <c r="P26" s="290">
        <v>2028</v>
      </c>
      <c r="Q26" s="290">
        <v>2029</v>
      </c>
      <c r="R26" s="290">
        <v>2030</v>
      </c>
      <c r="S26" s="290">
        <v>2031</v>
      </c>
      <c r="T26" s="290">
        <v>2032</v>
      </c>
      <c r="U26" s="290">
        <v>2033</v>
      </c>
    </row>
    <row r="27" spans="1:21">
      <c r="A27" s="306" t="s">
        <v>439</v>
      </c>
      <c r="B27" s="307">
        <f>B28+B31</f>
        <v>4897832.0553380912</v>
      </c>
      <c r="C27" s="307">
        <f t="shared" ref="C27:U27" si="5">C28+C31</f>
        <v>4868596.772743335</v>
      </c>
      <c r="D27" s="307">
        <f t="shared" si="5"/>
        <v>4863352.6368442345</v>
      </c>
      <c r="E27" s="307">
        <f t="shared" si="5"/>
        <v>4836593.6385824978</v>
      </c>
      <c r="F27" s="307">
        <f t="shared" si="5"/>
        <v>4821998.9570818851</v>
      </c>
      <c r="G27" s="307">
        <f t="shared" si="5"/>
        <v>4800042.5061376384</v>
      </c>
      <c r="H27" s="307">
        <f t="shared" si="5"/>
        <v>4730655.3212739378</v>
      </c>
      <c r="I27" s="307">
        <f t="shared" si="5"/>
        <v>4752002.9596312465</v>
      </c>
      <c r="J27" s="307">
        <f t="shared" si="5"/>
        <v>4735837.0083973855</v>
      </c>
      <c r="K27" s="307">
        <f t="shared" si="5"/>
        <v>4636278.1526021985</v>
      </c>
      <c r="L27" s="307">
        <f t="shared" si="5"/>
        <v>4650937.2767974595</v>
      </c>
      <c r="M27" s="307">
        <f t="shared" si="5"/>
        <v>4668526.0009819902</v>
      </c>
      <c r="N27" s="307">
        <f t="shared" si="5"/>
        <v>4691716.9301475883</v>
      </c>
      <c r="O27" s="307">
        <f t="shared" si="5"/>
        <v>4716978.1816617157</v>
      </c>
      <c r="P27" s="307">
        <f t="shared" si="5"/>
        <v>4749020.6469962839</v>
      </c>
      <c r="Q27" s="307">
        <f t="shared" si="5"/>
        <v>4745268.0153534077</v>
      </c>
      <c r="R27" s="307">
        <f t="shared" si="5"/>
        <v>4844281.182078436</v>
      </c>
      <c r="S27" s="307">
        <f t="shared" si="5"/>
        <v>4884843.2690707091</v>
      </c>
      <c r="T27" s="307">
        <f t="shared" si="5"/>
        <v>4937244.9154456714</v>
      </c>
      <c r="U27" s="307">
        <f t="shared" si="5"/>
        <v>4984057.5496756136</v>
      </c>
    </row>
    <row r="28" spans="1:21">
      <c r="A28" s="308" t="s">
        <v>156</v>
      </c>
      <c r="B28" s="309">
        <f>B21-274000/3</f>
        <v>4551933.7743936712</v>
      </c>
      <c r="C28" s="309">
        <f t="shared" ref="C28:U28" si="6">C21-C61-274000/3</f>
        <v>4530106.1198564274</v>
      </c>
      <c r="D28" s="309">
        <f t="shared" si="6"/>
        <v>4533651.8079271587</v>
      </c>
      <c r="E28" s="309">
        <f t="shared" si="6"/>
        <v>4515525.6726885242</v>
      </c>
      <c r="F28" s="309">
        <f t="shared" si="6"/>
        <v>4504482.7107212925</v>
      </c>
      <c r="G28" s="309">
        <f t="shared" si="6"/>
        <v>4482877.8908011764</v>
      </c>
      <c r="H28" s="309">
        <f t="shared" si="6"/>
        <v>4415561.8194585964</v>
      </c>
      <c r="I28" s="309">
        <f t="shared" si="6"/>
        <v>4432675.318398091</v>
      </c>
      <c r="J28" s="309">
        <f t="shared" si="6"/>
        <v>4420279.9618616579</v>
      </c>
      <c r="K28" s="309">
        <f t="shared" si="6"/>
        <v>4322573.145785477</v>
      </c>
      <c r="L28" s="309">
        <f t="shared" si="6"/>
        <v>4334077.6663461551</v>
      </c>
      <c r="M28" s="309">
        <f t="shared" si="6"/>
        <v>4351719.6918673152</v>
      </c>
      <c r="N28" s="309">
        <f t="shared" si="6"/>
        <v>4374240.6355163772</v>
      </c>
      <c r="O28" s="309">
        <f t="shared" si="6"/>
        <v>4399103.6755788513</v>
      </c>
      <c r="P28" s="309">
        <f t="shared" si="6"/>
        <v>4429645.9321259866</v>
      </c>
      <c r="Q28" s="309">
        <f t="shared" si="6"/>
        <v>4426000.7492334787</v>
      </c>
      <c r="R28" s="309">
        <f t="shared" si="6"/>
        <v>4523634.6281385953</v>
      </c>
      <c r="S28" s="309">
        <f t="shared" si="6"/>
        <v>4562633.2261461858</v>
      </c>
      <c r="T28" s="309">
        <f t="shared" si="6"/>
        <v>4612058.4649311434</v>
      </c>
      <c r="U28" s="309">
        <f t="shared" si="6"/>
        <v>4655833.35484837</v>
      </c>
    </row>
    <row r="29" spans="1:21">
      <c r="A29" s="308" t="s">
        <v>225</v>
      </c>
      <c r="B29" s="309"/>
      <c r="C29" s="750">
        <f>'VEIC RA Table'!D5*C34</f>
        <v>99580.880468388568</v>
      </c>
      <c r="D29" s="750">
        <f>'VEIC RA Table'!D6*D34</f>
        <v>101171.75105563404</v>
      </c>
      <c r="E29" s="750">
        <f>'VEIC RA Table'!D7*E34</f>
        <v>101527.8620817897</v>
      </c>
      <c r="F29" s="750">
        <f>'VEIC RA Table'!D8*F34</f>
        <v>98212.92585738319</v>
      </c>
      <c r="G29" s="750">
        <f>'VEIC RA Table'!D9*G34</f>
        <v>101455.45636883311</v>
      </c>
      <c r="H29" s="750">
        <f>'VEIC RA Table'!D10*H34</f>
        <v>89242.331714983171</v>
      </c>
      <c r="I29" s="750">
        <f>'VEIC RA Table'!D11*I34</f>
        <v>83755.418775369239</v>
      </c>
      <c r="J29" s="750">
        <f>'VEIC RA Table'!D12*J34</f>
        <v>81640.389609372171</v>
      </c>
      <c r="K29" s="750">
        <f>'VEIC RA Table'!D13*K34</f>
        <v>79338.944975771316</v>
      </c>
      <c r="L29" s="750">
        <f>'VEIC RA Table'!D14*L34</f>
        <v>81001.238657951137</v>
      </c>
      <c r="M29" s="750">
        <f>'VEIC RA Table'!D15*M34</f>
        <v>80793.789803900407</v>
      </c>
      <c r="N29" s="750">
        <f>'VEIC RA Table'!D16*N34</f>
        <v>80833.930033148907</v>
      </c>
      <c r="O29" s="750">
        <f>'VEIC RA Table'!D17*O34</f>
        <v>79515.048556195557</v>
      </c>
      <c r="P29" s="750">
        <f>'VEIC RA Table'!D18*P34</f>
        <v>77435.958000089537</v>
      </c>
      <c r="Q29" s="750">
        <f>'VEIC RA Table'!D19*Q34</f>
        <v>78168.622827896557</v>
      </c>
      <c r="R29" s="750">
        <f>'VEIC RA Table'!D20*R34</f>
        <v>77733.770661265575</v>
      </c>
      <c r="S29" s="750">
        <f>'VEIC RA Table'!D21*S34</f>
        <v>77350.38976191495</v>
      </c>
      <c r="T29" s="750">
        <f>'VEIC RA Table'!D22*T34</f>
        <v>76758.389089080316</v>
      </c>
      <c r="U29" s="750">
        <f>'VEIC RA Table'!D23*U34</f>
        <v>74855.221471200086</v>
      </c>
    </row>
    <row r="30" spans="1:21">
      <c r="A30" s="308" t="s">
        <v>427</v>
      </c>
      <c r="B30" s="309"/>
      <c r="C30" s="784">
        <f>C29/C28</f>
        <v>2.1982019368575981E-2</v>
      </c>
      <c r="D30" s="784">
        <f>D29/D28</f>
        <v>2.2315730307901835E-2</v>
      </c>
      <c r="E30" s="784">
        <f t="shared" ref="E30:U30" si="7">E29/E28</f>
        <v>2.2484173370083058E-2</v>
      </c>
      <c r="F30" s="374">
        <f>F29/F28</f>
        <v>2.1803375029861436E-2</v>
      </c>
      <c r="G30" s="374">
        <f t="shared" si="7"/>
        <v>2.2631768886013773E-2</v>
      </c>
      <c r="H30" s="374">
        <f>H29/H28</f>
        <v>2.0210866785220414E-2</v>
      </c>
      <c r="I30" s="374">
        <f t="shared" si="7"/>
        <v>1.8895004203835376E-2</v>
      </c>
      <c r="J30" s="374">
        <f t="shared" si="7"/>
        <v>1.8469506527588418E-2</v>
      </c>
      <c r="K30" s="374">
        <f t="shared" si="7"/>
        <v>1.8354563890521331E-2</v>
      </c>
      <c r="L30" s="374">
        <f t="shared" si="7"/>
        <v>1.8689383276843594E-2</v>
      </c>
      <c r="M30" s="374">
        <f t="shared" si="7"/>
        <v>1.8565945310055561E-2</v>
      </c>
      <c r="N30" s="374">
        <f t="shared" si="7"/>
        <v>1.8479534339474329E-2</v>
      </c>
      <c r="O30" s="374">
        <f t="shared" si="7"/>
        <v>1.8075284062436345E-2</v>
      </c>
      <c r="P30" s="374">
        <f t="shared" si="7"/>
        <v>1.7481297418939425E-2</v>
      </c>
      <c r="Q30" s="374">
        <f t="shared" si="7"/>
        <v>1.7661231268755267E-2</v>
      </c>
      <c r="R30" s="374">
        <f t="shared" si="7"/>
        <v>1.7183918917264944E-2</v>
      </c>
      <c r="S30" s="374">
        <f t="shared" si="7"/>
        <v>1.6953015052504829E-2</v>
      </c>
      <c r="T30" s="374">
        <f t="shared" si="7"/>
        <v>1.6642978330116701E-2</v>
      </c>
      <c r="U30" s="374">
        <f t="shared" si="7"/>
        <v>1.6077727823580565E-2</v>
      </c>
    </row>
    <row r="31" spans="1:21">
      <c r="A31" s="308" t="s">
        <v>49</v>
      </c>
      <c r="B31" s="309">
        <f t="shared" ref="B31:T31" si="8">B22-B16</f>
        <v>345898.28094442002</v>
      </c>
      <c r="C31" s="309">
        <f t="shared" si="8"/>
        <v>338490.65288690786</v>
      </c>
      <c r="D31" s="309">
        <f t="shared" si="8"/>
        <v>329700.82891707588</v>
      </c>
      <c r="E31" s="309">
        <f t="shared" si="8"/>
        <v>321067.96589397354</v>
      </c>
      <c r="F31" s="309">
        <f t="shared" si="8"/>
        <v>317516.24636059249</v>
      </c>
      <c r="G31" s="309">
        <f t="shared" si="8"/>
        <v>317164.61533646169</v>
      </c>
      <c r="H31" s="309">
        <f t="shared" si="8"/>
        <v>315093.50181534159</v>
      </c>
      <c r="I31" s="309">
        <f t="shared" si="8"/>
        <v>319327.64123315533</v>
      </c>
      <c r="J31" s="309">
        <f t="shared" si="8"/>
        <v>315557.04653572734</v>
      </c>
      <c r="K31" s="309">
        <f t="shared" si="8"/>
        <v>313705.00681672181</v>
      </c>
      <c r="L31" s="309">
        <f t="shared" si="8"/>
        <v>316859.61045130395</v>
      </c>
      <c r="M31" s="309">
        <f t="shared" si="8"/>
        <v>316806.30911467463</v>
      </c>
      <c r="N31" s="309">
        <f t="shared" si="8"/>
        <v>317476.29463121155</v>
      </c>
      <c r="O31" s="309">
        <f t="shared" si="8"/>
        <v>317874.50608286448</v>
      </c>
      <c r="P31" s="309">
        <f t="shared" si="8"/>
        <v>319374.71487029706</v>
      </c>
      <c r="Q31" s="309">
        <f t="shared" si="8"/>
        <v>319267.26611992886</v>
      </c>
      <c r="R31" s="309">
        <f t="shared" si="8"/>
        <v>320646.55393984041</v>
      </c>
      <c r="S31" s="309">
        <f t="shared" si="8"/>
        <v>322210.04292452306</v>
      </c>
      <c r="T31" s="309">
        <f t="shared" si="8"/>
        <v>325186.45051452797</v>
      </c>
      <c r="U31" s="309">
        <f t="shared" ref="U31" si="9">U22-U16</f>
        <v>328224.19482724351</v>
      </c>
    </row>
    <row r="32" spans="1:21">
      <c r="A32" s="308" t="s">
        <v>226</v>
      </c>
      <c r="B32" s="309"/>
      <c r="C32" s="309">
        <f>'BED EEC RA Table'!D4*C34</f>
        <v>7445.9508047099998</v>
      </c>
      <c r="D32" s="309">
        <f>'BED EEC RA Table'!D5*D34</f>
        <v>7455.1180883922734</v>
      </c>
      <c r="E32" s="309">
        <f>'BED EEC RA Table'!D6*E34</f>
        <v>7462.5644169314101</v>
      </c>
      <c r="F32" s="309">
        <f>'BED EEC RA Table'!D7*F34</f>
        <v>7163.7993346353178</v>
      </c>
      <c r="G32" s="309">
        <f>'BED EEC RA Table'!D8*G34</f>
        <v>6425.4509019634725</v>
      </c>
      <c r="H32" s="309">
        <f>'BED EEC RA Table'!D9*H34</f>
        <v>6849.4789785938392</v>
      </c>
      <c r="I32" s="309">
        <f>'BED EEC RA Table'!D10*I34</f>
        <v>6795.5756914931253</v>
      </c>
      <c r="J32" s="309">
        <f>'BED EEC RA Table'!D11*J34</f>
        <v>6037.0561669935969</v>
      </c>
      <c r="K32" s="309">
        <f>'BED EEC RA Table'!D12*K34</f>
        <v>6255.0430837634494</v>
      </c>
      <c r="L32" s="309">
        <f>'BED EEC RA Table'!D13*L34</f>
        <v>5873.515343841641</v>
      </c>
      <c r="M32" s="309">
        <f>'BED EEC RA Table'!D14*M34</f>
        <v>5583.6640691136008</v>
      </c>
      <c r="N32" s="309">
        <f>'BED EEC RA Table'!D15*N34</f>
        <v>5542.551250002547</v>
      </c>
      <c r="O32" s="309">
        <f>'BED EEC RA Table'!D16*O34</f>
        <v>5281.5598964099008</v>
      </c>
      <c r="P32" s="309">
        <f>'BED EEC RA Table'!D17*P34</f>
        <v>5538.7401997540255</v>
      </c>
      <c r="Q32" s="309">
        <f>'BED EEC RA Table'!D18*Q34</f>
        <v>5479.4425231496753</v>
      </c>
      <c r="R32" s="309">
        <f>'BED EEC RA Table'!D19*R34</f>
        <v>5120.7346177655718</v>
      </c>
      <c r="S32" s="309">
        <f>'BED EEC RA Table'!D20*S34</f>
        <v>5023.010339458011</v>
      </c>
      <c r="T32" s="309">
        <f>'BED EEC RA Table'!D21*T34</f>
        <v>5002.8295638675054</v>
      </c>
      <c r="U32" s="309">
        <f>'BED EEC RA Table'!D22*U34</f>
        <v>4770.6899256065371</v>
      </c>
    </row>
    <row r="33" spans="1:21">
      <c r="A33" s="308" t="s">
        <v>428</v>
      </c>
      <c r="B33" s="372"/>
      <c r="C33" s="785">
        <f>C32/C31</f>
        <v>2.1997507881547751E-2</v>
      </c>
      <c r="D33" s="785">
        <f t="shared" ref="D33:U33" si="10">D32/D31</f>
        <v>2.2611766287877106E-2</v>
      </c>
      <c r="E33" s="785">
        <f t="shared" si="10"/>
        <v>2.3242942958051994E-2</v>
      </c>
      <c r="F33" s="373">
        <f t="shared" si="10"/>
        <v>2.256199302160946E-2</v>
      </c>
      <c r="G33" s="373">
        <f t="shared" si="10"/>
        <v>2.0259040861626641E-2</v>
      </c>
      <c r="H33" s="373">
        <f t="shared" si="10"/>
        <v>2.1737925216267804E-2</v>
      </c>
      <c r="I33" s="373">
        <f t="shared" si="10"/>
        <v>2.1280887759200819E-2</v>
      </c>
      <c r="J33" s="373">
        <f t="shared" si="10"/>
        <v>1.9131425627378858E-2</v>
      </c>
      <c r="K33" s="373">
        <f t="shared" si="10"/>
        <v>1.9939251678625196E-2</v>
      </c>
      <c r="L33" s="373">
        <f t="shared" si="10"/>
        <v>1.8536648882058457E-2</v>
      </c>
      <c r="M33" s="373">
        <f t="shared" si="10"/>
        <v>1.7624851237077091E-2</v>
      </c>
      <c r="N33" s="373">
        <f t="shared" si="10"/>
        <v>1.7458157801800333E-2</v>
      </c>
      <c r="O33" s="373">
        <f t="shared" si="10"/>
        <v>1.661523587246436E-2</v>
      </c>
      <c r="P33" s="373">
        <f t="shared" si="10"/>
        <v>1.7342450550612287E-2</v>
      </c>
      <c r="Q33" s="373">
        <f t="shared" si="10"/>
        <v>1.7162556593231796E-2</v>
      </c>
      <c r="R33" s="373">
        <f t="shared" si="10"/>
        <v>1.5970028540292131E-2</v>
      </c>
      <c r="S33" s="373">
        <f t="shared" si="10"/>
        <v>1.5589242016998952E-2</v>
      </c>
      <c r="T33" s="373">
        <f t="shared" si="10"/>
        <v>1.5384495743754858E-2</v>
      </c>
      <c r="U33" s="373">
        <f t="shared" si="10"/>
        <v>1.4534851485026956E-2</v>
      </c>
    </row>
    <row r="34" spans="1:21">
      <c r="A34" s="751" t="s">
        <v>426</v>
      </c>
      <c r="C34">
        <v>1.1000000000000001</v>
      </c>
      <c r="D34">
        <v>1.1000000000000001</v>
      </c>
      <c r="E34">
        <v>1.1000000000000001</v>
      </c>
      <c r="F34">
        <v>1.1000000000000001</v>
      </c>
      <c r="G34">
        <v>1.1000000000000001</v>
      </c>
      <c r="H34">
        <v>1.1000000000000001</v>
      </c>
      <c r="I34">
        <v>1.1000000000000001</v>
      </c>
      <c r="J34">
        <v>1.1000000000000001</v>
      </c>
      <c r="K34">
        <v>1.1000000000000001</v>
      </c>
      <c r="L34">
        <v>1.1000000000000001</v>
      </c>
      <c r="M34">
        <v>1.1000000000000001</v>
      </c>
      <c r="N34">
        <v>1.1000000000000001</v>
      </c>
      <c r="O34">
        <v>1.1000000000000001</v>
      </c>
      <c r="P34">
        <v>1.1000000000000001</v>
      </c>
      <c r="Q34">
        <v>1.1000000000000001</v>
      </c>
      <c r="R34">
        <v>1.1000000000000001</v>
      </c>
      <c r="S34">
        <v>1.1000000000000001</v>
      </c>
      <c r="T34">
        <v>1.1000000000000001</v>
      </c>
      <c r="U34">
        <v>1.1000000000000001</v>
      </c>
    </row>
    <row r="55" spans="1:22">
      <c r="A55" t="s">
        <v>450</v>
      </c>
    </row>
    <row r="56" spans="1:22">
      <c r="A56" s="4" t="s">
        <v>429</v>
      </c>
    </row>
    <row r="57" spans="1:22" s="253" customFormat="1">
      <c r="A57" s="253" t="s">
        <v>432</v>
      </c>
      <c r="C57" s="783">
        <v>107238.61746458473</v>
      </c>
      <c r="D57" s="783">
        <v>202695.16398782269</v>
      </c>
      <c r="E57" s="783">
        <v>297161.77564254787</v>
      </c>
      <c r="F57" s="783">
        <v>384086.09851254529</v>
      </c>
      <c r="G57" s="783">
        <v>471386.30319672462</v>
      </c>
      <c r="H57" s="783">
        <v>492688.8969320152</v>
      </c>
      <c r="I57" s="783">
        <v>561111.7489069209</v>
      </c>
      <c r="J57" s="783">
        <v>622242.84377671604</v>
      </c>
      <c r="K57" s="783">
        <v>680170.77347160142</v>
      </c>
      <c r="L57" s="783">
        <v>737945.19647953077</v>
      </c>
      <c r="M57" s="783">
        <v>786227.78591229487</v>
      </c>
      <c r="N57" s="783">
        <v>832404.95587741979</v>
      </c>
      <c r="O57" s="783">
        <v>876193.05136756611</v>
      </c>
      <c r="P57" s="783">
        <v>913816.95732427749</v>
      </c>
      <c r="Q57" s="783">
        <v>941732.49801263923</v>
      </c>
      <c r="R57" s="783">
        <v>944420.46125201113</v>
      </c>
      <c r="S57" s="783">
        <v>949935.06605305884</v>
      </c>
      <c r="T57" s="783">
        <v>951359.24279680185</v>
      </c>
      <c r="U57" s="783">
        <v>948881.08386434009</v>
      </c>
      <c r="V57" s="783"/>
    </row>
    <row r="58" spans="1:22">
      <c r="A58" t="s">
        <v>430</v>
      </c>
      <c r="C58" s="90">
        <f>'Scen 2 MWh Savings'!B25</f>
        <v>2011.7257955719842</v>
      </c>
      <c r="D58" s="90">
        <f>'Scen 2 MWh Savings'!C25</f>
        <v>3751.0598965064942</v>
      </c>
      <c r="E58" s="90">
        <f>'Scen 2 MWh Savings'!D25</f>
        <v>5231.4208815220227</v>
      </c>
      <c r="F58" s="90">
        <f>'Scen 2 MWh Savings'!E25</f>
        <v>6396.2383933794163</v>
      </c>
      <c r="G58" s="90">
        <f>'Scen 2 MWh Savings'!F25</f>
        <v>6554.330200970674</v>
      </c>
      <c r="H58" s="90">
        <f>'Scen 2 MWh Savings'!G25</f>
        <v>6713.0906533941125</v>
      </c>
      <c r="I58" s="90">
        <f>'Scen 2 MWh Savings'!H25</f>
        <v>6866.6450413223347</v>
      </c>
      <c r="J58" s="90">
        <f>'Scen 2 MWh Savings'!I25</f>
        <v>7055.4420991342713</v>
      </c>
      <c r="K58" s="90">
        <f>'Scen 2 MWh Savings'!J25</f>
        <v>7246.7550565738629</v>
      </c>
      <c r="L58" s="90">
        <f>'Scen 2 MWh Savings'!K25</f>
        <v>7435.2112725220204</v>
      </c>
      <c r="M58" s="90">
        <f>'Scen 2 MWh Savings'!L25</f>
        <v>7635.8913344476787</v>
      </c>
      <c r="N58" s="90">
        <f>'Scen 2 MWh Savings'!M25</f>
        <v>7848.5017334345748</v>
      </c>
      <c r="O58" s="90">
        <f>'Scen 2 MWh Savings'!N25</f>
        <v>8069.8669843266407</v>
      </c>
      <c r="P58" s="90">
        <f>'Scen 2 MWh Savings'!O25</f>
        <v>8300.8264451422929</v>
      </c>
      <c r="Q58" s="90">
        <f>'Scen 2 MWh Savings'!P25</f>
        <v>8528.8659493026535</v>
      </c>
      <c r="R58" s="90">
        <f>'Scen 2 MWh Savings'!Q25</f>
        <v>8739.8582437417481</v>
      </c>
      <c r="S58" s="90">
        <f>'Scen 2 MWh Savings'!R25</f>
        <v>8955.2083740817689</v>
      </c>
      <c r="T58" s="90">
        <f>'Scen 2 MWh Savings'!S25</f>
        <v>9175.0792009907655</v>
      </c>
      <c r="U58" s="90">
        <f>'Scen 2 MWh Savings'!T25</f>
        <v>9398.8497956237698</v>
      </c>
    </row>
    <row r="59" spans="1:22">
      <c r="A59" t="s">
        <v>431</v>
      </c>
      <c r="C59" s="90">
        <f>'Scen 2 MWh Savings'!B24</f>
        <v>10696.41698787277</v>
      </c>
      <c r="D59" s="90">
        <f>'Scen 2 MWh Savings'!C24</f>
        <v>11178.887030440457</v>
      </c>
      <c r="E59" s="90">
        <f>'Scen 2 MWh Savings'!D24</f>
        <v>11636.016373506907</v>
      </c>
      <c r="F59" s="90">
        <f>'Scen 2 MWh Savings'!E24</f>
        <v>11841.847698377713</v>
      </c>
      <c r="G59" s="90">
        <f>'Scen 2 MWh Savings'!F24</f>
        <v>12045.204266781879</v>
      </c>
      <c r="H59" s="90">
        <f>'Scen 2 MWh Savings'!G24</f>
        <v>12297.08001749687</v>
      </c>
      <c r="I59" s="90">
        <f>'Scen 2 MWh Savings'!H24</f>
        <v>12654.883404656362</v>
      </c>
      <c r="J59" s="90">
        <f>'Scen 2 MWh Savings'!I24</f>
        <v>13047.842208499151</v>
      </c>
      <c r="K59" s="90">
        <f>'Scen 2 MWh Savings'!J24</f>
        <v>13395.546479906485</v>
      </c>
      <c r="L59" s="90">
        <f>'Scen 2 MWh Savings'!K24</f>
        <v>13663.833721566598</v>
      </c>
      <c r="M59" s="90">
        <f>'Scen 2 MWh Savings'!L24</f>
        <v>13928.609942659121</v>
      </c>
      <c r="N59" s="90">
        <f>'Scen 2 MWh Savings'!M24</f>
        <v>14177.555569765878</v>
      </c>
      <c r="O59" s="90">
        <f>'Scen 2 MWh Savings'!N24</f>
        <v>14478.818224984398</v>
      </c>
      <c r="P59" s="90">
        <f>'Scen 2 MWh Savings'!O24</f>
        <v>14709.686971223427</v>
      </c>
      <c r="Q59" s="90">
        <f>'Scen 2 MWh Savings'!P24</f>
        <v>14933.582706884003</v>
      </c>
      <c r="R59" s="90">
        <f>'Scen 2 MWh Savings'!Q24</f>
        <v>15212.855968177359</v>
      </c>
      <c r="S59" s="90">
        <f>'Scen 2 MWh Savings'!R24</f>
        <v>15690.088315417439</v>
      </c>
      <c r="T59" s="90">
        <f>'Scen 2 MWh Savings'!S24</f>
        <v>15896.654052431113</v>
      </c>
      <c r="U59" s="90">
        <f>'Scen 2 MWh Savings'!T24</f>
        <v>16189.729058628387</v>
      </c>
    </row>
    <row r="60" spans="1:22">
      <c r="A60" t="s">
        <v>440</v>
      </c>
      <c r="B60" s="778"/>
      <c r="C60" s="779">
        <f>C57-C58-C59</f>
        <v>94530.474681139982</v>
      </c>
      <c r="D60" s="779">
        <f t="shared" ref="D60:U60" si="11">D57-D58-D59</f>
        <v>187765.21706087573</v>
      </c>
      <c r="E60" s="779">
        <f t="shared" si="11"/>
        <v>280294.33838751895</v>
      </c>
      <c r="F60" s="779">
        <f t="shared" si="11"/>
        <v>365848.01242078812</v>
      </c>
      <c r="G60" s="779">
        <f t="shared" si="11"/>
        <v>452786.76872897206</v>
      </c>
      <c r="H60" s="779">
        <f t="shared" si="11"/>
        <v>473678.72626112419</v>
      </c>
      <c r="I60" s="779">
        <f t="shared" si="11"/>
        <v>541590.22046094225</v>
      </c>
      <c r="J60" s="779">
        <f t="shared" si="11"/>
        <v>602139.55946908251</v>
      </c>
      <c r="K60" s="779">
        <f t="shared" si="11"/>
        <v>659528.47193512099</v>
      </c>
      <c r="L60" s="779">
        <f t="shared" si="11"/>
        <v>716846.15148544218</v>
      </c>
      <c r="M60" s="779">
        <f t="shared" si="11"/>
        <v>764663.28463518806</v>
      </c>
      <c r="N60" s="779">
        <f t="shared" si="11"/>
        <v>810378.89857421932</v>
      </c>
      <c r="O60" s="779">
        <f t="shared" si="11"/>
        <v>853644.36615825503</v>
      </c>
      <c r="P60" s="779">
        <f t="shared" si="11"/>
        <v>890806.44390791177</v>
      </c>
      <c r="Q60" s="779">
        <f t="shared" si="11"/>
        <v>918270.04935645254</v>
      </c>
      <c r="R60" s="779">
        <f t="shared" si="11"/>
        <v>920467.74704009201</v>
      </c>
      <c r="S60" s="779">
        <f t="shared" si="11"/>
        <v>925289.76936355967</v>
      </c>
      <c r="T60" s="779">
        <f t="shared" si="11"/>
        <v>926287.50954338</v>
      </c>
      <c r="U60" s="779">
        <f t="shared" si="11"/>
        <v>923292.50501008786</v>
      </c>
    </row>
    <row r="61" spans="1:22">
      <c r="A61" t="s">
        <v>433</v>
      </c>
      <c r="B61" s="778"/>
      <c r="C61" s="90">
        <f>C60*'Scen 2 Budgets'!B56/('Scen 2 Budgets'!B56-'Scen 2 Budgets'!B72)</f>
        <v>98612.312726337201</v>
      </c>
      <c r="D61" s="90">
        <f>D60*'Scen 2 Budgets'!C56/('Scen 2 Budgets'!C56-'Scen 2 Budgets'!C72)</f>
        <v>197870.83833186497</v>
      </c>
      <c r="E61" s="90">
        <f>E60*'Scen 2 Budgets'!D56/('Scen 2 Budgets'!D56-'Scen 2 Budgets'!D72)</f>
        <v>297837.38218161458</v>
      </c>
      <c r="F61" s="90">
        <f>F60*'Scen 2 Budgets'!E56/('Scen 2 Budgets'!E56-'Scen 2 Budgets'!E72)</f>
        <v>392059.867790794</v>
      </c>
      <c r="G61" s="90">
        <f>G60*'Scen 2 Budgets'!F56/('Scen 2 Budgets'!F56-'Scen 2 Budgets'!F72)</f>
        <v>485179.8034482291</v>
      </c>
      <c r="H61" s="90">
        <f>H60*'Scen 2 Budgets'!G56/('Scen 2 Budgets'!G56-'Scen 2 Budgets'!G72)</f>
        <v>508191.77097206813</v>
      </c>
      <c r="I61" s="90">
        <f>I60*'Scen 2 Budgets'!H56/('Scen 2 Budgets'!H56-'Scen 2 Budgets'!H72)</f>
        <v>581867.11360111402</v>
      </c>
      <c r="J61" s="90">
        <f>J60*'Scen 2 Budgets'!I56/('Scen 2 Budgets'!I56-'Scen 2 Budgets'!I72)</f>
        <v>647918.03293755837</v>
      </c>
      <c r="K61" s="90">
        <f>K60*'Scen 2 Budgets'!J56/('Scen 2 Budgets'!J56-'Scen 2 Budgets'!J72)</f>
        <v>710720.22409175034</v>
      </c>
      <c r="L61" s="90">
        <f>L60*'Scen 2 Budgets'!K56/('Scen 2 Budgets'!K56-'Scen 2 Budgets'!K72)</f>
        <v>772539.79343291477</v>
      </c>
      <c r="M61" s="90">
        <f>M60*'Scen 2 Budgets'!L56/('Scen 2 Budgets'!L56-'Scen 2 Budgets'!L72)</f>
        <v>825557.11197506776</v>
      </c>
      <c r="N61" s="90">
        <f>N60*'Scen 2 Budgets'!M56/('Scen 2 Budgets'!M56-'Scen 2 Budgets'!M72)</f>
        <v>876658.47496837087</v>
      </c>
      <c r="O61" s="90">
        <f>O60*'Scen 2 Budgets'!N56/('Scen 2 Budgets'!N56-'Scen 2 Budgets'!N72)</f>
        <v>925737.17390862538</v>
      </c>
      <c r="P61" s="90">
        <f>P60*'Scen 2 Budgets'!O56/('Scen 2 Budgets'!O56-'Scen 2 Budgets'!O72)</f>
        <v>967856.77214917785</v>
      </c>
      <c r="Q61" s="90">
        <f>Q60*'Scen 2 Budgets'!P56/('Scen 2 Budgets'!P56-'Scen 2 Budgets'!P72)</f>
        <v>997987.15495755803</v>
      </c>
      <c r="R61" s="90">
        <f>R60*'Scen 2 Budgets'!Q56/('Scen 2 Budgets'!Q56-'Scen 2 Budgets'!Q72)</f>
        <v>1002396.5066295771</v>
      </c>
      <c r="S61" s="90">
        <f>S60*'Scen 2 Budgets'!R56/('Scen 2 Budgets'!R56-'Scen 2 Budgets'!R72)</f>
        <v>1009603.5958504633</v>
      </c>
      <c r="T61" s="90">
        <f>T60*'Scen 2 Budgets'!S56/('Scen 2 Budgets'!S56-'Scen 2 Budgets'!S72)</f>
        <v>1012921.4836064577</v>
      </c>
      <c r="U61" s="90">
        <f>U60*'Scen 2 Budgets'!T56/('Scen 2 Budgets'!T56-'Scen 2 Budgets'!T72)</f>
        <v>1012020.6131968526</v>
      </c>
    </row>
    <row r="63" spans="1:22">
      <c r="A63" s="4" t="s">
        <v>435</v>
      </c>
    </row>
    <row r="64" spans="1:22">
      <c r="A64" t="s">
        <v>437</v>
      </c>
      <c r="C64" s="780">
        <f t="shared" ref="C64:U64" si="12">C61/C21</f>
        <v>2.0892210004649789E-2</v>
      </c>
      <c r="D64" s="780">
        <f t="shared" si="12"/>
        <v>4.1027731113917616E-2</v>
      </c>
      <c r="E64" s="780">
        <f t="shared" si="12"/>
        <v>6.0724937612439786E-2</v>
      </c>
      <c r="F64" s="780">
        <f t="shared" si="12"/>
        <v>7.860257045683787E-2</v>
      </c>
      <c r="G64" s="780">
        <f t="shared" si="12"/>
        <v>9.5896877865958685E-2</v>
      </c>
      <c r="H64" s="780">
        <f t="shared" si="12"/>
        <v>0.10133259476799905</v>
      </c>
      <c r="I64" s="780">
        <f t="shared" si="12"/>
        <v>0.11396029600873336</v>
      </c>
      <c r="J64" s="780">
        <f t="shared" si="12"/>
        <v>0.12557691614444894</v>
      </c>
      <c r="K64" s="780">
        <f t="shared" si="12"/>
        <v>0.13868721865077246</v>
      </c>
      <c r="L64" s="780">
        <f t="shared" si="12"/>
        <v>0.14862391434266298</v>
      </c>
      <c r="M64" s="780">
        <f t="shared" si="12"/>
        <v>0.15669352836526537</v>
      </c>
      <c r="N64" s="780">
        <f t="shared" si="12"/>
        <v>0.16409965013462144</v>
      </c>
      <c r="O64" s="780">
        <f t="shared" si="12"/>
        <v>0.17092086455507791</v>
      </c>
      <c r="P64" s="780">
        <f t="shared" si="12"/>
        <v>0.1763318790209073</v>
      </c>
      <c r="Q64" s="780">
        <f t="shared" si="12"/>
        <v>0.18094814644115248</v>
      </c>
      <c r="R64" s="780">
        <f t="shared" si="12"/>
        <v>0.17844605104791358</v>
      </c>
      <c r="S64" s="780">
        <f t="shared" si="12"/>
        <v>0.17826275090815746</v>
      </c>
      <c r="T64" s="780">
        <f t="shared" si="12"/>
        <v>0.17719838533323548</v>
      </c>
      <c r="U64" s="780">
        <f t="shared" si="12"/>
        <v>0.17572281647353419</v>
      </c>
    </row>
    <row r="65" spans="1:21">
      <c r="A65" t="s">
        <v>436</v>
      </c>
      <c r="C65" s="780">
        <f t="shared" ref="C65:U65" si="13">C57/C21</f>
        <v>2.2719796896924747E-2</v>
      </c>
      <c r="D65" s="780">
        <f t="shared" si="13"/>
        <v>4.2028035845464981E-2</v>
      </c>
      <c r="E65" s="780">
        <f t="shared" si="13"/>
        <v>6.058719074992417E-2</v>
      </c>
      <c r="F65" s="780">
        <f t="shared" si="13"/>
        <v>7.7003940214390915E-2</v>
      </c>
      <c r="G65" s="780">
        <f t="shared" si="13"/>
        <v>9.3170561561030846E-2</v>
      </c>
      <c r="H65" s="780">
        <f t="shared" si="13"/>
        <v>9.8241347442535445E-2</v>
      </c>
      <c r="I65" s="780">
        <f t="shared" si="13"/>
        <v>0.10989529998295533</v>
      </c>
      <c r="J65" s="780">
        <f t="shared" si="13"/>
        <v>0.12060065230807152</v>
      </c>
      <c r="K65" s="780">
        <f t="shared" si="13"/>
        <v>0.13272591602535203</v>
      </c>
      <c r="L65" s="780">
        <f t="shared" si="13"/>
        <v>0.14196848447610402</v>
      </c>
      <c r="M65" s="780">
        <f t="shared" si="13"/>
        <v>0.14922868943454581</v>
      </c>
      <c r="N65" s="780">
        <f t="shared" si="13"/>
        <v>0.15581593736915383</v>
      </c>
      <c r="O65" s="780">
        <f t="shared" si="13"/>
        <v>0.16177342563071595</v>
      </c>
      <c r="P65" s="780">
        <f t="shared" si="13"/>
        <v>0.16648647382850779</v>
      </c>
      <c r="Q65" s="780">
        <f t="shared" si="13"/>
        <v>0.17074844010996343</v>
      </c>
      <c r="R65" s="780">
        <f t="shared" si="13"/>
        <v>0.16812518870992821</v>
      </c>
      <c r="S65" s="780">
        <f t="shared" si="13"/>
        <v>0.16772725330489208</v>
      </c>
      <c r="T65" s="780">
        <f t="shared" si="13"/>
        <v>0.16642881449727409</v>
      </c>
      <c r="U65" s="780">
        <f t="shared" si="13"/>
        <v>0.16475954578473423</v>
      </c>
    </row>
    <row r="66" spans="1:21">
      <c r="B66" s="780"/>
      <c r="C66" s="780"/>
      <c r="D66" s="780"/>
      <c r="E66" s="780"/>
      <c r="F66" s="780"/>
      <c r="G66" s="780"/>
      <c r="H66" s="780"/>
      <c r="I66" s="780"/>
      <c r="J66" s="780"/>
      <c r="K66" s="780"/>
      <c r="L66" s="780"/>
      <c r="M66" s="780"/>
      <c r="N66" s="780"/>
      <c r="O66" s="780"/>
      <c r="P66" s="780"/>
      <c r="Q66" s="780"/>
      <c r="R66" s="780"/>
      <c r="S66" s="780"/>
      <c r="T66" s="780"/>
      <c r="U66" s="780"/>
    </row>
  </sheetData>
  <pageMargins left="0.7" right="0.7" top="0.75" bottom="0.75" header="0.3" footer="0.3"/>
  <pageSetup orientation="portrait" r:id="rId1"/>
  <drawing r:id="rId2"/>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V33"/>
  <sheetViews>
    <sheetView workbookViewId="0">
      <pane ySplit="1" topLeftCell="A20" activePane="bottomLeft" state="frozen"/>
      <selection activeCell="B3" sqref="B3"/>
      <selection pane="bottomLeft" activeCell="B25" sqref="B25:U25"/>
    </sheetView>
  </sheetViews>
  <sheetFormatPr defaultRowHeight="15"/>
  <cols>
    <col min="1" max="1" width="37.85546875" customWidth="1"/>
  </cols>
  <sheetData>
    <row r="1" spans="1:22" ht="15.75">
      <c r="A1" s="7" t="s">
        <v>38</v>
      </c>
    </row>
    <row r="2" spans="1:22" ht="15.75">
      <c r="A2" s="7"/>
    </row>
    <row r="3" spans="1:22" ht="15.75">
      <c r="A3" s="7" t="s">
        <v>26</v>
      </c>
    </row>
    <row r="4" spans="1:22">
      <c r="A4" s="5" t="s">
        <v>18</v>
      </c>
      <c r="B4" s="6">
        <v>2015</v>
      </c>
      <c r="C4" s="6">
        <f>B4+1</f>
        <v>2016</v>
      </c>
      <c r="D4" s="6">
        <f t="shared" ref="D4" si="0">C4+1</f>
        <v>2017</v>
      </c>
      <c r="E4" s="6">
        <f t="shared" ref="E4" si="1">D4+1</f>
        <v>2018</v>
      </c>
      <c r="F4" s="6">
        <f t="shared" ref="F4" si="2">E4+1</f>
        <v>2019</v>
      </c>
      <c r="G4" s="6">
        <f t="shared" ref="G4" si="3">F4+1</f>
        <v>2020</v>
      </c>
      <c r="H4" s="6">
        <f t="shared" ref="H4" si="4">G4+1</f>
        <v>2021</v>
      </c>
      <c r="I4" s="6">
        <f t="shared" ref="I4" si="5">H4+1</f>
        <v>2022</v>
      </c>
      <c r="J4" s="6">
        <f t="shared" ref="J4" si="6">I4+1</f>
        <v>2023</v>
      </c>
      <c r="K4" s="6">
        <f t="shared" ref="K4" si="7">J4+1</f>
        <v>2024</v>
      </c>
      <c r="L4" s="6">
        <f t="shared" ref="L4" si="8">K4+1</f>
        <v>2025</v>
      </c>
      <c r="M4" s="6">
        <f t="shared" ref="M4" si="9">L4+1</f>
        <v>2026</v>
      </c>
      <c r="N4" s="6">
        <f t="shared" ref="N4" si="10">M4+1</f>
        <v>2027</v>
      </c>
      <c r="O4" s="6">
        <f t="shared" ref="O4" si="11">N4+1</f>
        <v>2028</v>
      </c>
      <c r="P4" s="6">
        <f t="shared" ref="P4" si="12">O4+1</f>
        <v>2029</v>
      </c>
      <c r="Q4" s="6">
        <f t="shared" ref="Q4" si="13">P4+1</f>
        <v>2030</v>
      </c>
      <c r="R4" s="6">
        <f t="shared" ref="R4" si="14">Q4+1</f>
        <v>2031</v>
      </c>
      <c r="S4" s="6">
        <f t="shared" ref="S4" si="15">R4+1</f>
        <v>2032</v>
      </c>
      <c r="T4" s="6">
        <f t="shared" ref="T4" si="16">S4+1</f>
        <v>2033</v>
      </c>
      <c r="U4" s="6">
        <f t="shared" ref="U4" si="17">T4+1</f>
        <v>2034</v>
      </c>
      <c r="V4" s="6" t="s">
        <v>14</v>
      </c>
    </row>
    <row r="5" spans="1:22">
      <c r="A5" s="50" t="s">
        <v>2</v>
      </c>
    </row>
    <row r="6" spans="1:22">
      <c r="A6" s="9" t="s">
        <v>8</v>
      </c>
      <c r="B6" s="11">
        <v>935.64597666657164</v>
      </c>
      <c r="C6" s="11">
        <v>1047.4342765080964</v>
      </c>
      <c r="D6" s="11">
        <v>1185.5399444967261</v>
      </c>
      <c r="E6" s="11">
        <v>1207.1571607344968</v>
      </c>
      <c r="F6" s="11">
        <v>1174.1181280801079</v>
      </c>
      <c r="G6" s="11">
        <v>1057.5318027208505</v>
      </c>
      <c r="H6" s="11">
        <v>1106.719602260546</v>
      </c>
      <c r="I6" s="11">
        <v>1131.6369129350157</v>
      </c>
      <c r="J6" s="11">
        <v>1255.2579472220984</v>
      </c>
      <c r="K6" s="11">
        <v>1306.4595640130631</v>
      </c>
      <c r="L6" s="11">
        <v>1311.8910191048165</v>
      </c>
      <c r="M6" s="11">
        <v>1317.3225323352417</v>
      </c>
      <c r="N6" s="11">
        <v>1360.1132075190367</v>
      </c>
      <c r="O6" s="11">
        <v>1472.4174560257354</v>
      </c>
      <c r="P6" s="11">
        <v>1478.5159104359757</v>
      </c>
      <c r="Q6" s="11">
        <v>1527.5680202346678</v>
      </c>
      <c r="R6" s="11">
        <v>1533.8632366306224</v>
      </c>
      <c r="S6" s="11">
        <v>1540.1584587252478</v>
      </c>
      <c r="T6" s="11">
        <v>1673.0765659858985</v>
      </c>
      <c r="U6" s="11">
        <v>1679.9440769611019</v>
      </c>
      <c r="V6" s="11">
        <f>SUM(B6:U6)</f>
        <v>26302.371799595916</v>
      </c>
    </row>
    <row r="7" spans="1:22">
      <c r="A7" s="10" t="s">
        <v>9</v>
      </c>
      <c r="B7" s="11">
        <v>24551.112154072827</v>
      </c>
      <c r="C7" s="11">
        <v>26525.638918046694</v>
      </c>
      <c r="D7" s="11">
        <v>28042.530103142657</v>
      </c>
      <c r="E7" s="11">
        <v>26944.102190128462</v>
      </c>
      <c r="F7" s="11">
        <v>29284.857242802271</v>
      </c>
      <c r="G7" s="11">
        <v>18633.534299495819</v>
      </c>
      <c r="H7" s="11">
        <v>14175.763244302181</v>
      </c>
      <c r="I7" s="11">
        <v>11999.307998717188</v>
      </c>
      <c r="J7" s="11">
        <v>11206.981475366882</v>
      </c>
      <c r="K7" s="11">
        <v>11480.452301078503</v>
      </c>
      <c r="L7" s="11">
        <v>11491.779508696156</v>
      </c>
      <c r="M7" s="11">
        <v>11295.400652332031</v>
      </c>
      <c r="N7" s="11">
        <v>11056.096359805269</v>
      </c>
      <c r="O7" s="11">
        <v>11773.0241825269</v>
      </c>
      <c r="P7" s="11">
        <v>11435.354579176346</v>
      </c>
      <c r="Q7" s="11">
        <v>11202.292106648565</v>
      </c>
      <c r="R7" s="11">
        <v>11020.02269240836</v>
      </c>
      <c r="S7" s="11">
        <v>10871.377686369429</v>
      </c>
      <c r="T7" s="11">
        <v>10920.748789116873</v>
      </c>
      <c r="U7" s="11">
        <v>10778.732472125515</v>
      </c>
      <c r="V7" s="11">
        <f t="shared" ref="V7:V11" si="18">SUM(B7:U7)</f>
        <v>314689.10895635886</v>
      </c>
    </row>
    <row r="8" spans="1:22">
      <c r="A8" s="10" t="s">
        <v>10</v>
      </c>
      <c r="B8" s="11">
        <v>8696.7202904143851</v>
      </c>
      <c r="C8" s="11">
        <v>8844.3999735436919</v>
      </c>
      <c r="D8" s="11">
        <v>9070.7313687047827</v>
      </c>
      <c r="E8" s="11">
        <v>9254.7910121388904</v>
      </c>
      <c r="F8" s="11">
        <v>9386.5465942025803</v>
      </c>
      <c r="G8" s="11">
        <v>10347.740134928956</v>
      </c>
      <c r="H8" s="11">
        <v>11439.063257571273</v>
      </c>
      <c r="I8" s="11">
        <v>12524.379095255845</v>
      </c>
      <c r="J8" s="11">
        <v>14216.859711751629</v>
      </c>
      <c r="K8" s="11">
        <v>14357.265951482368</v>
      </c>
      <c r="L8" s="11">
        <v>14765.487080590667</v>
      </c>
      <c r="M8" s="11">
        <v>15291.17739097177</v>
      </c>
      <c r="N8" s="11">
        <v>15560.125726086715</v>
      </c>
      <c r="O8" s="11">
        <v>16079.873564867412</v>
      </c>
      <c r="P8" s="11">
        <v>16279.450508209557</v>
      </c>
      <c r="Q8" s="11">
        <v>16512.956050856606</v>
      </c>
      <c r="R8" s="11">
        <v>16782.958334075556</v>
      </c>
      <c r="S8" s="11">
        <v>17083.929852361998</v>
      </c>
      <c r="T8" s="11">
        <v>17477.996640287936</v>
      </c>
      <c r="U8" s="11">
        <v>17736.485199510913</v>
      </c>
      <c r="V8" s="11">
        <f t="shared" si="18"/>
        <v>271708.93773781357</v>
      </c>
    </row>
    <row r="9" spans="1:22">
      <c r="A9" s="10" t="s">
        <v>11</v>
      </c>
      <c r="B9" s="11">
        <v>3843.2085787375977</v>
      </c>
      <c r="C9" s="11">
        <v>3855.6711896106394</v>
      </c>
      <c r="D9" s="11">
        <v>3882.9615613002288</v>
      </c>
      <c r="E9" s="11">
        <v>3842.787012944591</v>
      </c>
      <c r="F9" s="11">
        <v>3937.3849461020709</v>
      </c>
      <c r="G9" s="11">
        <v>3966.7451599306519</v>
      </c>
      <c r="H9" s="11">
        <v>4047.9576612780743</v>
      </c>
      <c r="I9" s="11">
        <v>4108.009248192755</v>
      </c>
      <c r="J9" s="11">
        <v>4243.3384955578522</v>
      </c>
      <c r="K9" s="11">
        <v>4253.066567581267</v>
      </c>
      <c r="L9" s="11">
        <v>4284.3563260709425</v>
      </c>
      <c r="M9" s="11">
        <v>4302.8880741414114</v>
      </c>
      <c r="N9" s="11">
        <v>4345.2903488414049</v>
      </c>
      <c r="O9" s="11">
        <v>4371.0025121973786</v>
      </c>
      <c r="P9" s="11">
        <v>4402.6019691085476</v>
      </c>
      <c r="Q9" s="11">
        <v>4433.8260731904593</v>
      </c>
      <c r="R9" s="11">
        <v>4497.9421841084404</v>
      </c>
      <c r="S9" s="11">
        <v>4530.1085491109134</v>
      </c>
      <c r="T9" s="11">
        <v>4561.8787083491698</v>
      </c>
      <c r="U9" s="11">
        <v>4601.4255866699068</v>
      </c>
      <c r="V9" s="11">
        <f t="shared" si="18"/>
        <v>84312.450753024284</v>
      </c>
    </row>
    <row r="10" spans="1:22">
      <c r="A10" s="2" t="s">
        <v>12</v>
      </c>
      <c r="B10" s="11">
        <v>2607.7905462901335</v>
      </c>
      <c r="C10" s="11">
        <v>2618.8091823408963</v>
      </c>
      <c r="D10" s="11">
        <v>2624.4994881367807</v>
      </c>
      <c r="E10" s="11">
        <v>2589.4379893345395</v>
      </c>
      <c r="F10" s="11">
        <v>2591.0606783214903</v>
      </c>
      <c r="G10" s="11">
        <v>2552.427846449174</v>
      </c>
      <c r="H10" s="11">
        <v>2574.1120440186728</v>
      </c>
      <c r="I10" s="11">
        <v>2607.0746427215022</v>
      </c>
      <c r="J10" s="11">
        <v>2632.5619482238499</v>
      </c>
      <c r="K10" s="11">
        <v>2652.2702776540864</v>
      </c>
      <c r="L10" s="11">
        <v>2657.0173969065131</v>
      </c>
      <c r="M10" s="11">
        <v>2668.5618077284121</v>
      </c>
      <c r="N10" s="11">
        <v>2687.4091595736131</v>
      </c>
      <c r="O10" s="11">
        <v>2699.3543611800496</v>
      </c>
      <c r="P10" s="11">
        <v>2715.9033295263794</v>
      </c>
      <c r="Q10" s="11">
        <v>2727.6001945586258</v>
      </c>
      <c r="R10" s="11">
        <v>2751.1301156664081</v>
      </c>
      <c r="S10" s="11">
        <v>2767.8930985093366</v>
      </c>
      <c r="T10" s="11">
        <v>2779.7961956928498</v>
      </c>
      <c r="U10" s="11">
        <v>2794.508719540795</v>
      </c>
      <c r="V10" s="11">
        <f t="shared" si="18"/>
        <v>53299.219022374105</v>
      </c>
    </row>
    <row r="11" spans="1:22">
      <c r="A11" s="2" t="s">
        <v>13</v>
      </c>
      <c r="B11" s="13">
        <v>775.89893298530274</v>
      </c>
      <c r="C11" s="13">
        <v>811.06763777382218</v>
      </c>
      <c r="D11" s="13">
        <v>824.91015946162645</v>
      </c>
      <c r="E11" s="13">
        <v>877.20868881465833</v>
      </c>
      <c r="F11" s="13">
        <v>894.52260843730369</v>
      </c>
      <c r="G11" s="13">
        <v>952.2793620443224</v>
      </c>
      <c r="H11" s="13">
        <v>1027.7624903476078</v>
      </c>
      <c r="I11" s="13">
        <v>1083.1469529418052</v>
      </c>
      <c r="J11" s="13">
        <v>1234.4742546509376</v>
      </c>
      <c r="K11" s="13">
        <v>1240.7112966213765</v>
      </c>
      <c r="L11" s="13">
        <v>1263.0930740980898</v>
      </c>
      <c r="M11" s="13">
        <v>1294.9453173058921</v>
      </c>
      <c r="N11" s="13">
        <v>1315.9459730392055</v>
      </c>
      <c r="O11" s="13">
        <v>1415.4724287227098</v>
      </c>
      <c r="P11" s="13">
        <v>1442.7462146807488</v>
      </c>
      <c r="Q11" s="13">
        <v>1464.0444025434326</v>
      </c>
      <c r="R11" s="13">
        <v>1493.3392211909159</v>
      </c>
      <c r="S11" s="13">
        <v>1524.2944695958197</v>
      </c>
      <c r="T11" s="13">
        <v>1605.3542894547372</v>
      </c>
      <c r="U11" s="13">
        <v>1628.4846361834693</v>
      </c>
      <c r="V11" s="13">
        <f t="shared" si="18"/>
        <v>24169.702410893788</v>
      </c>
    </row>
    <row r="12" spans="1:22">
      <c r="A12" s="8" t="s">
        <v>15</v>
      </c>
      <c r="B12" s="12">
        <f>SUM(B6:B11)</f>
        <v>41410.376479166815</v>
      </c>
      <c r="C12" s="12">
        <f t="shared" ref="C12:V12" si="19">SUM(C6:C11)</f>
        <v>43703.021177823844</v>
      </c>
      <c r="D12" s="12">
        <f t="shared" si="19"/>
        <v>45631.172625242813</v>
      </c>
      <c r="E12" s="12">
        <f t="shared" si="19"/>
        <v>44715.484054095643</v>
      </c>
      <c r="F12" s="12">
        <f t="shared" si="19"/>
        <v>47268.49019794583</v>
      </c>
      <c r="G12" s="12">
        <f t="shared" si="19"/>
        <v>37510.258605569768</v>
      </c>
      <c r="H12" s="12">
        <f t="shared" si="19"/>
        <v>34371.378299778356</v>
      </c>
      <c r="I12" s="12">
        <f t="shared" si="19"/>
        <v>33453.554850764114</v>
      </c>
      <c r="J12" s="12">
        <f t="shared" si="19"/>
        <v>34789.473832773248</v>
      </c>
      <c r="K12" s="12">
        <f t="shared" si="19"/>
        <v>35290.225958430659</v>
      </c>
      <c r="L12" s="12">
        <f t="shared" si="19"/>
        <v>35773.624405467184</v>
      </c>
      <c r="M12" s="12">
        <f t="shared" si="19"/>
        <v>36170.29577481476</v>
      </c>
      <c r="N12" s="12">
        <f t="shared" si="19"/>
        <v>36324.980774865246</v>
      </c>
      <c r="O12" s="12">
        <f t="shared" si="19"/>
        <v>37811.144505520184</v>
      </c>
      <c r="P12" s="12">
        <f t="shared" si="19"/>
        <v>37754.572511137558</v>
      </c>
      <c r="Q12" s="12">
        <f t="shared" si="19"/>
        <v>37868.28684803236</v>
      </c>
      <c r="R12" s="12">
        <f t="shared" si="19"/>
        <v>38079.255784080298</v>
      </c>
      <c r="S12" s="12">
        <f t="shared" si="19"/>
        <v>38317.762114672747</v>
      </c>
      <c r="T12" s="12">
        <f t="shared" si="19"/>
        <v>39018.851188887464</v>
      </c>
      <c r="U12" s="12">
        <f t="shared" si="19"/>
        <v>39219.580690991708</v>
      </c>
      <c r="V12" s="12">
        <f t="shared" si="19"/>
        <v>774481.79068006051</v>
      </c>
    </row>
    <row r="14" spans="1:22">
      <c r="A14" s="50" t="s">
        <v>3</v>
      </c>
    </row>
    <row r="15" spans="1:22">
      <c r="A15" s="2" t="s">
        <v>7</v>
      </c>
      <c r="B15" s="11">
        <v>11899.779852878271</v>
      </c>
      <c r="C15" s="11">
        <v>10525.095834855449</v>
      </c>
      <c r="D15" s="11">
        <v>9580.7972330790853</v>
      </c>
      <c r="E15" s="11">
        <v>8286.0347764538546</v>
      </c>
      <c r="F15" s="11">
        <v>8164.7038954659965</v>
      </c>
      <c r="G15" s="11">
        <v>7950.6863300198593</v>
      </c>
      <c r="H15" s="11">
        <v>8346.5593774799763</v>
      </c>
      <c r="I15" s="11">
        <v>7890.1572853538564</v>
      </c>
      <c r="J15" s="11">
        <v>7114.3549446315965</v>
      </c>
      <c r="K15" s="11">
        <v>7132.3058127448494</v>
      </c>
      <c r="L15" s="11">
        <v>7043.7638666861531</v>
      </c>
      <c r="M15" s="11">
        <v>6963.0340693637081</v>
      </c>
      <c r="N15" s="11">
        <v>6904.0188591882843</v>
      </c>
      <c r="O15" s="11">
        <v>6738.1122092715659</v>
      </c>
      <c r="P15" s="11">
        <v>6745.2759189758081</v>
      </c>
      <c r="Q15" s="11">
        <v>6665.6502353864244</v>
      </c>
      <c r="R15" s="11">
        <v>6576.3121756763321</v>
      </c>
      <c r="S15" s="11">
        <v>6498.1220304026965</v>
      </c>
      <c r="T15" s="11">
        <v>6376.0046311911028</v>
      </c>
      <c r="U15" s="11">
        <v>6356.3330297315688</v>
      </c>
      <c r="V15" s="11">
        <f t="shared" ref="V15:V17" si="20">SUM(B15:U15)</f>
        <v>153757.10236883647</v>
      </c>
    </row>
    <row r="16" spans="1:22">
      <c r="A16" s="2" t="s">
        <v>6</v>
      </c>
      <c r="B16" s="11">
        <v>21982.597850712475</v>
      </c>
      <c r="C16" s="11">
        <v>18806.774235224315</v>
      </c>
      <c r="D16" s="11">
        <v>16956.70915932073</v>
      </c>
      <c r="E16" s="11">
        <v>15195.062501773553</v>
      </c>
      <c r="F16" s="11">
        <v>14696.11555314971</v>
      </c>
      <c r="G16" s="11">
        <v>14322.341397831467</v>
      </c>
      <c r="H16" s="11">
        <v>14751.778155096925</v>
      </c>
      <c r="I16" s="11">
        <v>13590.241169726272</v>
      </c>
      <c r="J16" s="11">
        <v>12478.111025161284</v>
      </c>
      <c r="K16" s="11">
        <v>12499.897221386322</v>
      </c>
      <c r="L16" s="11">
        <v>12279.29554614508</v>
      </c>
      <c r="M16" s="11">
        <v>12058.532098594253</v>
      </c>
      <c r="N16" s="11">
        <v>11834.338500570868</v>
      </c>
      <c r="O16" s="11">
        <v>10744.495879537742</v>
      </c>
      <c r="P16" s="11">
        <v>10726.512578217424</v>
      </c>
      <c r="Q16" s="11">
        <v>10526.048888627116</v>
      </c>
      <c r="R16" s="11">
        <v>10328.034184861472</v>
      </c>
      <c r="S16" s="11">
        <v>10129.588750790437</v>
      </c>
      <c r="T16" s="11">
        <v>9398.1653808208266</v>
      </c>
      <c r="U16" s="11">
        <v>9331.2021547552376</v>
      </c>
      <c r="V16" s="11">
        <f t="shared" si="20"/>
        <v>262635.84223230352</v>
      </c>
    </row>
    <row r="17" spans="1:22">
      <c r="A17" s="2" t="s">
        <v>5</v>
      </c>
      <c r="B17" s="13">
        <v>31895.419627531654</v>
      </c>
      <c r="C17" s="13">
        <v>31034.658286819191</v>
      </c>
      <c r="D17" s="13">
        <v>31080.706970820127</v>
      </c>
      <c r="E17" s="13">
        <v>31055.991078476502</v>
      </c>
      <c r="F17" s="13">
        <v>31290.552966377218</v>
      </c>
      <c r="G17" s="13">
        <v>31087.012000833671</v>
      </c>
      <c r="H17" s="13">
        <v>32178.609546792795</v>
      </c>
      <c r="I17" s="13">
        <v>32380.477072179976</v>
      </c>
      <c r="J17" s="13">
        <v>30509.009462692735</v>
      </c>
      <c r="K17" s="13">
        <v>31142.85244189221</v>
      </c>
      <c r="L17" s="13">
        <v>30718.198380942755</v>
      </c>
      <c r="M17" s="13">
        <v>30308.407682306257</v>
      </c>
      <c r="N17" s="13">
        <v>29906.307746767205</v>
      </c>
      <c r="O17" s="13">
        <v>28023.601793972706</v>
      </c>
      <c r="P17" s="13">
        <v>28533.350985984238</v>
      </c>
      <c r="Q17" s="13">
        <v>28175.644669011024</v>
      </c>
      <c r="R17" s="13">
        <v>27834.836907229201</v>
      </c>
      <c r="S17" s="13">
        <v>27501.505315125189</v>
      </c>
      <c r="T17" s="13">
        <v>26392.164011874869</v>
      </c>
      <c r="U17" s="13">
        <v>26609.774290370446</v>
      </c>
      <c r="V17" s="13">
        <f t="shared" si="20"/>
        <v>597659.08123799984</v>
      </c>
    </row>
    <row r="18" spans="1:22">
      <c r="A18" s="8" t="s">
        <v>16</v>
      </c>
      <c r="B18" s="12">
        <f>SUM(B15:B17)</f>
        <v>65777.797331122405</v>
      </c>
      <c r="C18" s="12">
        <f t="shared" ref="C18:V18" si="21">SUM(C15:C17)</f>
        <v>60366.528356898954</v>
      </c>
      <c r="D18" s="12">
        <f t="shared" si="21"/>
        <v>57618.21336321994</v>
      </c>
      <c r="E18" s="12">
        <f t="shared" si="21"/>
        <v>54537.088356703913</v>
      </c>
      <c r="F18" s="12">
        <f t="shared" si="21"/>
        <v>54151.372414992926</v>
      </c>
      <c r="G18" s="12">
        <f t="shared" si="21"/>
        <v>53360.039728684998</v>
      </c>
      <c r="H18" s="12">
        <f t="shared" si="21"/>
        <v>55276.947079369696</v>
      </c>
      <c r="I18" s="12">
        <f t="shared" si="21"/>
        <v>53860.875527260105</v>
      </c>
      <c r="J18" s="12">
        <f t="shared" si="21"/>
        <v>50101.475432485619</v>
      </c>
      <c r="K18" s="12">
        <f t="shared" si="21"/>
        <v>50775.055476023379</v>
      </c>
      <c r="L18" s="12">
        <f t="shared" si="21"/>
        <v>50041.257793773984</v>
      </c>
      <c r="M18" s="12">
        <f t="shared" si="21"/>
        <v>49329.973850264214</v>
      </c>
      <c r="N18" s="12">
        <f t="shared" si="21"/>
        <v>48644.665106526358</v>
      </c>
      <c r="O18" s="12">
        <f t="shared" si="21"/>
        <v>45506.209882782015</v>
      </c>
      <c r="P18" s="12">
        <f t="shared" si="21"/>
        <v>46005.139483177467</v>
      </c>
      <c r="Q18" s="12">
        <f t="shared" si="21"/>
        <v>45367.343793024564</v>
      </c>
      <c r="R18" s="12">
        <f t="shared" si="21"/>
        <v>44739.183267767003</v>
      </c>
      <c r="S18" s="12">
        <f t="shared" si="21"/>
        <v>44129.216096318327</v>
      </c>
      <c r="T18" s="12">
        <f t="shared" si="21"/>
        <v>42166.334023886797</v>
      </c>
      <c r="U18" s="12">
        <f t="shared" si="21"/>
        <v>42297.309474857248</v>
      </c>
      <c r="V18" s="12">
        <f t="shared" si="21"/>
        <v>1014052.0258391398</v>
      </c>
    </row>
    <row r="19" spans="1:22">
      <c r="A19" s="8"/>
    </row>
    <row r="20" spans="1:22" s="4" customFormat="1">
      <c r="A20" s="3" t="s">
        <v>4</v>
      </c>
      <c r="B20" s="12">
        <f>B12+B18</f>
        <v>107188.17381028921</v>
      </c>
      <c r="C20" s="12">
        <f t="shared" ref="C20:V20" si="22">C12+C18</f>
        <v>104069.5495347228</v>
      </c>
      <c r="D20" s="12">
        <f t="shared" si="22"/>
        <v>103249.38598846275</v>
      </c>
      <c r="E20" s="12">
        <f t="shared" si="22"/>
        <v>99252.572410799563</v>
      </c>
      <c r="F20" s="12">
        <f t="shared" si="22"/>
        <v>101419.86261293876</v>
      </c>
      <c r="G20" s="12">
        <f t="shared" si="22"/>
        <v>90870.298334254767</v>
      </c>
      <c r="H20" s="12">
        <f t="shared" si="22"/>
        <v>89648.325379148053</v>
      </c>
      <c r="I20" s="12">
        <f t="shared" si="22"/>
        <v>87314.430378024219</v>
      </c>
      <c r="J20" s="12">
        <f t="shared" si="22"/>
        <v>84890.949265258867</v>
      </c>
      <c r="K20" s="12">
        <f t="shared" si="22"/>
        <v>86065.281434454038</v>
      </c>
      <c r="L20" s="12">
        <f t="shared" si="22"/>
        <v>85814.882199241169</v>
      </c>
      <c r="M20" s="12">
        <f t="shared" si="22"/>
        <v>85500.269625078974</v>
      </c>
      <c r="N20" s="12">
        <f t="shared" si="22"/>
        <v>84969.645881391596</v>
      </c>
      <c r="O20" s="12">
        <f t="shared" si="22"/>
        <v>83317.354388302192</v>
      </c>
      <c r="P20" s="12">
        <f t="shared" si="22"/>
        <v>83759.711994315032</v>
      </c>
      <c r="Q20" s="12">
        <f t="shared" si="22"/>
        <v>83235.630641056923</v>
      </c>
      <c r="R20" s="12">
        <f t="shared" si="22"/>
        <v>82818.439051847294</v>
      </c>
      <c r="S20" s="12">
        <f t="shared" si="22"/>
        <v>82446.978210991074</v>
      </c>
      <c r="T20" s="12">
        <f t="shared" si="22"/>
        <v>81185.18521277426</v>
      </c>
      <c r="U20" s="12">
        <f t="shared" si="22"/>
        <v>81516.890165848949</v>
      </c>
      <c r="V20" s="12">
        <f t="shared" si="22"/>
        <v>1788533.8165192003</v>
      </c>
    </row>
    <row r="21" spans="1:22">
      <c r="A21" s="1"/>
    </row>
    <row r="22" spans="1:22" ht="15.75">
      <c r="A22" s="68" t="s">
        <v>31</v>
      </c>
      <c r="B22" s="69"/>
      <c r="C22" s="69"/>
      <c r="D22" s="69"/>
      <c r="E22" s="69"/>
      <c r="F22" s="69"/>
      <c r="G22" s="69"/>
      <c r="H22" s="69"/>
      <c r="I22" s="69"/>
      <c r="J22" s="69"/>
      <c r="K22" s="69"/>
      <c r="L22" s="69"/>
      <c r="M22" s="69"/>
      <c r="N22" s="69"/>
      <c r="O22" s="69"/>
      <c r="P22" s="69"/>
      <c r="Q22" s="69"/>
      <c r="R22" s="69"/>
      <c r="S22" s="69"/>
      <c r="T22" s="69"/>
      <c r="U22" s="69"/>
      <c r="V22" s="69"/>
    </row>
    <row r="23" spans="1:22">
      <c r="A23" s="5" t="s">
        <v>18</v>
      </c>
      <c r="B23" s="6">
        <v>2015</v>
      </c>
      <c r="C23" s="6">
        <f>B23+1</f>
        <v>2016</v>
      </c>
      <c r="D23" s="6">
        <f t="shared" ref="D23" si="23">C23+1</f>
        <v>2017</v>
      </c>
      <c r="E23" s="6">
        <f t="shared" ref="E23" si="24">D23+1</f>
        <v>2018</v>
      </c>
      <c r="F23" s="6">
        <f t="shared" ref="F23" si="25">E23+1</f>
        <v>2019</v>
      </c>
      <c r="G23" s="6">
        <f t="shared" ref="G23" si="26">F23+1</f>
        <v>2020</v>
      </c>
      <c r="H23" s="6">
        <f t="shared" ref="H23" si="27">G23+1</f>
        <v>2021</v>
      </c>
      <c r="I23" s="6">
        <f t="shared" ref="I23" si="28">H23+1</f>
        <v>2022</v>
      </c>
      <c r="J23" s="6">
        <f t="shared" ref="J23" si="29">I23+1</f>
        <v>2023</v>
      </c>
      <c r="K23" s="6">
        <f t="shared" ref="K23" si="30">J23+1</f>
        <v>2024</v>
      </c>
      <c r="L23" s="6">
        <f t="shared" ref="L23" si="31">K23+1</f>
        <v>2025</v>
      </c>
      <c r="M23" s="6">
        <f t="shared" ref="M23" si="32">L23+1</f>
        <v>2026</v>
      </c>
      <c r="N23" s="6">
        <f t="shared" ref="N23" si="33">M23+1</f>
        <v>2027</v>
      </c>
      <c r="O23" s="6">
        <f t="shared" ref="O23" si="34">N23+1</f>
        <v>2028</v>
      </c>
      <c r="P23" s="6">
        <f t="shared" ref="P23" si="35">O23+1</f>
        <v>2029</v>
      </c>
      <c r="Q23" s="6">
        <f t="shared" ref="Q23" si="36">P23+1</f>
        <v>2030</v>
      </c>
      <c r="R23" s="6">
        <f t="shared" ref="R23" si="37">Q23+1</f>
        <v>2031</v>
      </c>
      <c r="S23" s="6">
        <f t="shared" ref="S23" si="38">R23+1</f>
        <v>2032</v>
      </c>
      <c r="T23" s="6">
        <f t="shared" ref="T23" si="39">S23+1</f>
        <v>2033</v>
      </c>
      <c r="U23" s="6">
        <f t="shared" ref="U23" si="40">T23+1</f>
        <v>2034</v>
      </c>
      <c r="V23" s="6" t="s">
        <v>14</v>
      </c>
    </row>
    <row r="24" spans="1:22">
      <c r="A24" s="10" t="s">
        <v>2</v>
      </c>
      <c r="B24" s="11">
        <v>10656.681139501565</v>
      </c>
      <c r="C24" s="11">
        <v>10687.591583760481</v>
      </c>
      <c r="D24" s="11">
        <v>10749.095442080787</v>
      </c>
      <c r="E24" s="11">
        <v>10823.144638217527</v>
      </c>
      <c r="F24" s="11">
        <v>10953.240244274284</v>
      </c>
      <c r="G24" s="11">
        <v>11147.19479011869</v>
      </c>
      <c r="H24" s="11">
        <v>11386.68845933649</v>
      </c>
      <c r="I24" s="11">
        <v>11658.066308419893</v>
      </c>
      <c r="J24" s="11">
        <v>11926.545595697335</v>
      </c>
      <c r="K24" s="11">
        <v>12072.922966898526</v>
      </c>
      <c r="L24" s="11">
        <v>12209.200661807068</v>
      </c>
      <c r="M24" s="11">
        <v>12343.938495756187</v>
      </c>
      <c r="N24" s="11">
        <v>12586.05898661064</v>
      </c>
      <c r="O24" s="11">
        <v>12725.461693466237</v>
      </c>
      <c r="P24" s="11">
        <v>12863.233959305975</v>
      </c>
      <c r="Q24" s="11">
        <v>12999.375784129861</v>
      </c>
      <c r="R24" s="11">
        <v>13273.244584765263</v>
      </c>
      <c r="S24" s="11">
        <v>13413.507802157003</v>
      </c>
      <c r="T24" s="11">
        <v>13552.049998476452</v>
      </c>
      <c r="U24" s="11">
        <v>13723.291595169434</v>
      </c>
      <c r="V24" s="11">
        <f t="shared" ref="V24:V25" si="41">SUM(B24:U24)</f>
        <v>241750.53472994969</v>
      </c>
    </row>
    <row r="25" spans="1:22">
      <c r="A25" s="10" t="s">
        <v>3</v>
      </c>
      <c r="B25" s="13">
        <v>2011.7257955719842</v>
      </c>
      <c r="C25" s="13">
        <v>3681.9593905053075</v>
      </c>
      <c r="D25" s="13">
        <v>5055.725562544606</v>
      </c>
      <c r="E25" s="13">
        <v>6200.2521418756569</v>
      </c>
      <c r="F25" s="13">
        <v>6309.7910833038131</v>
      </c>
      <c r="G25" s="13">
        <v>6441.2966165905673</v>
      </c>
      <c r="H25" s="13">
        <v>6588.6338953669238</v>
      </c>
      <c r="I25" s="13">
        <v>6769.7875939318228</v>
      </c>
      <c r="J25" s="13">
        <v>6953.3549732036581</v>
      </c>
      <c r="K25" s="13">
        <v>7134.1804796273736</v>
      </c>
      <c r="L25" s="13">
        <v>7326.7357104712237</v>
      </c>
      <c r="M25" s="13">
        <v>7530.7379813597609</v>
      </c>
      <c r="N25" s="13">
        <v>7743.141341478602</v>
      </c>
      <c r="O25" s="13">
        <v>7964.7494216951873</v>
      </c>
      <c r="P25" s="13">
        <v>8183.556471779787</v>
      </c>
      <c r="Q25" s="13">
        <v>8386.006640444999</v>
      </c>
      <c r="R25" s="13">
        <v>8592.6374081700706</v>
      </c>
      <c r="S25" s="13">
        <v>8803.6063930450018</v>
      </c>
      <c r="T25" s="13">
        <v>9018.3172368163541</v>
      </c>
      <c r="U25" s="13">
        <v>9235.3751335455272</v>
      </c>
      <c r="V25" s="13">
        <f t="shared" si="41"/>
        <v>139931.57127132823</v>
      </c>
    </row>
    <row r="26" spans="1:22">
      <c r="A26" s="10" t="s">
        <v>4</v>
      </c>
      <c r="B26" s="11">
        <f>SUM(B24:B25)</f>
        <v>12668.406935073548</v>
      </c>
      <c r="C26" s="11">
        <f t="shared" ref="C26:V26" si="42">SUM(C24:C25)</f>
        <v>14369.550974265789</v>
      </c>
      <c r="D26" s="11">
        <f t="shared" si="42"/>
        <v>15804.821004625392</v>
      </c>
      <c r="E26" s="11">
        <f t="shared" si="42"/>
        <v>17023.396780093186</v>
      </c>
      <c r="F26" s="11">
        <f t="shared" si="42"/>
        <v>17263.031327578097</v>
      </c>
      <c r="G26" s="11">
        <f t="shared" si="42"/>
        <v>17588.491406709258</v>
      </c>
      <c r="H26" s="11">
        <f t="shared" si="42"/>
        <v>17975.322354703414</v>
      </c>
      <c r="I26" s="11">
        <f t="shared" si="42"/>
        <v>18427.853902351715</v>
      </c>
      <c r="J26" s="11">
        <f t="shared" si="42"/>
        <v>18879.900568900994</v>
      </c>
      <c r="K26" s="11">
        <f t="shared" si="42"/>
        <v>19207.1034465259</v>
      </c>
      <c r="L26" s="11">
        <f t="shared" si="42"/>
        <v>19535.936372278291</v>
      </c>
      <c r="M26" s="11">
        <f t="shared" si="42"/>
        <v>19874.676477115947</v>
      </c>
      <c r="N26" s="11">
        <f t="shared" si="42"/>
        <v>20329.200328089242</v>
      </c>
      <c r="O26" s="11">
        <f t="shared" si="42"/>
        <v>20690.211115161423</v>
      </c>
      <c r="P26" s="11">
        <f t="shared" si="42"/>
        <v>21046.790431085763</v>
      </c>
      <c r="Q26" s="11">
        <f t="shared" si="42"/>
        <v>21385.382424574862</v>
      </c>
      <c r="R26" s="11">
        <f t="shared" si="42"/>
        <v>21865.881992935334</v>
      </c>
      <c r="S26" s="11">
        <f t="shared" si="42"/>
        <v>22217.114195202004</v>
      </c>
      <c r="T26" s="11">
        <f t="shared" si="42"/>
        <v>22570.367235292804</v>
      </c>
      <c r="U26" s="11">
        <f t="shared" si="42"/>
        <v>22958.666728714961</v>
      </c>
      <c r="V26" s="11">
        <f t="shared" si="42"/>
        <v>381682.10600127792</v>
      </c>
    </row>
    <row r="28" spans="1:22">
      <c r="A28" s="58" t="s">
        <v>23</v>
      </c>
      <c r="B28" s="63">
        <f>B24/B12</f>
        <v>0.25734325658359675</v>
      </c>
      <c r="C28" s="63">
        <f t="shared" ref="C28:V28" si="43">C24/C12</f>
        <v>0.24455040625849611</v>
      </c>
      <c r="D28" s="63">
        <f t="shared" si="43"/>
        <v>0.23556474277705652</v>
      </c>
      <c r="E28" s="63">
        <f t="shared" si="43"/>
        <v>0.24204467126250864</v>
      </c>
      <c r="F28" s="63">
        <f t="shared" si="43"/>
        <v>0.23172392852840229</v>
      </c>
      <c r="G28" s="63">
        <f t="shared" si="43"/>
        <v>0.29717723109654814</v>
      </c>
      <c r="H28" s="63">
        <f t="shared" si="43"/>
        <v>0.33128402242193228</v>
      </c>
      <c r="I28" s="63">
        <f t="shared" si="43"/>
        <v>0.3484851269297502</v>
      </c>
      <c r="J28" s="63">
        <f t="shared" si="43"/>
        <v>0.34282052246682709</v>
      </c>
      <c r="K28" s="63">
        <f t="shared" si="43"/>
        <v>0.34210387264506492</v>
      </c>
      <c r="L28" s="63">
        <f t="shared" si="43"/>
        <v>0.34129056993009549</v>
      </c>
      <c r="M28" s="63">
        <f t="shared" si="43"/>
        <v>0.34127281050190428</v>
      </c>
      <c r="N28" s="63">
        <f t="shared" si="43"/>
        <v>0.34648494557000437</v>
      </c>
      <c r="O28" s="63">
        <f t="shared" si="43"/>
        <v>0.33655320038271791</v>
      </c>
      <c r="P28" s="63">
        <f t="shared" si="43"/>
        <v>0.34070665097615221</v>
      </c>
      <c r="Q28" s="63">
        <f t="shared" si="43"/>
        <v>0.34327868689431645</v>
      </c>
      <c r="R28" s="63">
        <f t="shared" si="43"/>
        <v>0.34856890743947722</v>
      </c>
      <c r="S28" s="63">
        <f t="shared" si="43"/>
        <v>0.35005979112283969</v>
      </c>
      <c r="T28" s="63">
        <f t="shared" si="43"/>
        <v>0.34732057929824611</v>
      </c>
      <c r="U28" s="63">
        <f t="shared" si="43"/>
        <v>0.34990918702813972</v>
      </c>
      <c r="V28" s="63">
        <f t="shared" si="43"/>
        <v>0.3121448917703698</v>
      </c>
    </row>
    <row r="29" spans="1:22">
      <c r="A29" s="58" t="s">
        <v>24</v>
      </c>
      <c r="B29" s="63">
        <f>B25/B18</f>
        <v>3.0583660098027442E-2</v>
      </c>
      <c r="C29" s="63">
        <f t="shared" ref="C29:V29" si="44">C25/C18</f>
        <v>6.0993393039547171E-2</v>
      </c>
      <c r="D29" s="63">
        <f t="shared" si="44"/>
        <v>8.7745267814428318E-2</v>
      </c>
      <c r="E29" s="63">
        <f t="shared" si="44"/>
        <v>0.11368872685909528</v>
      </c>
      <c r="F29" s="63">
        <f t="shared" si="44"/>
        <v>0.11652135120322116</v>
      </c>
      <c r="G29" s="63">
        <f t="shared" si="44"/>
        <v>0.12071386470741119</v>
      </c>
      <c r="H29" s="63">
        <f t="shared" si="44"/>
        <v>0.1191931581515636</v>
      </c>
      <c r="I29" s="63">
        <f t="shared" si="44"/>
        <v>0.12569026269365957</v>
      </c>
      <c r="J29" s="63">
        <f t="shared" si="44"/>
        <v>0.13878543322688511</v>
      </c>
      <c r="K29" s="63">
        <f t="shared" si="44"/>
        <v>0.14050561664075825</v>
      </c>
      <c r="L29" s="63">
        <f t="shared" si="44"/>
        <v>0.14641389991965387</v>
      </c>
      <c r="M29" s="63">
        <f t="shared" si="44"/>
        <v>0.15266049003428422</v>
      </c>
      <c r="N29" s="63">
        <f t="shared" si="44"/>
        <v>0.15917760610586981</v>
      </c>
      <c r="O29" s="63">
        <f t="shared" si="44"/>
        <v>0.17502555018779481</v>
      </c>
      <c r="P29" s="63">
        <f t="shared" si="44"/>
        <v>0.17788352700837345</v>
      </c>
      <c r="Q29" s="63">
        <f t="shared" si="44"/>
        <v>0.18484676287648089</v>
      </c>
      <c r="R29" s="63">
        <f t="shared" si="44"/>
        <v>0.19206066764211052</v>
      </c>
      <c r="S29" s="63">
        <f t="shared" si="44"/>
        <v>0.19949609741151694</v>
      </c>
      <c r="T29" s="63">
        <f t="shared" si="44"/>
        <v>0.21387482325846893</v>
      </c>
      <c r="U29" s="63">
        <f t="shared" si="44"/>
        <v>0.21834426936860613</v>
      </c>
      <c r="V29" s="63">
        <f t="shared" si="44"/>
        <v>0.1379924971359662</v>
      </c>
    </row>
    <row r="30" spans="1:22">
      <c r="A30" s="58" t="s">
        <v>25</v>
      </c>
      <c r="B30" s="63">
        <f>B26/B20</f>
        <v>0.11818847625387459</v>
      </c>
      <c r="C30" s="63">
        <f t="shared" ref="C30:V30" si="45">C26/C20</f>
        <v>0.13807642137887211</v>
      </c>
      <c r="D30" s="63">
        <f t="shared" si="45"/>
        <v>0.15307423722976374</v>
      </c>
      <c r="E30" s="63">
        <f t="shared" si="45"/>
        <v>0.1715159251453405</v>
      </c>
      <c r="F30" s="63">
        <f t="shared" si="45"/>
        <v>0.17021351521112932</v>
      </c>
      <c r="G30" s="63">
        <f t="shared" si="45"/>
        <v>0.19355599936529583</v>
      </c>
      <c r="H30" s="63">
        <f t="shared" si="45"/>
        <v>0.20050929315947294</v>
      </c>
      <c r="I30" s="63">
        <f t="shared" si="45"/>
        <v>0.21105164200887622</v>
      </c>
      <c r="J30" s="63">
        <f t="shared" si="45"/>
        <v>0.22240180764037568</v>
      </c>
      <c r="K30" s="63">
        <f t="shared" si="45"/>
        <v>0.22316900759981512</v>
      </c>
      <c r="L30" s="63">
        <f t="shared" si="45"/>
        <v>0.22765207935519419</v>
      </c>
      <c r="M30" s="63">
        <f t="shared" si="45"/>
        <v>0.23245162341904824</v>
      </c>
      <c r="N30" s="63">
        <f t="shared" si="45"/>
        <v>0.23925250149290489</v>
      </c>
      <c r="O30" s="63">
        <f t="shared" si="45"/>
        <v>0.2483301500277395</v>
      </c>
      <c r="P30" s="63">
        <f t="shared" si="45"/>
        <v>0.25127582139387322</v>
      </c>
      <c r="Q30" s="63">
        <f t="shared" si="45"/>
        <v>0.25692581722359509</v>
      </c>
      <c r="R30" s="63">
        <f t="shared" si="45"/>
        <v>0.26402190434000467</v>
      </c>
      <c r="S30" s="63">
        <f t="shared" si="45"/>
        <v>0.26947154010115343</v>
      </c>
      <c r="T30" s="63">
        <f t="shared" si="45"/>
        <v>0.27801091019425822</v>
      </c>
      <c r="U30" s="63">
        <f t="shared" si="45"/>
        <v>0.28164306417976392</v>
      </c>
      <c r="V30" s="63">
        <f t="shared" si="45"/>
        <v>0.2134050262153265</v>
      </c>
    </row>
    <row r="32" spans="1:22">
      <c r="A32" s="8"/>
    </row>
    <row r="33" spans="1:1">
      <c r="A33" s="3"/>
    </row>
  </sheetData>
  <pageMargins left="0.7" right="0.7" top="0.75" bottom="0.75" header="0.3" footer="0.3"/>
  <pageSetup orientation="portrait" r:id="rId1"/>
  <ignoredErrors>
    <ignoredError sqref="B26" formulaRange="1"/>
  </ignoredErrors>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V58"/>
  <sheetViews>
    <sheetView workbookViewId="0">
      <pane ySplit="1" topLeftCell="A23" activePane="bottomLeft" state="frozen"/>
      <selection activeCell="B3" sqref="B3"/>
      <selection pane="bottomLeft" activeCell="D51" sqref="D51"/>
    </sheetView>
  </sheetViews>
  <sheetFormatPr defaultRowHeight="15"/>
  <cols>
    <col min="1" max="1" width="38.140625" customWidth="1"/>
  </cols>
  <sheetData>
    <row r="1" spans="1:22" ht="15.75">
      <c r="A1" s="7" t="s">
        <v>38</v>
      </c>
    </row>
    <row r="2" spans="1:22" ht="15.75">
      <c r="A2" s="7"/>
    </row>
    <row r="3" spans="1:22" ht="15.75">
      <c r="A3" s="7" t="s">
        <v>26</v>
      </c>
    </row>
    <row r="4" spans="1:22">
      <c r="A4" s="5" t="s">
        <v>17</v>
      </c>
      <c r="B4" s="6">
        <v>2015</v>
      </c>
      <c r="C4" s="6">
        <f>B4+1</f>
        <v>2016</v>
      </c>
      <c r="D4" s="6">
        <f t="shared" ref="D4:U4" si="0">C4+1</f>
        <v>2017</v>
      </c>
      <c r="E4" s="6">
        <f t="shared" si="0"/>
        <v>2018</v>
      </c>
      <c r="F4" s="6">
        <f t="shared" si="0"/>
        <v>2019</v>
      </c>
      <c r="G4" s="6">
        <f t="shared" si="0"/>
        <v>2020</v>
      </c>
      <c r="H4" s="6">
        <f t="shared" si="0"/>
        <v>2021</v>
      </c>
      <c r="I4" s="6">
        <f t="shared" si="0"/>
        <v>2022</v>
      </c>
      <c r="J4" s="6">
        <f t="shared" si="0"/>
        <v>2023</v>
      </c>
      <c r="K4" s="6">
        <f t="shared" si="0"/>
        <v>2024</v>
      </c>
      <c r="L4" s="6">
        <f t="shared" si="0"/>
        <v>2025</v>
      </c>
      <c r="M4" s="6">
        <f t="shared" si="0"/>
        <v>2026</v>
      </c>
      <c r="N4" s="6">
        <f t="shared" si="0"/>
        <v>2027</v>
      </c>
      <c r="O4" s="6">
        <f t="shared" si="0"/>
        <v>2028</v>
      </c>
      <c r="P4" s="6">
        <f t="shared" si="0"/>
        <v>2029</v>
      </c>
      <c r="Q4" s="6">
        <f t="shared" si="0"/>
        <v>2030</v>
      </c>
      <c r="R4" s="6">
        <f t="shared" si="0"/>
        <v>2031</v>
      </c>
      <c r="S4" s="6">
        <f t="shared" si="0"/>
        <v>2032</v>
      </c>
      <c r="T4" s="6">
        <f t="shared" si="0"/>
        <v>2033</v>
      </c>
      <c r="U4" s="6">
        <f t="shared" si="0"/>
        <v>2034</v>
      </c>
      <c r="V4" s="6" t="s">
        <v>14</v>
      </c>
    </row>
    <row r="5" spans="1:22">
      <c r="A5" s="50" t="s">
        <v>2</v>
      </c>
    </row>
    <row r="6" spans="1:22">
      <c r="A6" s="9" t="s">
        <v>8</v>
      </c>
      <c r="B6" s="14">
        <v>0.11779298702876954</v>
      </c>
      <c r="C6" s="14">
        <v>0.13236804422126783</v>
      </c>
      <c r="D6" s="14">
        <v>0.14819271973741416</v>
      </c>
      <c r="E6" s="14">
        <v>0.15293605760285461</v>
      </c>
      <c r="F6" s="14">
        <v>0.14876591466384215</v>
      </c>
      <c r="G6" s="14">
        <v>0.13692816468234592</v>
      </c>
      <c r="H6" s="14">
        <v>0.13895266375429924</v>
      </c>
      <c r="I6" s="14">
        <v>0.14203445182366378</v>
      </c>
      <c r="J6" s="14">
        <v>0.15696010573190439</v>
      </c>
      <c r="K6" s="14">
        <v>0.15853330739225718</v>
      </c>
      <c r="L6" s="14">
        <v>0.15918454712712338</v>
      </c>
      <c r="M6" s="14">
        <v>0.15983578651635841</v>
      </c>
      <c r="N6" s="14">
        <v>0.16048413114292157</v>
      </c>
      <c r="O6" s="14">
        <v>0.17353221504718133</v>
      </c>
      <c r="P6" s="14">
        <v>0.17424076339064151</v>
      </c>
      <c r="Q6" s="14">
        <v>0.16918123630440479</v>
      </c>
      <c r="R6" s="14">
        <v>0.16986335260985275</v>
      </c>
      <c r="S6" s="14">
        <v>0.17054547949200027</v>
      </c>
      <c r="T6" s="14">
        <v>0.17381529252473288</v>
      </c>
      <c r="U6" s="14">
        <v>0.17450910560296645</v>
      </c>
      <c r="V6" s="14">
        <f>SUM(B6:U6)</f>
        <v>3.1186563263968021</v>
      </c>
    </row>
    <row r="7" spans="1:22">
      <c r="A7" s="10" t="s">
        <v>9</v>
      </c>
      <c r="B7" s="14">
        <v>2.3270203857776197</v>
      </c>
      <c r="C7" s="14">
        <v>2.4466812063403212</v>
      </c>
      <c r="D7" s="14">
        <v>2.4647408392634711</v>
      </c>
      <c r="E7" s="14">
        <v>3.1008063863792596</v>
      </c>
      <c r="F7" s="14">
        <v>3.4400508036137918</v>
      </c>
      <c r="G7" s="14">
        <v>1.8158604953419795</v>
      </c>
      <c r="H7" s="14">
        <v>1.6095345225736386</v>
      </c>
      <c r="I7" s="14">
        <v>1.3665980544386136</v>
      </c>
      <c r="J7" s="14">
        <v>1.2506608508080321</v>
      </c>
      <c r="K7" s="14">
        <v>1.2209523436759742</v>
      </c>
      <c r="L7" s="14">
        <v>1.2021538407495542</v>
      </c>
      <c r="M7" s="14">
        <v>1.1782915954923205</v>
      </c>
      <c r="N7" s="14">
        <v>1.1612720319589538</v>
      </c>
      <c r="O7" s="14">
        <v>1.2211695836013228</v>
      </c>
      <c r="P7" s="14">
        <v>1.1971394101328445</v>
      </c>
      <c r="Q7" s="14">
        <v>1.1637337412700384</v>
      </c>
      <c r="R7" s="14">
        <v>1.1353457354493361</v>
      </c>
      <c r="S7" s="14">
        <v>1.1200986945755562</v>
      </c>
      <c r="T7" s="14">
        <v>1.1247362984482741</v>
      </c>
      <c r="U7" s="14">
        <v>1.1156101024044727</v>
      </c>
      <c r="V7" s="14">
        <f t="shared" ref="V7:V11" si="1">SUM(B7:U7)</f>
        <v>32.662456922295384</v>
      </c>
    </row>
    <row r="8" spans="1:22">
      <c r="A8" s="10" t="s">
        <v>10</v>
      </c>
      <c r="B8" s="14">
        <v>0.9789443058346845</v>
      </c>
      <c r="C8" s="14">
        <v>1.019761681634384</v>
      </c>
      <c r="D8" s="14">
        <v>1.0729224531695507</v>
      </c>
      <c r="E8" s="14">
        <v>1.1179993705590503</v>
      </c>
      <c r="F8" s="14">
        <v>1.1558128101459535</v>
      </c>
      <c r="G8" s="14">
        <v>1.3278492616231088</v>
      </c>
      <c r="H8" s="14">
        <v>1.481287650897074</v>
      </c>
      <c r="I8" s="14">
        <v>1.6185620102220677</v>
      </c>
      <c r="J8" s="14">
        <v>1.8437521142125313</v>
      </c>
      <c r="K8" s="14">
        <v>1.8510077182394322</v>
      </c>
      <c r="L8" s="14">
        <v>1.9093722474409087</v>
      </c>
      <c r="M8" s="14">
        <v>1.9571174952653099</v>
      </c>
      <c r="N8" s="14">
        <v>2.0143211248117532</v>
      </c>
      <c r="O8" s="14">
        <v>2.1871510289741378</v>
      </c>
      <c r="P8" s="14">
        <v>2.2525845463133738</v>
      </c>
      <c r="Q8" s="14">
        <v>2.3040591659611778</v>
      </c>
      <c r="R8" s="14">
        <v>2.3634042170038732</v>
      </c>
      <c r="S8" s="14">
        <v>2.414248744255882</v>
      </c>
      <c r="T8" s="14">
        <v>2.545350247784417</v>
      </c>
      <c r="U8" s="14">
        <v>2.5614783864686661</v>
      </c>
      <c r="V8" s="14">
        <f t="shared" si="1"/>
        <v>35.976986580817339</v>
      </c>
    </row>
    <row r="9" spans="1:22">
      <c r="A9" s="10" t="s">
        <v>11</v>
      </c>
      <c r="B9" s="14">
        <v>0.4127030068269667</v>
      </c>
      <c r="C9" s="14">
        <v>0.41332582164866405</v>
      </c>
      <c r="D9" s="14">
        <v>0.41339114375042268</v>
      </c>
      <c r="E9" s="14">
        <v>0.41372870264598821</v>
      </c>
      <c r="F9" s="14">
        <v>0.42208657084144474</v>
      </c>
      <c r="G9" s="14">
        <v>0.42503927668905928</v>
      </c>
      <c r="H9" s="14">
        <v>0.43270853071668058</v>
      </c>
      <c r="I9" s="14">
        <v>0.43959729857371943</v>
      </c>
      <c r="J9" s="14">
        <v>0.45497188141387579</v>
      </c>
      <c r="K9" s="14">
        <v>0.45581513706474275</v>
      </c>
      <c r="L9" s="14">
        <v>0.45943372230258905</v>
      </c>
      <c r="M9" s="14">
        <v>0.46167783773254101</v>
      </c>
      <c r="N9" s="14">
        <v>0.4664961592502937</v>
      </c>
      <c r="O9" s="14">
        <v>0.46884831445030456</v>
      </c>
      <c r="P9" s="14">
        <v>0.47250658506962268</v>
      </c>
      <c r="Q9" s="14">
        <v>0.47612156254551696</v>
      </c>
      <c r="R9" s="14">
        <v>0.48339360805341203</v>
      </c>
      <c r="S9" s="14">
        <v>0.48711802097518342</v>
      </c>
      <c r="T9" s="14">
        <v>0.49079673557889614</v>
      </c>
      <c r="U9" s="14">
        <v>0.49534371822572121</v>
      </c>
      <c r="V9" s="14">
        <f t="shared" si="1"/>
        <v>9.0451036343556446</v>
      </c>
    </row>
    <row r="10" spans="1:22">
      <c r="A10" s="2" t="s">
        <v>12</v>
      </c>
      <c r="B10" s="14">
        <v>0.30027114476726868</v>
      </c>
      <c r="C10" s="14">
        <v>0.30047018415190468</v>
      </c>
      <c r="D10" s="14">
        <v>0.29933822963801993</v>
      </c>
      <c r="E10" s="14">
        <v>0.29869040655968926</v>
      </c>
      <c r="F10" s="14">
        <v>0.29820895874476494</v>
      </c>
      <c r="G10" s="14">
        <v>0.29434138372325269</v>
      </c>
      <c r="H10" s="14">
        <v>0.29676314871878495</v>
      </c>
      <c r="I10" s="14">
        <v>0.3002269437404082</v>
      </c>
      <c r="J10" s="14">
        <v>0.30297736706678691</v>
      </c>
      <c r="K10" s="14">
        <v>0.30527749223348244</v>
      </c>
      <c r="L10" s="14">
        <v>0.30599351423430265</v>
      </c>
      <c r="M10" s="14">
        <v>0.30727231755420492</v>
      </c>
      <c r="N10" s="14">
        <v>0.30943861519222204</v>
      </c>
      <c r="O10" s="14">
        <v>0.31076364566579273</v>
      </c>
      <c r="P10" s="14">
        <v>0.31269122290865581</v>
      </c>
      <c r="Q10" s="14">
        <v>0.31404033770406603</v>
      </c>
      <c r="R10" s="14">
        <v>0.31675427555098723</v>
      </c>
      <c r="S10" s="14">
        <v>0.31870653719629471</v>
      </c>
      <c r="T10" s="14">
        <v>0.32007943877951484</v>
      </c>
      <c r="U10" s="14">
        <v>0.3217763792457311</v>
      </c>
      <c r="V10" s="14">
        <f t="shared" si="1"/>
        <v>6.1340815433761353</v>
      </c>
    </row>
    <row r="11" spans="1:22">
      <c r="A11" s="2" t="s">
        <v>13</v>
      </c>
      <c r="B11" s="15">
        <v>0.10498100390371222</v>
      </c>
      <c r="C11" s="15">
        <v>0.11020721083009175</v>
      </c>
      <c r="D11" s="15">
        <v>0.11237625960692502</v>
      </c>
      <c r="E11" s="15">
        <v>0.12100938082702759</v>
      </c>
      <c r="F11" s="15">
        <v>0.12285118132586731</v>
      </c>
      <c r="G11" s="15">
        <v>0.13131533537504025</v>
      </c>
      <c r="H11" s="15">
        <v>0.14096791699273381</v>
      </c>
      <c r="I11" s="15">
        <v>0.14897987051149303</v>
      </c>
      <c r="J11" s="15">
        <v>0.17053688805272199</v>
      </c>
      <c r="K11" s="15">
        <v>0.17120935792705189</v>
      </c>
      <c r="L11" s="15">
        <v>0.17322680551958627</v>
      </c>
      <c r="M11" s="15">
        <v>0.17636634641169333</v>
      </c>
      <c r="N11" s="15">
        <v>0.17826734438278677</v>
      </c>
      <c r="O11" s="15">
        <v>0.19150906068830917</v>
      </c>
      <c r="P11" s="15">
        <v>0.19397695326142883</v>
      </c>
      <c r="Q11" s="15">
        <v>0.19588155257366766</v>
      </c>
      <c r="R11" s="15">
        <v>0.19830290294114122</v>
      </c>
      <c r="S11" s="15">
        <v>0.20110786662996469</v>
      </c>
      <c r="T11" s="15">
        <v>0.21095679716218385</v>
      </c>
      <c r="U11" s="15">
        <v>0.21304181061729885</v>
      </c>
      <c r="V11" s="15">
        <f t="shared" si="1"/>
        <v>3.2670718455407255</v>
      </c>
    </row>
    <row r="12" spans="1:22">
      <c r="A12" s="8" t="s">
        <v>15</v>
      </c>
      <c r="B12" s="16">
        <f>SUM(B6:B11)</f>
        <v>4.2417128341390216</v>
      </c>
      <c r="C12" s="16">
        <f t="shared" ref="C12:V12" si="2">SUM(C6:C11)</f>
        <v>4.4228141488266344</v>
      </c>
      <c r="D12" s="16">
        <f t="shared" si="2"/>
        <v>4.5109616451658034</v>
      </c>
      <c r="E12" s="16">
        <f t="shared" si="2"/>
        <v>5.20517030457387</v>
      </c>
      <c r="F12" s="16">
        <f t="shared" si="2"/>
        <v>5.587776239335664</v>
      </c>
      <c r="G12" s="16">
        <f t="shared" si="2"/>
        <v>4.1313339174347865</v>
      </c>
      <c r="H12" s="16">
        <f t="shared" si="2"/>
        <v>4.1002144336532114</v>
      </c>
      <c r="I12" s="16">
        <f t="shared" si="2"/>
        <v>4.0159986293099665</v>
      </c>
      <c r="J12" s="16">
        <f t="shared" si="2"/>
        <v>4.1798592072858529</v>
      </c>
      <c r="K12" s="16">
        <f t="shared" si="2"/>
        <v>4.162795356532941</v>
      </c>
      <c r="L12" s="16">
        <f t="shared" si="2"/>
        <v>4.2093646773740652</v>
      </c>
      <c r="M12" s="16">
        <f t="shared" si="2"/>
        <v>4.2405613789724272</v>
      </c>
      <c r="N12" s="16">
        <f t="shared" si="2"/>
        <v>4.2902794067389314</v>
      </c>
      <c r="O12" s="16">
        <f t="shared" si="2"/>
        <v>4.5529738484270483</v>
      </c>
      <c r="P12" s="16">
        <f t="shared" si="2"/>
        <v>4.6031394810765676</v>
      </c>
      <c r="Q12" s="16">
        <f t="shared" si="2"/>
        <v>4.6230175963588716</v>
      </c>
      <c r="R12" s="16">
        <f t="shared" si="2"/>
        <v>4.6670640916086024</v>
      </c>
      <c r="S12" s="16">
        <f t="shared" si="2"/>
        <v>4.7118253431248807</v>
      </c>
      <c r="T12" s="16">
        <f t="shared" si="2"/>
        <v>4.8657348102780187</v>
      </c>
      <c r="U12" s="16">
        <f t="shared" si="2"/>
        <v>4.881759502564857</v>
      </c>
      <c r="V12" s="16">
        <f t="shared" si="2"/>
        <v>90.204356852782027</v>
      </c>
    </row>
    <row r="14" spans="1:22">
      <c r="A14" s="50" t="s">
        <v>3</v>
      </c>
    </row>
    <row r="15" spans="1:22">
      <c r="A15" s="2" t="s">
        <v>7</v>
      </c>
      <c r="B15" s="14">
        <v>2.4245652503995156</v>
      </c>
      <c r="C15" s="14">
        <v>2.071776183829658</v>
      </c>
      <c r="D15" s="14">
        <v>1.8254224401363499</v>
      </c>
      <c r="E15" s="14">
        <v>1.5758026157258547</v>
      </c>
      <c r="F15" s="14">
        <v>1.5204620365701516</v>
      </c>
      <c r="G15" s="14">
        <v>1.4601625600091475</v>
      </c>
      <c r="H15" s="14">
        <v>1.5328655999195593</v>
      </c>
      <c r="I15" s="14">
        <v>1.4490462574589604</v>
      </c>
      <c r="J15" s="14">
        <v>1.3065683000800472</v>
      </c>
      <c r="K15" s="14">
        <v>1.3098650249702943</v>
      </c>
      <c r="L15" s="14">
        <v>1.293604085048127</v>
      </c>
      <c r="M15" s="14">
        <v>1.2787778635915525</v>
      </c>
      <c r="N15" s="14">
        <v>1.2679395781503775</v>
      </c>
      <c r="O15" s="14">
        <v>1.2374704296099599</v>
      </c>
      <c r="P15" s="14">
        <v>1.2387860566373725</v>
      </c>
      <c r="Q15" s="14">
        <v>1.224162612106225</v>
      </c>
      <c r="R15" s="14">
        <v>1.2077554644732942</v>
      </c>
      <c r="S15" s="14">
        <v>1.1933956563058525</v>
      </c>
      <c r="T15" s="14">
        <v>1.1709685046230442</v>
      </c>
      <c r="U15" s="14">
        <v>1.1673557648478867</v>
      </c>
      <c r="V15" s="14">
        <f>SUM(B15:U15)</f>
        <v>28.756752284493231</v>
      </c>
    </row>
    <row r="16" spans="1:22">
      <c r="A16" s="2" t="s">
        <v>6</v>
      </c>
      <c r="B16" s="14">
        <v>4.3960196812706256</v>
      </c>
      <c r="C16" s="14">
        <v>3.7158246376085522</v>
      </c>
      <c r="D16" s="14">
        <v>3.2956417628102739</v>
      </c>
      <c r="E16" s="14">
        <v>3.0241772938906744</v>
      </c>
      <c r="F16" s="14">
        <v>2.9143901763997575</v>
      </c>
      <c r="G16" s="14">
        <v>2.8280998744831685</v>
      </c>
      <c r="H16" s="14">
        <v>2.9128967780124309</v>
      </c>
      <c r="I16" s="14">
        <v>2.6835388384621393</v>
      </c>
      <c r="J16" s="14">
        <v>2.4639368216508988</v>
      </c>
      <c r="K16" s="14">
        <v>2.468238732472483</v>
      </c>
      <c r="L16" s="14">
        <v>2.4246785743669204</v>
      </c>
      <c r="M16" s="14">
        <v>2.3810864554706592</v>
      </c>
      <c r="N16" s="14">
        <v>2.3368170282171827</v>
      </c>
      <c r="O16" s="14">
        <v>2.1216159176951712</v>
      </c>
      <c r="P16" s="14">
        <v>2.1180649277718855</v>
      </c>
      <c r="Q16" s="14">
        <v>2.0784812225733478</v>
      </c>
      <c r="R16" s="14">
        <v>2.0393810814969529</v>
      </c>
      <c r="S16" s="14">
        <v>2.0001959144361541</v>
      </c>
      <c r="T16" s="14">
        <v>1.8557685230195946</v>
      </c>
      <c r="U16" s="14">
        <v>1.8425459120950656</v>
      </c>
      <c r="V16" s="14">
        <f>SUM(B16:U16)</f>
        <v>51.901400154203927</v>
      </c>
    </row>
    <row r="17" spans="1:22">
      <c r="A17" s="2" t="s">
        <v>5</v>
      </c>
      <c r="B17" s="15">
        <v>5.7517082384873275</v>
      </c>
      <c r="C17" s="15">
        <v>5.9188431749896218</v>
      </c>
      <c r="D17" s="15">
        <v>5.9811579873521623</v>
      </c>
      <c r="E17" s="15">
        <v>5.7415779474207262</v>
      </c>
      <c r="F17" s="15">
        <v>5.9692162396007102</v>
      </c>
      <c r="G17" s="15">
        <v>5.8730994712299767</v>
      </c>
      <c r="H17" s="15">
        <v>6.0784579744125624</v>
      </c>
      <c r="I17" s="15">
        <v>6.1083030086852137</v>
      </c>
      <c r="J17" s="15">
        <v>5.7318460387786248</v>
      </c>
      <c r="K17" s="15">
        <v>5.8462052518280903</v>
      </c>
      <c r="L17" s="15">
        <v>5.7527258672836137</v>
      </c>
      <c r="M17" s="15">
        <v>5.6616669761769511</v>
      </c>
      <c r="N17" s="15">
        <v>5.5717387360171742</v>
      </c>
      <c r="O17" s="15">
        <v>5.1913361307763397</v>
      </c>
      <c r="P17" s="15">
        <v>5.2796585873564759</v>
      </c>
      <c r="Q17" s="15">
        <v>5.1986450080308142</v>
      </c>
      <c r="R17" s="15">
        <v>5.1207281455106761</v>
      </c>
      <c r="S17" s="15">
        <v>5.044054623684934</v>
      </c>
      <c r="T17" s="15">
        <v>4.8151646035217235</v>
      </c>
      <c r="U17" s="15">
        <v>4.8460706181259079</v>
      </c>
      <c r="V17" s="15">
        <f>SUM(B17:U17)</f>
        <v>111.48220462926962</v>
      </c>
    </row>
    <row r="18" spans="1:22">
      <c r="A18" s="8" t="s">
        <v>16</v>
      </c>
      <c r="B18" s="16">
        <f>SUM(B15:B17)</f>
        <v>12.572293170157469</v>
      </c>
      <c r="C18" s="16">
        <f t="shared" ref="C18:V18" si="3">SUM(C15:C17)</f>
        <v>11.706443996427833</v>
      </c>
      <c r="D18" s="16">
        <f t="shared" si="3"/>
        <v>11.102222190298786</v>
      </c>
      <c r="E18" s="16">
        <f t="shared" si="3"/>
        <v>10.341557857037255</v>
      </c>
      <c r="F18" s="16">
        <f t="shared" si="3"/>
        <v>10.40406845257062</v>
      </c>
      <c r="G18" s="16">
        <f t="shared" si="3"/>
        <v>10.161361905722291</v>
      </c>
      <c r="H18" s="16">
        <f t="shared" si="3"/>
        <v>10.524220352344553</v>
      </c>
      <c r="I18" s="16">
        <f t="shared" si="3"/>
        <v>10.240888104606313</v>
      </c>
      <c r="J18" s="16">
        <f t="shared" si="3"/>
        <v>9.502351160509571</v>
      </c>
      <c r="K18" s="16">
        <f t="shared" si="3"/>
        <v>9.624309009270867</v>
      </c>
      <c r="L18" s="16">
        <f t="shared" si="3"/>
        <v>9.471008526698661</v>
      </c>
      <c r="M18" s="16">
        <f t="shared" si="3"/>
        <v>9.3215312952391631</v>
      </c>
      <c r="N18" s="16">
        <f t="shared" si="3"/>
        <v>9.1764953423847349</v>
      </c>
      <c r="O18" s="16">
        <f t="shared" si="3"/>
        <v>8.5504224780814706</v>
      </c>
      <c r="P18" s="16">
        <f t="shared" si="3"/>
        <v>8.6365095717657336</v>
      </c>
      <c r="Q18" s="16">
        <f t="shared" si="3"/>
        <v>8.5012888427103874</v>
      </c>
      <c r="R18" s="16">
        <f t="shared" si="3"/>
        <v>8.3678646914809232</v>
      </c>
      <c r="S18" s="16">
        <f t="shared" si="3"/>
        <v>8.2376461944269401</v>
      </c>
      <c r="T18" s="16">
        <f t="shared" si="3"/>
        <v>7.8419016311643626</v>
      </c>
      <c r="U18" s="16">
        <f t="shared" si="3"/>
        <v>7.8559722950688604</v>
      </c>
      <c r="V18" s="16">
        <f t="shared" si="3"/>
        <v>192.14035706796676</v>
      </c>
    </row>
    <row r="19" spans="1:22">
      <c r="A19" s="8"/>
    </row>
    <row r="20" spans="1:22" s="4" customFormat="1">
      <c r="A20" s="3" t="s">
        <v>4</v>
      </c>
      <c r="B20" s="16">
        <f>B12+B18</f>
        <v>16.814006004296491</v>
      </c>
      <c r="C20" s="16">
        <f t="shared" ref="C20:V20" si="4">C12+C18</f>
        <v>16.129258145254468</v>
      </c>
      <c r="D20" s="16">
        <f t="shared" si="4"/>
        <v>15.613183835464589</v>
      </c>
      <c r="E20" s="16">
        <f t="shared" si="4"/>
        <v>15.546728161611124</v>
      </c>
      <c r="F20" s="16">
        <f t="shared" si="4"/>
        <v>15.991844691906284</v>
      </c>
      <c r="G20" s="16">
        <f t="shared" si="4"/>
        <v>14.292695823157079</v>
      </c>
      <c r="H20" s="16">
        <f t="shared" si="4"/>
        <v>14.624434785997764</v>
      </c>
      <c r="I20" s="16">
        <f t="shared" si="4"/>
        <v>14.256886733916279</v>
      </c>
      <c r="J20" s="16">
        <f t="shared" si="4"/>
        <v>13.682210367795424</v>
      </c>
      <c r="K20" s="16">
        <f t="shared" si="4"/>
        <v>13.787104365803808</v>
      </c>
      <c r="L20" s="16">
        <f t="shared" si="4"/>
        <v>13.680373204072726</v>
      </c>
      <c r="M20" s="16">
        <f t="shared" si="4"/>
        <v>13.562092674211591</v>
      </c>
      <c r="N20" s="16">
        <f t="shared" si="4"/>
        <v>13.466774749123665</v>
      </c>
      <c r="O20" s="16">
        <f t="shared" si="4"/>
        <v>13.10339632650852</v>
      </c>
      <c r="P20" s="16">
        <f t="shared" si="4"/>
        <v>13.239649052842301</v>
      </c>
      <c r="Q20" s="16">
        <f t="shared" si="4"/>
        <v>13.124306439069258</v>
      </c>
      <c r="R20" s="16">
        <f t="shared" si="4"/>
        <v>13.034928783089526</v>
      </c>
      <c r="S20" s="16">
        <f t="shared" si="4"/>
        <v>12.949471537551821</v>
      </c>
      <c r="T20" s="16">
        <f t="shared" si="4"/>
        <v>12.707636441442382</v>
      </c>
      <c r="U20" s="16">
        <f t="shared" si="4"/>
        <v>12.737731797633717</v>
      </c>
      <c r="V20" s="16">
        <f t="shared" si="4"/>
        <v>282.3447139207488</v>
      </c>
    </row>
    <row r="21" spans="1:22">
      <c r="A21" s="1"/>
    </row>
    <row r="22" spans="1:22" s="6" customFormat="1">
      <c r="A22" s="5" t="s">
        <v>19</v>
      </c>
      <c r="B22" s="6">
        <v>2015</v>
      </c>
      <c r="C22" s="6">
        <v>2016</v>
      </c>
      <c r="D22" s="6">
        <v>2017</v>
      </c>
      <c r="E22" s="6">
        <v>2018</v>
      </c>
      <c r="F22" s="6">
        <v>2019</v>
      </c>
      <c r="G22" s="6">
        <v>2020</v>
      </c>
      <c r="H22" s="6">
        <v>2021</v>
      </c>
      <c r="I22" s="6">
        <v>2022</v>
      </c>
      <c r="J22" s="6">
        <v>2023</v>
      </c>
      <c r="K22" s="6">
        <v>2024</v>
      </c>
      <c r="L22" s="6">
        <v>2025</v>
      </c>
      <c r="M22" s="6">
        <v>2026</v>
      </c>
      <c r="N22" s="6">
        <v>2027</v>
      </c>
      <c r="O22" s="6">
        <v>2028</v>
      </c>
      <c r="P22" s="6">
        <v>2029</v>
      </c>
      <c r="Q22" s="6">
        <v>2030</v>
      </c>
      <c r="R22" s="6">
        <v>2031</v>
      </c>
      <c r="S22" s="6">
        <v>2032</v>
      </c>
      <c r="T22" s="6">
        <v>2033</v>
      </c>
      <c r="U22" s="6">
        <v>2034</v>
      </c>
      <c r="V22" s="6" t="s">
        <v>14</v>
      </c>
    </row>
    <row r="23" spans="1:22">
      <c r="A23" s="50" t="s">
        <v>2</v>
      </c>
    </row>
    <row r="24" spans="1:22">
      <c r="A24" s="9" t="s">
        <v>8</v>
      </c>
      <c r="B24" s="14">
        <v>0.23317790158458856</v>
      </c>
      <c r="C24" s="14">
        <v>0.27105084287553499</v>
      </c>
      <c r="D24" s="14">
        <v>0.31825569086425171</v>
      </c>
      <c r="E24" s="14">
        <v>0.31147540470353691</v>
      </c>
      <c r="F24" s="14">
        <v>0.29126588417548788</v>
      </c>
      <c r="G24" s="14">
        <v>0.23909648501635572</v>
      </c>
      <c r="H24" s="14">
        <v>0.25165993452021157</v>
      </c>
      <c r="I24" s="14">
        <v>0.25882554294083715</v>
      </c>
      <c r="J24" s="14">
        <v>0.28987659124373977</v>
      </c>
      <c r="K24" s="14">
        <v>0.30297613957267394</v>
      </c>
      <c r="L24" s="14">
        <v>0.30428764376484352</v>
      </c>
      <c r="M24" s="14">
        <v>0.30559916030200879</v>
      </c>
      <c r="N24" s="14">
        <v>0.31454461284301022</v>
      </c>
      <c r="O24" s="14">
        <v>0.34153300908106904</v>
      </c>
      <c r="P24" s="14">
        <v>0.34299855962849807</v>
      </c>
      <c r="Q24" s="14">
        <v>0.35420036336480459</v>
      </c>
      <c r="R24" s="14">
        <v>0.35571051289447236</v>
      </c>
      <c r="S24" s="14">
        <v>0.35722066242414025</v>
      </c>
      <c r="T24" s="14">
        <v>0.38855786828407124</v>
      </c>
      <c r="U24" s="14">
        <v>0.390202826915649</v>
      </c>
      <c r="V24" s="14">
        <f>SUM(B24:U24)</f>
        <v>6.2225156369997849</v>
      </c>
    </row>
    <row r="25" spans="1:22">
      <c r="A25" s="10" t="s">
        <v>9</v>
      </c>
      <c r="B25" s="14">
        <v>5.0246819332544881</v>
      </c>
      <c r="C25" s="14">
        <v>5.2465866258623182</v>
      </c>
      <c r="D25" s="14">
        <v>5.4066462812702287</v>
      </c>
      <c r="E25" s="14">
        <v>6.6986430807339907</v>
      </c>
      <c r="F25" s="14">
        <v>7.3383441728586556</v>
      </c>
      <c r="G25" s="14">
        <v>3.6904656478511422</v>
      </c>
      <c r="H25" s="14">
        <v>3.141093780700396</v>
      </c>
      <c r="I25" s="14">
        <v>2.432981739865133</v>
      </c>
      <c r="J25" s="14">
        <v>1.9308854919531613</v>
      </c>
      <c r="K25" s="14">
        <v>1.8155859877653653</v>
      </c>
      <c r="L25" s="14">
        <v>1.6566236255039641</v>
      </c>
      <c r="M25" s="14">
        <v>1.6201345491555204</v>
      </c>
      <c r="N25" s="14">
        <v>1.5907096370284202</v>
      </c>
      <c r="O25" s="14">
        <v>1.6782023736471721</v>
      </c>
      <c r="P25" s="14">
        <v>1.6430937653458155</v>
      </c>
      <c r="Q25" s="14">
        <v>1.573532297725289</v>
      </c>
      <c r="R25" s="14">
        <v>1.510628559082265</v>
      </c>
      <c r="S25" s="14">
        <v>1.4880999087388094</v>
      </c>
      <c r="T25" s="14">
        <v>1.498406210398864</v>
      </c>
      <c r="U25" s="14">
        <v>1.4805321980543849</v>
      </c>
      <c r="V25" s="14">
        <f t="shared" ref="V25:V29" si="5">SUM(B25:U25)</f>
        <v>58.465877866795381</v>
      </c>
    </row>
    <row r="26" spans="1:22">
      <c r="A26" s="10" t="s">
        <v>10</v>
      </c>
      <c r="B26" s="14">
        <v>1.2178839988755665</v>
      </c>
      <c r="C26" s="14">
        <v>1.2568387911069543</v>
      </c>
      <c r="D26" s="14">
        <v>1.2948177535377465</v>
      </c>
      <c r="E26" s="14">
        <v>1.3566428627376828</v>
      </c>
      <c r="F26" s="14">
        <v>1.3677951499551819</v>
      </c>
      <c r="G26" s="14">
        <v>1.5190771265768164</v>
      </c>
      <c r="H26" s="14">
        <v>1.7558756615360882</v>
      </c>
      <c r="I26" s="14">
        <v>1.9747652982432278</v>
      </c>
      <c r="J26" s="14">
        <v>2.3396491161120929</v>
      </c>
      <c r="K26" s="14">
        <v>2.3564475045756601</v>
      </c>
      <c r="L26" s="14">
        <v>2.4202788564609912</v>
      </c>
      <c r="M26" s="14">
        <v>2.498754661933392</v>
      </c>
      <c r="N26" s="14">
        <v>2.5356980112988969</v>
      </c>
      <c r="O26" s="14">
        <v>2.6474219504155037</v>
      </c>
      <c r="P26" s="14">
        <v>2.677093984205106</v>
      </c>
      <c r="Q26" s="14">
        <v>2.7135849988279999</v>
      </c>
      <c r="R26" s="14">
        <v>2.7478878958148156</v>
      </c>
      <c r="S26" s="14">
        <v>2.8122017330529649</v>
      </c>
      <c r="T26" s="14">
        <v>2.8928265673212108</v>
      </c>
      <c r="U26" s="14">
        <v>2.9681955579596737</v>
      </c>
      <c r="V26" s="14">
        <f t="shared" si="5"/>
        <v>43.353737480547572</v>
      </c>
    </row>
    <row r="27" spans="1:22">
      <c r="A27" s="10" t="s">
        <v>11</v>
      </c>
      <c r="B27" s="14">
        <v>0.57439871204870963</v>
      </c>
      <c r="C27" s="14">
        <v>0.57327819364773169</v>
      </c>
      <c r="D27" s="14">
        <v>0.57536118814590398</v>
      </c>
      <c r="E27" s="14">
        <v>0.57088007247553973</v>
      </c>
      <c r="F27" s="14">
        <v>0.58429711562079278</v>
      </c>
      <c r="G27" s="14">
        <v>0.55532086253461399</v>
      </c>
      <c r="H27" s="14">
        <v>0.56706089481866817</v>
      </c>
      <c r="I27" s="14">
        <v>0.57407098867039241</v>
      </c>
      <c r="J27" s="14">
        <v>0.59813593959294353</v>
      </c>
      <c r="K27" s="14">
        <v>0.60326358803834401</v>
      </c>
      <c r="L27" s="14">
        <v>0.60685735973452426</v>
      </c>
      <c r="M27" s="14">
        <v>0.61073147333167765</v>
      </c>
      <c r="N27" s="14">
        <v>0.61967521747638421</v>
      </c>
      <c r="O27" s="14">
        <v>0.62529230647975409</v>
      </c>
      <c r="P27" s="14">
        <v>0.62892258912740673</v>
      </c>
      <c r="Q27" s="14">
        <v>0.63250978886777542</v>
      </c>
      <c r="R27" s="14">
        <v>0.63983909565009989</v>
      </c>
      <c r="S27" s="14">
        <v>0.64353463146066725</v>
      </c>
      <c r="T27" s="14">
        <v>0.64718469086910158</v>
      </c>
      <c r="U27" s="14">
        <v>0.65172038384462572</v>
      </c>
      <c r="V27" s="14">
        <f t="shared" si="5"/>
        <v>12.08233509243566</v>
      </c>
    </row>
    <row r="28" spans="1:22">
      <c r="A28" s="2" t="s">
        <v>12</v>
      </c>
      <c r="B28" s="14">
        <v>0.47692820080228809</v>
      </c>
      <c r="C28" s="14">
        <v>0.47788951834952792</v>
      </c>
      <c r="D28" s="14">
        <v>0.4738450768760592</v>
      </c>
      <c r="E28" s="14">
        <v>0.4673749236675086</v>
      </c>
      <c r="F28" s="14">
        <v>0.46226075672886319</v>
      </c>
      <c r="G28" s="14">
        <v>0.43602648138581374</v>
      </c>
      <c r="H28" s="14">
        <v>0.43861133980074768</v>
      </c>
      <c r="I28" s="14">
        <v>0.44242387174253978</v>
      </c>
      <c r="J28" s="14">
        <v>0.44516093871875601</v>
      </c>
      <c r="K28" s="14">
        <v>0.44885293413552135</v>
      </c>
      <c r="L28" s="14">
        <v>0.44918877119428152</v>
      </c>
      <c r="M28" s="14">
        <v>0.45060891140971698</v>
      </c>
      <c r="N28" s="14">
        <v>0.45281199578897408</v>
      </c>
      <c r="O28" s="14">
        <v>0.45427813867407002</v>
      </c>
      <c r="P28" s="14">
        <v>0.45767035722568489</v>
      </c>
      <c r="Q28" s="14">
        <v>0.45901292057519788</v>
      </c>
      <c r="R28" s="14">
        <v>0.46171367924935142</v>
      </c>
      <c r="S28" s="14">
        <v>0.46513046233330929</v>
      </c>
      <c r="T28" s="14">
        <v>0.4664966969594439</v>
      </c>
      <c r="U28" s="14">
        <v>0.46818539690106359</v>
      </c>
      <c r="V28" s="14">
        <f t="shared" si="5"/>
        <v>9.154471372518719</v>
      </c>
    </row>
    <row r="29" spans="1:22">
      <c r="A29" s="2" t="s">
        <v>13</v>
      </c>
      <c r="B29" s="15">
        <v>0.15319809201634935</v>
      </c>
      <c r="C29" s="15">
        <v>0.1623350612230903</v>
      </c>
      <c r="D29" s="15">
        <v>0.16430498012744249</v>
      </c>
      <c r="E29" s="15">
        <v>0.17779106240260822</v>
      </c>
      <c r="F29" s="15">
        <v>0.18021654296711528</v>
      </c>
      <c r="G29" s="15">
        <v>0.19165342120007534</v>
      </c>
      <c r="H29" s="15">
        <v>0.20694606519455949</v>
      </c>
      <c r="I29" s="15">
        <v>0.22022259477473222</v>
      </c>
      <c r="J29" s="15">
        <v>0.25360602679881361</v>
      </c>
      <c r="K29" s="15">
        <v>0.25439591897431429</v>
      </c>
      <c r="L29" s="15">
        <v>0.26019517517320495</v>
      </c>
      <c r="M29" s="15">
        <v>0.26647468110479217</v>
      </c>
      <c r="N29" s="15">
        <v>0.27159413001372912</v>
      </c>
      <c r="O29" s="15">
        <v>0.29690538091430557</v>
      </c>
      <c r="P29" s="15">
        <v>0.30307553606579701</v>
      </c>
      <c r="Q29" s="15">
        <v>0.30850007397273493</v>
      </c>
      <c r="R29" s="15">
        <v>0.31472165498593119</v>
      </c>
      <c r="S29" s="15">
        <v>0.32133632642797405</v>
      </c>
      <c r="T29" s="15">
        <v>0.34176447502119689</v>
      </c>
      <c r="U29" s="15">
        <v>0.34755412514070405</v>
      </c>
      <c r="V29" s="15">
        <f t="shared" si="5"/>
        <v>4.9967913244994708</v>
      </c>
    </row>
    <row r="30" spans="1:22">
      <c r="A30" s="8" t="s">
        <v>15</v>
      </c>
      <c r="B30" s="16">
        <f>SUM(B24:B29)</f>
        <v>7.6802688385819895</v>
      </c>
      <c r="C30" s="16">
        <f t="shared" ref="C30:V30" si="6">SUM(C24:C29)</f>
        <v>7.9879790330651579</v>
      </c>
      <c r="D30" s="16">
        <f t="shared" si="6"/>
        <v>8.2332309708216318</v>
      </c>
      <c r="E30" s="16">
        <f t="shared" si="6"/>
        <v>9.5828074067208657</v>
      </c>
      <c r="F30" s="16">
        <f t="shared" si="6"/>
        <v>10.224179622306096</v>
      </c>
      <c r="G30" s="16">
        <f t="shared" si="6"/>
        <v>6.6316400245648186</v>
      </c>
      <c r="H30" s="16">
        <f t="shared" si="6"/>
        <v>6.3612476765706703</v>
      </c>
      <c r="I30" s="16">
        <f t="shared" si="6"/>
        <v>5.9032900362368625</v>
      </c>
      <c r="J30" s="16">
        <f t="shared" si="6"/>
        <v>5.8573141044195065</v>
      </c>
      <c r="K30" s="16">
        <f t="shared" si="6"/>
        <v>5.781522073061879</v>
      </c>
      <c r="L30" s="16">
        <f t="shared" si="6"/>
        <v>5.6974314318318093</v>
      </c>
      <c r="M30" s="16">
        <f t="shared" si="6"/>
        <v>5.7523034372371074</v>
      </c>
      <c r="N30" s="16">
        <f t="shared" si="6"/>
        <v>5.7850336044494153</v>
      </c>
      <c r="O30" s="16">
        <f t="shared" si="6"/>
        <v>6.0436331592118746</v>
      </c>
      <c r="P30" s="16">
        <f t="shared" si="6"/>
        <v>6.0528547915983077</v>
      </c>
      <c r="Q30" s="16">
        <f t="shared" si="6"/>
        <v>6.0413404433338016</v>
      </c>
      <c r="R30" s="16">
        <f t="shared" si="6"/>
        <v>6.030501397676935</v>
      </c>
      <c r="S30" s="16">
        <f t="shared" si="6"/>
        <v>6.0875237244378662</v>
      </c>
      <c r="T30" s="16">
        <f t="shared" si="6"/>
        <v>6.2352365088538892</v>
      </c>
      <c r="U30" s="16">
        <f t="shared" si="6"/>
        <v>6.3063904888161</v>
      </c>
      <c r="V30" s="16">
        <f t="shared" si="6"/>
        <v>134.2757287737966</v>
      </c>
    </row>
    <row r="32" spans="1:22">
      <c r="A32" s="50" t="s">
        <v>3</v>
      </c>
    </row>
    <row r="33" spans="1:22">
      <c r="A33" s="2" t="s">
        <v>7</v>
      </c>
      <c r="B33" s="14">
        <v>1.7275778904238279</v>
      </c>
      <c r="C33" s="14">
        <v>1.487387985303652</v>
      </c>
      <c r="D33" s="14">
        <v>1.3225070426878542</v>
      </c>
      <c r="E33" s="14">
        <v>1.1478560650961083</v>
      </c>
      <c r="F33" s="14">
        <v>1.1091175148855559</v>
      </c>
      <c r="G33" s="14">
        <v>1.0677346428857917</v>
      </c>
      <c r="H33" s="14">
        <v>1.1208982852528275</v>
      </c>
      <c r="I33" s="14">
        <v>1.0596059155632465</v>
      </c>
      <c r="J33" s="14">
        <v>0.95541980311796815</v>
      </c>
      <c r="K33" s="14">
        <v>0.95783051929445739</v>
      </c>
      <c r="L33" s="14">
        <v>0.94593980799086774</v>
      </c>
      <c r="M33" s="14">
        <v>0.93509821922630665</v>
      </c>
      <c r="N33" s="14">
        <v>0.92717279949136344</v>
      </c>
      <c r="O33" s="14">
        <v>0.90489242156481609</v>
      </c>
      <c r="P33" s="14">
        <v>0.90585447203389735</v>
      </c>
      <c r="Q33" s="14">
        <v>0.89516117715222276</v>
      </c>
      <c r="R33" s="14">
        <v>0.88316354788415252</v>
      </c>
      <c r="S33" s="14">
        <v>0.87266303395640754</v>
      </c>
      <c r="T33" s="14">
        <v>0.85626331602539407</v>
      </c>
      <c r="U33" s="14">
        <v>0.85362151711193823</v>
      </c>
      <c r="V33" s="14">
        <f>SUM(B33:U33)</f>
        <v>20.935765976948652</v>
      </c>
    </row>
    <row r="34" spans="1:22">
      <c r="A34" s="2" t="s">
        <v>6</v>
      </c>
      <c r="B34" s="14">
        <v>3.1451916299306983</v>
      </c>
      <c r="C34" s="14">
        <v>2.6277179264677608</v>
      </c>
      <c r="D34" s="14">
        <v>2.3201574298925403</v>
      </c>
      <c r="E34" s="14">
        <v>2.1260623705732296</v>
      </c>
      <c r="F34" s="14">
        <v>2.0190137580067793</v>
      </c>
      <c r="G34" s="14">
        <v>1.9504916990141188</v>
      </c>
      <c r="H34" s="14">
        <v>2.008974665912743</v>
      </c>
      <c r="I34" s="14">
        <v>1.8507904532755661</v>
      </c>
      <c r="J34" s="14">
        <v>1.6993347167290103</v>
      </c>
      <c r="K34" s="14">
        <v>1.7023016600307561</v>
      </c>
      <c r="L34" s="14">
        <v>1.6722589781067314</v>
      </c>
      <c r="M34" s="14">
        <v>1.6421942571151946</v>
      </c>
      <c r="N34" s="14">
        <v>1.6116623888595465</v>
      </c>
      <c r="O34" s="14">
        <v>1.4632418874994464</v>
      </c>
      <c r="P34" s="14">
        <v>1.4607928395456495</v>
      </c>
      <c r="Q34" s="14">
        <v>1.4334926372909518</v>
      </c>
      <c r="R34" s="14">
        <v>1.4065259605994933</v>
      </c>
      <c r="S34" s="14">
        <v>1.3795006282962969</v>
      </c>
      <c r="T34" s="14">
        <v>1.2798915400220596</v>
      </c>
      <c r="U34" s="14">
        <v>1.2707721231081526</v>
      </c>
      <c r="V34" s="14">
        <f>SUM(B34:U34)</f>
        <v>36.070369550276723</v>
      </c>
    </row>
    <row r="35" spans="1:22">
      <c r="A35" s="2" t="s">
        <v>5</v>
      </c>
      <c r="B35" s="15">
        <v>4.6079227187363863</v>
      </c>
      <c r="C35" s="15">
        <v>4.6174881079073291</v>
      </c>
      <c r="D35" s="15">
        <v>4.6650873838468296</v>
      </c>
      <c r="E35" s="15">
        <v>4.6257888795647393</v>
      </c>
      <c r="F35" s="15">
        <v>4.7209159255449986</v>
      </c>
      <c r="G35" s="15">
        <v>4.6760428293579297</v>
      </c>
      <c r="H35" s="15">
        <v>4.8419687694618148</v>
      </c>
      <c r="I35" s="15">
        <v>4.8747910761317277</v>
      </c>
      <c r="J35" s="15">
        <v>4.5971326030510431</v>
      </c>
      <c r="K35" s="15">
        <v>4.6947177072605193</v>
      </c>
      <c r="L35" s="15">
        <v>4.6338580010607862</v>
      </c>
      <c r="M35" s="15">
        <v>4.5753196602894759</v>
      </c>
      <c r="N35" s="15">
        <v>4.5180117672841202</v>
      </c>
      <c r="O35" s="15">
        <v>4.2390494483099097</v>
      </c>
      <c r="P35" s="15">
        <v>4.3184198317654747</v>
      </c>
      <c r="Q35" s="15">
        <v>4.2677951115787796</v>
      </c>
      <c r="R35" s="15">
        <v>4.2197553172976816</v>
      </c>
      <c r="S35" s="15">
        <v>4.172891036692822</v>
      </c>
      <c r="T35" s="15">
        <v>4.0098566029579406</v>
      </c>
      <c r="U35" s="15">
        <v>4.0456060934504219</v>
      </c>
      <c r="V35" s="15">
        <f>SUM(B35:U35)</f>
        <v>89.922418871550704</v>
      </c>
    </row>
    <row r="36" spans="1:22">
      <c r="A36" s="8" t="s">
        <v>16</v>
      </c>
      <c r="B36" s="16">
        <f>SUM(B33:B35)</f>
        <v>9.4806922390909136</v>
      </c>
      <c r="C36" s="16">
        <f t="shared" ref="C36:V36" si="7">SUM(C33:C35)</f>
        <v>8.7325940196787428</v>
      </c>
      <c r="D36" s="16">
        <f t="shared" si="7"/>
        <v>8.3077518564272239</v>
      </c>
      <c r="E36" s="16">
        <f t="shared" si="7"/>
        <v>7.8997073152340773</v>
      </c>
      <c r="F36" s="16">
        <f t="shared" si="7"/>
        <v>7.8490471984373338</v>
      </c>
      <c r="G36" s="16">
        <f t="shared" si="7"/>
        <v>7.6942691712578402</v>
      </c>
      <c r="H36" s="16">
        <f t="shared" si="7"/>
        <v>7.9718417206273848</v>
      </c>
      <c r="I36" s="16">
        <f t="shared" si="7"/>
        <v>7.78518744497054</v>
      </c>
      <c r="J36" s="16">
        <f t="shared" si="7"/>
        <v>7.2518871228980215</v>
      </c>
      <c r="K36" s="16">
        <f t="shared" si="7"/>
        <v>7.3548498865857326</v>
      </c>
      <c r="L36" s="16">
        <f t="shared" si="7"/>
        <v>7.2520567871583852</v>
      </c>
      <c r="M36" s="16">
        <f t="shared" si="7"/>
        <v>7.1526121366309772</v>
      </c>
      <c r="N36" s="16">
        <f t="shared" si="7"/>
        <v>7.0568469556350299</v>
      </c>
      <c r="O36" s="16">
        <f t="shared" si="7"/>
        <v>6.6071837573741723</v>
      </c>
      <c r="P36" s="16">
        <f t="shared" si="7"/>
        <v>6.6850671433450213</v>
      </c>
      <c r="Q36" s="16">
        <f t="shared" si="7"/>
        <v>6.5964489260219539</v>
      </c>
      <c r="R36" s="16">
        <f t="shared" si="7"/>
        <v>6.509444825781328</v>
      </c>
      <c r="S36" s="16">
        <f t="shared" si="7"/>
        <v>6.4250546989455266</v>
      </c>
      <c r="T36" s="16">
        <f t="shared" si="7"/>
        <v>6.1460114590053943</v>
      </c>
      <c r="U36" s="16">
        <f t="shared" si="7"/>
        <v>6.1699997336705126</v>
      </c>
      <c r="V36" s="16">
        <f t="shared" si="7"/>
        <v>146.92855439877607</v>
      </c>
    </row>
    <row r="37" spans="1:22">
      <c r="A37" s="8"/>
    </row>
    <row r="38" spans="1:22">
      <c r="A38" s="3" t="s">
        <v>4</v>
      </c>
      <c r="B38" s="16">
        <f>B30+B36</f>
        <v>17.160961077672901</v>
      </c>
      <c r="C38" s="16">
        <f t="shared" ref="C38:V38" si="8">C30+C36</f>
        <v>16.720573052743902</v>
      </c>
      <c r="D38" s="16">
        <f t="shared" si="8"/>
        <v>16.540982827248854</v>
      </c>
      <c r="E38" s="16">
        <f t="shared" si="8"/>
        <v>17.482514721954942</v>
      </c>
      <c r="F38" s="16">
        <f t="shared" si="8"/>
        <v>18.073226820743429</v>
      </c>
      <c r="G38" s="16">
        <f t="shared" si="8"/>
        <v>14.325909195822659</v>
      </c>
      <c r="H38" s="16">
        <f t="shared" si="8"/>
        <v>14.333089397198055</v>
      </c>
      <c r="I38" s="16">
        <f t="shared" si="8"/>
        <v>13.688477481207403</v>
      </c>
      <c r="J38" s="16">
        <f t="shared" si="8"/>
        <v>13.109201227317527</v>
      </c>
      <c r="K38" s="16">
        <f t="shared" si="8"/>
        <v>13.136371959647612</v>
      </c>
      <c r="L38" s="16">
        <f t="shared" si="8"/>
        <v>12.949488218990194</v>
      </c>
      <c r="M38" s="16">
        <f t="shared" si="8"/>
        <v>12.904915573868085</v>
      </c>
      <c r="N38" s="16">
        <f t="shared" si="8"/>
        <v>12.841880560084444</v>
      </c>
      <c r="O38" s="16">
        <f t="shared" si="8"/>
        <v>12.650816916586047</v>
      </c>
      <c r="P38" s="16">
        <f t="shared" si="8"/>
        <v>12.73792193494333</v>
      </c>
      <c r="Q38" s="16">
        <f t="shared" si="8"/>
        <v>12.637789369355755</v>
      </c>
      <c r="R38" s="16">
        <f t="shared" si="8"/>
        <v>12.539946223458262</v>
      </c>
      <c r="S38" s="16">
        <f t="shared" si="8"/>
        <v>12.512578423383392</v>
      </c>
      <c r="T38" s="16">
        <f t="shared" si="8"/>
        <v>12.381247967859284</v>
      </c>
      <c r="U38" s="16">
        <f t="shared" si="8"/>
        <v>12.476390222486613</v>
      </c>
      <c r="V38" s="16">
        <f t="shared" si="8"/>
        <v>281.20428317257267</v>
      </c>
    </row>
    <row r="39" spans="1:22">
      <c r="A39" s="3"/>
      <c r="B39" s="16"/>
      <c r="C39" s="16"/>
      <c r="D39" s="16"/>
      <c r="E39" s="16"/>
      <c r="F39" s="16"/>
      <c r="G39" s="16"/>
      <c r="H39" s="16"/>
      <c r="I39" s="16"/>
      <c r="J39" s="16"/>
      <c r="K39" s="16"/>
      <c r="L39" s="16"/>
      <c r="M39" s="16"/>
      <c r="N39" s="16"/>
      <c r="O39" s="16"/>
      <c r="P39" s="16"/>
      <c r="Q39" s="16"/>
      <c r="R39" s="16"/>
      <c r="S39" s="16"/>
      <c r="T39" s="16"/>
      <c r="U39" s="16"/>
      <c r="V39" s="16"/>
    </row>
    <row r="41" spans="1:22" ht="15.75">
      <c r="A41" s="68" t="s">
        <v>31</v>
      </c>
      <c r="B41" s="69"/>
      <c r="C41" s="69"/>
      <c r="D41" s="69"/>
      <c r="E41" s="69"/>
      <c r="F41" s="69"/>
      <c r="G41" s="69"/>
      <c r="H41" s="69"/>
      <c r="I41" s="69"/>
      <c r="J41" s="69"/>
      <c r="K41" s="69"/>
      <c r="L41" s="69"/>
      <c r="M41" s="69"/>
      <c r="N41" s="69"/>
      <c r="O41" s="69"/>
      <c r="P41" s="69"/>
      <c r="Q41" s="69"/>
      <c r="R41" s="69"/>
      <c r="S41" s="69"/>
      <c r="T41" s="69"/>
      <c r="U41" s="69"/>
      <c r="V41" s="69"/>
    </row>
    <row r="42" spans="1:22">
      <c r="A42" s="4" t="s">
        <v>17</v>
      </c>
      <c r="B42">
        <v>2015</v>
      </c>
      <c r="C42">
        <v>2016</v>
      </c>
      <c r="D42">
        <v>2017</v>
      </c>
      <c r="E42">
        <v>2018</v>
      </c>
      <c r="F42">
        <v>2019</v>
      </c>
      <c r="G42">
        <v>2020</v>
      </c>
      <c r="H42">
        <v>2021</v>
      </c>
      <c r="I42">
        <v>2022</v>
      </c>
      <c r="J42">
        <v>2023</v>
      </c>
      <c r="K42">
        <v>2024</v>
      </c>
      <c r="L42">
        <v>2025</v>
      </c>
      <c r="M42">
        <v>2026</v>
      </c>
      <c r="N42">
        <v>2027</v>
      </c>
      <c r="O42">
        <v>2028</v>
      </c>
      <c r="P42">
        <v>2029</v>
      </c>
      <c r="Q42">
        <v>2030</v>
      </c>
      <c r="R42">
        <v>2031</v>
      </c>
      <c r="S42">
        <v>2032</v>
      </c>
      <c r="T42">
        <v>2033</v>
      </c>
      <c r="U42">
        <v>2034</v>
      </c>
      <c r="V42" s="70" t="s">
        <v>14</v>
      </c>
    </row>
    <row r="43" spans="1:22">
      <c r="A43" s="10" t="s">
        <v>2</v>
      </c>
      <c r="B43" s="14">
        <v>1.2291401290546573</v>
      </c>
      <c r="C43" s="14">
        <v>1.2327053354212731</v>
      </c>
      <c r="D43" s="14">
        <v>1.2397991819353591</v>
      </c>
      <c r="E43" s="14">
        <v>1.2483400059784593</v>
      </c>
      <c r="F43" s="14">
        <v>1.2633452151917963</v>
      </c>
      <c r="G43" s="14">
        <v>1.2857159056900092</v>
      </c>
      <c r="H43" s="14">
        <v>1.3133390723810892</v>
      </c>
      <c r="I43" s="14">
        <v>1.3446397559690144</v>
      </c>
      <c r="J43" s="14">
        <v>1.3756061198390448</v>
      </c>
      <c r="K43" s="14">
        <v>1.3924892655927452</v>
      </c>
      <c r="L43" s="14">
        <v>1.4082075160794056</v>
      </c>
      <c r="M43" s="14">
        <v>1.4237481592159338</v>
      </c>
      <c r="N43" s="14">
        <v>1.4516743031513561</v>
      </c>
      <c r="O43" s="14">
        <v>1.4677529920838721</v>
      </c>
      <c r="P43" s="14">
        <v>1.4836436261750716</v>
      </c>
      <c r="Q43" s="14">
        <v>1.4993462054249558</v>
      </c>
      <c r="R43" s="14">
        <v>1.5309341950204471</v>
      </c>
      <c r="S43" s="14">
        <v>1.5471121351192132</v>
      </c>
      <c r="T43" s="14">
        <v>1.5630915728854788</v>
      </c>
      <c r="U43" s="14">
        <v>1.582842554969248</v>
      </c>
      <c r="V43" s="14">
        <f t="shared" ref="V43:V44" si="9">SUM(B43:U43)</f>
        <v>27.883473247178429</v>
      </c>
    </row>
    <row r="44" spans="1:22">
      <c r="A44" s="10" t="s">
        <v>3</v>
      </c>
      <c r="B44" s="15">
        <v>0.33186309204195036</v>
      </c>
      <c r="C44" s="15">
        <v>0.60536193575480457</v>
      </c>
      <c r="D44" s="15">
        <v>0.82816187875210534</v>
      </c>
      <c r="E44" s="15">
        <v>1.0130377701297455</v>
      </c>
      <c r="F44" s="15">
        <v>1.0272653041980568</v>
      </c>
      <c r="G44" s="15">
        <v>1.0450871279544907</v>
      </c>
      <c r="H44" s="15">
        <v>1.0654682708560796</v>
      </c>
      <c r="I44" s="15">
        <v>1.0912554963844714</v>
      </c>
      <c r="J44" s="15">
        <v>1.1173729681967413</v>
      </c>
      <c r="K44" s="15">
        <v>1.1429875602691151</v>
      </c>
      <c r="L44" s="15">
        <v>1.1704173972789096</v>
      </c>
      <c r="M44" s="15">
        <v>1.1995984798139183</v>
      </c>
      <c r="N44" s="15">
        <v>1.2300493546374736</v>
      </c>
      <c r="O44" s="15">
        <v>1.2618747617166157</v>
      </c>
      <c r="P44" s="15">
        <v>1.2932026256598472</v>
      </c>
      <c r="Q44" s="15">
        <v>1.3219218324638147</v>
      </c>
      <c r="R44" s="15">
        <v>1.3512463391404366</v>
      </c>
      <c r="S44" s="15">
        <v>1.3811994222979171</v>
      </c>
      <c r="T44" s="15">
        <v>1.411686753345039</v>
      </c>
      <c r="U44" s="15">
        <v>1.442484542829779</v>
      </c>
      <c r="V44" s="15">
        <f t="shared" si="9"/>
        <v>22.331542913721311</v>
      </c>
    </row>
    <row r="45" spans="1:22">
      <c r="A45" s="10" t="s">
        <v>4</v>
      </c>
      <c r="B45" s="14">
        <f>SUM(B43:B44)</f>
        <v>1.5610032210966076</v>
      </c>
      <c r="C45" s="14">
        <f t="shared" ref="C45:V45" si="10">SUM(C43:C44)</f>
        <v>1.8380672711760777</v>
      </c>
      <c r="D45" s="14">
        <f t="shared" si="10"/>
        <v>2.0679610606874643</v>
      </c>
      <c r="E45" s="14">
        <f t="shared" si="10"/>
        <v>2.2613777761082048</v>
      </c>
      <c r="F45" s="14">
        <f t="shared" si="10"/>
        <v>2.2906105193898529</v>
      </c>
      <c r="G45" s="14">
        <f t="shared" si="10"/>
        <v>2.3308030336445</v>
      </c>
      <c r="H45" s="14">
        <f t="shared" si="10"/>
        <v>2.3788073432371686</v>
      </c>
      <c r="I45" s="14">
        <f t="shared" si="10"/>
        <v>2.435895252353486</v>
      </c>
      <c r="J45" s="14">
        <f t="shared" si="10"/>
        <v>2.4929790880357858</v>
      </c>
      <c r="K45" s="14">
        <f t="shared" si="10"/>
        <v>2.5354768258618603</v>
      </c>
      <c r="L45" s="14">
        <f t="shared" si="10"/>
        <v>2.5786249133583152</v>
      </c>
      <c r="M45" s="14">
        <f t="shared" si="10"/>
        <v>2.6233466390298519</v>
      </c>
      <c r="N45" s="14">
        <f t="shared" si="10"/>
        <v>2.6817236577888295</v>
      </c>
      <c r="O45" s="14">
        <f t="shared" si="10"/>
        <v>2.7296277538004876</v>
      </c>
      <c r="P45" s="14">
        <f t="shared" si="10"/>
        <v>2.7768462518349191</v>
      </c>
      <c r="Q45" s="14">
        <f t="shared" si="10"/>
        <v>2.8212680378887702</v>
      </c>
      <c r="R45" s="14">
        <f t="shared" si="10"/>
        <v>2.8821805341608835</v>
      </c>
      <c r="S45" s="14">
        <f t="shared" si="10"/>
        <v>2.9283115574171301</v>
      </c>
      <c r="T45" s="14">
        <f t="shared" si="10"/>
        <v>2.9747783262305179</v>
      </c>
      <c r="U45" s="14">
        <f t="shared" si="10"/>
        <v>3.025327097799027</v>
      </c>
      <c r="V45" s="14">
        <f t="shared" si="10"/>
        <v>50.215016160899737</v>
      </c>
    </row>
    <row r="47" spans="1:22">
      <c r="A47" s="4" t="s">
        <v>19</v>
      </c>
      <c r="B47">
        <v>2015</v>
      </c>
      <c r="C47">
        <v>2016</v>
      </c>
      <c r="D47">
        <v>2017</v>
      </c>
      <c r="E47">
        <v>2018</v>
      </c>
      <c r="F47">
        <v>2019</v>
      </c>
      <c r="G47">
        <v>2020</v>
      </c>
      <c r="H47">
        <v>2021</v>
      </c>
      <c r="I47">
        <v>2022</v>
      </c>
      <c r="J47">
        <v>2023</v>
      </c>
      <c r="K47">
        <v>2024</v>
      </c>
      <c r="L47">
        <v>2025</v>
      </c>
      <c r="M47">
        <v>2026</v>
      </c>
      <c r="N47">
        <v>2027</v>
      </c>
      <c r="O47">
        <v>2028</v>
      </c>
      <c r="P47">
        <v>2029</v>
      </c>
      <c r="Q47">
        <v>2030</v>
      </c>
      <c r="R47">
        <v>2031</v>
      </c>
      <c r="S47">
        <v>2032</v>
      </c>
      <c r="T47">
        <v>2033</v>
      </c>
      <c r="U47">
        <v>2034</v>
      </c>
      <c r="V47" s="70" t="s">
        <v>14</v>
      </c>
    </row>
    <row r="48" spans="1:22">
      <c r="A48" s="10" t="s">
        <v>2</v>
      </c>
      <c r="B48" s="14">
        <v>1.2291401290546573</v>
      </c>
      <c r="C48" s="14">
        <v>1.2327053354212731</v>
      </c>
      <c r="D48" s="14">
        <v>1.2397991819353591</v>
      </c>
      <c r="E48" s="14">
        <v>1.2483400059784593</v>
      </c>
      <c r="F48" s="14">
        <v>1.2633452151917963</v>
      </c>
      <c r="G48" s="14">
        <v>1.2857159056900092</v>
      </c>
      <c r="H48" s="14">
        <v>1.3133390723810892</v>
      </c>
      <c r="I48" s="14">
        <v>1.3446397559690144</v>
      </c>
      <c r="J48" s="14">
        <v>1.3756061198390448</v>
      </c>
      <c r="K48" s="14">
        <v>1.3924892655927452</v>
      </c>
      <c r="L48" s="14">
        <v>1.4082075160794056</v>
      </c>
      <c r="M48" s="14">
        <v>1.4237481592159338</v>
      </c>
      <c r="N48" s="14">
        <v>1.4516743031513561</v>
      </c>
      <c r="O48" s="14">
        <v>1.4677529920838721</v>
      </c>
      <c r="P48" s="14">
        <v>1.4836436261750716</v>
      </c>
      <c r="Q48" s="14">
        <v>1.4993462054249558</v>
      </c>
      <c r="R48" s="14">
        <v>1.5309341950204471</v>
      </c>
      <c r="S48" s="14">
        <v>1.5471121351192132</v>
      </c>
      <c r="T48" s="14">
        <v>1.5630915728854788</v>
      </c>
      <c r="U48" s="14">
        <v>1.582842554969248</v>
      </c>
      <c r="V48" s="14">
        <f t="shared" ref="V48" si="11">SUM(B48:U48)</f>
        <v>27.883473247178429</v>
      </c>
    </row>
    <row r="49" spans="1:22">
      <c r="A49" s="10" t="s">
        <v>3</v>
      </c>
      <c r="B49" s="15">
        <v>0.30452351953529189</v>
      </c>
      <c r="C49" s="15">
        <v>0.55849273394290233</v>
      </c>
      <c r="D49" s="15">
        <v>0.76858980827455692</v>
      </c>
      <c r="E49" s="15">
        <v>0.94404631228395253</v>
      </c>
      <c r="F49" s="15">
        <v>0.96278310692052316</v>
      </c>
      <c r="G49" s="15">
        <v>0.9848615787086259</v>
      </c>
      <c r="H49" s="15">
        <v>1.0093659374872113</v>
      </c>
      <c r="I49" s="15">
        <v>1.0390859509697978</v>
      </c>
      <c r="J49" s="15">
        <v>1.0692094356867883</v>
      </c>
      <c r="K49" s="15">
        <v>1.0989462373980421</v>
      </c>
      <c r="L49" s="15">
        <v>1.1305257858533924</v>
      </c>
      <c r="M49" s="15">
        <v>1.1639150315637983</v>
      </c>
      <c r="N49" s="15">
        <v>1.1986411048526584</v>
      </c>
      <c r="O49" s="15">
        <v>1.2348412660786823</v>
      </c>
      <c r="P49" s="15">
        <v>1.2706373217215527</v>
      </c>
      <c r="Q49" s="15">
        <v>1.3039070803327699</v>
      </c>
      <c r="R49" s="15">
        <v>1.337856989637892</v>
      </c>
      <c r="S49" s="15">
        <v>1.3725124373960811</v>
      </c>
      <c r="T49" s="15">
        <v>1.407780878899874</v>
      </c>
      <c r="U49" s="15">
        <v>1.4434476403260379</v>
      </c>
      <c r="V49" s="15">
        <f t="shared" ref="V49" si="12">SUM(B49:U49)</f>
        <v>21.603970157870432</v>
      </c>
    </row>
    <row r="50" spans="1:22">
      <c r="A50" s="10" t="s">
        <v>4</v>
      </c>
      <c r="B50" s="14">
        <f>SUM(B48:B49)</f>
        <v>1.5336636485899491</v>
      </c>
      <c r="C50" s="14">
        <f t="shared" ref="C50" si="13">SUM(C48:C49)</f>
        <v>1.7911980693641754</v>
      </c>
      <c r="D50" s="14">
        <f t="shared" ref="D50" si="14">SUM(D48:D49)</f>
        <v>2.0083889902099159</v>
      </c>
      <c r="E50" s="14">
        <f t="shared" ref="E50" si="15">SUM(E48:E49)</f>
        <v>2.1923863182624119</v>
      </c>
      <c r="F50" s="14">
        <f t="shared" ref="F50" si="16">SUM(F48:F49)</f>
        <v>2.2261283221123196</v>
      </c>
      <c r="G50" s="14">
        <f t="shared" ref="G50" si="17">SUM(G48:G49)</f>
        <v>2.2705774843986353</v>
      </c>
      <c r="H50" s="14">
        <f t="shared" ref="H50" si="18">SUM(H48:H49)</f>
        <v>2.3227050098683004</v>
      </c>
      <c r="I50" s="14">
        <f t="shared" ref="I50" si="19">SUM(I48:I49)</f>
        <v>2.3837257069388125</v>
      </c>
      <c r="J50" s="14">
        <f t="shared" ref="J50" si="20">SUM(J48:J49)</f>
        <v>2.4448155555258331</v>
      </c>
      <c r="K50" s="14">
        <f t="shared" ref="K50" si="21">SUM(K48:K49)</f>
        <v>2.4914355029907873</v>
      </c>
      <c r="L50" s="14">
        <f t="shared" ref="L50" si="22">SUM(L48:L49)</f>
        <v>2.538733301932798</v>
      </c>
      <c r="M50" s="14">
        <f t="shared" ref="M50" si="23">SUM(M48:M49)</f>
        <v>2.5876631907797321</v>
      </c>
      <c r="N50" s="14">
        <f t="shared" ref="N50" si="24">SUM(N48:N49)</f>
        <v>2.6503154080040146</v>
      </c>
      <c r="O50" s="14">
        <f t="shared" ref="O50" si="25">SUM(O48:O49)</f>
        <v>2.7025942581625544</v>
      </c>
      <c r="P50" s="14">
        <f t="shared" ref="P50" si="26">SUM(P48:P49)</f>
        <v>2.7542809478966244</v>
      </c>
      <c r="Q50" s="14">
        <f t="shared" ref="Q50" si="27">SUM(Q48:Q49)</f>
        <v>2.8032532857577257</v>
      </c>
      <c r="R50" s="14">
        <f t="shared" ref="R50" si="28">SUM(R48:R49)</f>
        <v>2.8687911846583392</v>
      </c>
      <c r="S50" s="14">
        <f t="shared" ref="S50" si="29">SUM(S48:S49)</f>
        <v>2.9196245725152945</v>
      </c>
      <c r="T50" s="14">
        <f t="shared" ref="T50" si="30">SUM(T48:T49)</f>
        <v>2.9708724517853531</v>
      </c>
      <c r="U50" s="14">
        <f t="shared" ref="U50" si="31">SUM(U48:U49)</f>
        <v>3.0262901952952861</v>
      </c>
      <c r="V50" s="14">
        <f t="shared" ref="V50" si="32">SUM(V48:V49)</f>
        <v>49.487443405048865</v>
      </c>
    </row>
    <row r="52" spans="1:22">
      <c r="A52" s="4" t="s">
        <v>17</v>
      </c>
    </row>
    <row r="53" spans="1:22">
      <c r="A53" s="58" t="s">
        <v>23</v>
      </c>
      <c r="B53" s="63">
        <f>B43/B12</f>
        <v>0.28977447958335134</v>
      </c>
      <c r="C53" s="63">
        <f t="shared" ref="C53:V53" si="33">C43/C12</f>
        <v>0.27871515599368063</v>
      </c>
      <c r="D53" s="63">
        <f t="shared" si="33"/>
        <v>0.27484143724963761</v>
      </c>
      <c r="E53" s="63">
        <f t="shared" si="33"/>
        <v>0.23982692840645811</v>
      </c>
      <c r="F53" s="63">
        <f t="shared" si="33"/>
        <v>0.22609087427273156</v>
      </c>
      <c r="G53" s="63">
        <f t="shared" si="33"/>
        <v>0.31121084167612656</v>
      </c>
      <c r="H53" s="63">
        <f t="shared" si="33"/>
        <v>0.32030985052919037</v>
      </c>
      <c r="I53" s="63">
        <f t="shared" si="33"/>
        <v>0.3348207706435527</v>
      </c>
      <c r="J53" s="63">
        <f t="shared" si="33"/>
        <v>0.32910345818376979</v>
      </c>
      <c r="K53" s="63">
        <f t="shared" si="33"/>
        <v>0.33450822015726112</v>
      </c>
      <c r="L53" s="63">
        <f t="shared" si="33"/>
        <v>0.33454158145259344</v>
      </c>
      <c r="M53" s="63">
        <f t="shared" si="33"/>
        <v>0.33574520729161961</v>
      </c>
      <c r="N53" s="63">
        <f t="shared" si="33"/>
        <v>0.33836358090597718</v>
      </c>
      <c r="O53" s="63">
        <f t="shared" si="33"/>
        <v>0.32237237483605319</v>
      </c>
      <c r="P53" s="63">
        <f t="shared" si="33"/>
        <v>0.32231124698139318</v>
      </c>
      <c r="Q53" s="63">
        <f t="shared" si="33"/>
        <v>0.32432197675515095</v>
      </c>
      <c r="R53" s="63">
        <f t="shared" si="33"/>
        <v>0.32802939170539186</v>
      </c>
      <c r="S53" s="63">
        <f t="shared" si="33"/>
        <v>0.32834666449948863</v>
      </c>
      <c r="T53" s="63">
        <f t="shared" si="33"/>
        <v>0.32124471099076746</v>
      </c>
      <c r="U53" s="63">
        <f t="shared" si="33"/>
        <v>0.32423607802425103</v>
      </c>
      <c r="V53" s="63">
        <f t="shared" si="33"/>
        <v>0.30911448426693666</v>
      </c>
    </row>
    <row r="54" spans="1:22">
      <c r="A54" s="58" t="s">
        <v>24</v>
      </c>
      <c r="B54" s="63">
        <f>B44/B18</f>
        <v>2.6396385094621028E-2</v>
      </c>
      <c r="C54" s="63">
        <f t="shared" ref="C54:V54" si="34">C44/C18</f>
        <v>5.1711855106429241E-2</v>
      </c>
      <c r="D54" s="63">
        <f t="shared" si="34"/>
        <v>7.4594244697765114E-2</v>
      </c>
      <c r="E54" s="63">
        <f t="shared" si="34"/>
        <v>9.7957946388163408E-2</v>
      </c>
      <c r="F54" s="63">
        <f t="shared" si="34"/>
        <v>9.8736884410275269E-2</v>
      </c>
      <c r="G54" s="63">
        <f t="shared" si="34"/>
        <v>0.1028491197981993</v>
      </c>
      <c r="H54" s="63">
        <f t="shared" si="34"/>
        <v>0.1012396391547159</v>
      </c>
      <c r="I54" s="63">
        <f t="shared" si="34"/>
        <v>0.10655867784490573</v>
      </c>
      <c r="J54" s="63">
        <f t="shared" si="34"/>
        <v>0.11758910498281577</v>
      </c>
      <c r="K54" s="63">
        <f t="shared" si="34"/>
        <v>0.11876048027636088</v>
      </c>
      <c r="L54" s="63">
        <f t="shared" si="34"/>
        <v>0.12357896141467055</v>
      </c>
      <c r="M54" s="63">
        <f t="shared" si="34"/>
        <v>0.12869113902203985</v>
      </c>
      <c r="N54" s="63">
        <f t="shared" si="34"/>
        <v>0.13404347833710287</v>
      </c>
      <c r="O54" s="63">
        <f t="shared" si="34"/>
        <v>0.1475803990915491</v>
      </c>
      <c r="P54" s="63">
        <f t="shared" si="34"/>
        <v>0.14973672117351131</v>
      </c>
      <c r="Q54" s="63">
        <f t="shared" si="34"/>
        <v>0.15549663785360321</v>
      </c>
      <c r="R54" s="63">
        <f t="shared" si="34"/>
        <v>0.16148042409386718</v>
      </c>
      <c r="S54" s="63">
        <f t="shared" si="34"/>
        <v>0.16766918482519286</v>
      </c>
      <c r="T54" s="63">
        <f t="shared" si="34"/>
        <v>0.1800184215184337</v>
      </c>
      <c r="U54" s="63">
        <f t="shared" si="34"/>
        <v>0.18361629708587651</v>
      </c>
      <c r="V54" s="63">
        <f t="shared" si="34"/>
        <v>0.11622515568565256</v>
      </c>
    </row>
    <row r="56" spans="1:22">
      <c r="A56" s="4" t="s">
        <v>19</v>
      </c>
    </row>
    <row r="57" spans="1:22">
      <c r="A57" s="58" t="s">
        <v>23</v>
      </c>
      <c r="B57" s="63">
        <f>B48/B30</f>
        <v>0.1600386854793476</v>
      </c>
      <c r="C57" s="63">
        <f t="shared" ref="C57:V57" si="35">C48/C30</f>
        <v>0.15432005145715283</v>
      </c>
      <c r="D57" s="63">
        <f t="shared" si="35"/>
        <v>0.15058476876564947</v>
      </c>
      <c r="E57" s="63">
        <f t="shared" si="35"/>
        <v>0.13026871489694561</v>
      </c>
      <c r="F57" s="63">
        <f t="shared" si="35"/>
        <v>0.12356445816303498</v>
      </c>
      <c r="G57" s="63">
        <f t="shared" si="35"/>
        <v>0.19387600969405458</v>
      </c>
      <c r="H57" s="63">
        <f t="shared" si="35"/>
        <v>0.20645935186870548</v>
      </c>
      <c r="I57" s="63">
        <f t="shared" si="35"/>
        <v>0.22777802678083803</v>
      </c>
      <c r="J57" s="63">
        <f t="shared" si="35"/>
        <v>0.23485271496727683</v>
      </c>
      <c r="K57" s="63">
        <f t="shared" si="35"/>
        <v>0.24085167331295623</v>
      </c>
      <c r="L57" s="63">
        <f t="shared" si="35"/>
        <v>0.24716532931167648</v>
      </c>
      <c r="M57" s="63">
        <f t="shared" si="35"/>
        <v>0.24750922387011198</v>
      </c>
      <c r="N57" s="63">
        <f t="shared" si="35"/>
        <v>0.2509361919755897</v>
      </c>
      <c r="O57" s="63">
        <f t="shared" si="35"/>
        <v>0.24285937836029672</v>
      </c>
      <c r="P57" s="63">
        <f t="shared" si="35"/>
        <v>0.24511469005244432</v>
      </c>
      <c r="Q57" s="63">
        <f t="shared" si="35"/>
        <v>0.24818104847565409</v>
      </c>
      <c r="R57" s="63">
        <f t="shared" si="35"/>
        <v>0.25386515880921484</v>
      </c>
      <c r="S57" s="63">
        <f t="shared" si="35"/>
        <v>0.25414474015246263</v>
      </c>
      <c r="T57" s="63">
        <f t="shared" si="35"/>
        <v>0.25068681367032758</v>
      </c>
      <c r="U57" s="63">
        <f t="shared" si="35"/>
        <v>0.25099025469106262</v>
      </c>
      <c r="V57" s="63">
        <f t="shared" si="35"/>
        <v>0.20765832739698958</v>
      </c>
    </row>
    <row r="58" spans="1:22">
      <c r="A58" s="58" t="s">
        <v>24</v>
      </c>
      <c r="B58" s="63">
        <f>B49/B36</f>
        <v>3.212038866525764E-2</v>
      </c>
      <c r="C58" s="63">
        <f t="shared" ref="C58:V58" si="36">C49/C36</f>
        <v>6.3954963746665539E-2</v>
      </c>
      <c r="D58" s="63">
        <f t="shared" si="36"/>
        <v>9.2514776747928948E-2</v>
      </c>
      <c r="E58" s="63">
        <f t="shared" si="36"/>
        <v>0.11950396066743131</v>
      </c>
      <c r="F58" s="63">
        <f t="shared" si="36"/>
        <v>0.12266241781705728</v>
      </c>
      <c r="G58" s="63">
        <f t="shared" si="36"/>
        <v>0.12799936638395809</v>
      </c>
      <c r="H58" s="63">
        <f t="shared" si="36"/>
        <v>0.12661640469798163</v>
      </c>
      <c r="I58" s="63">
        <f t="shared" si="36"/>
        <v>0.13346961242931638</v>
      </c>
      <c r="J58" s="63">
        <f t="shared" si="36"/>
        <v>0.14743878628650076</v>
      </c>
      <c r="K58" s="63">
        <f t="shared" si="36"/>
        <v>0.14941790170352406</v>
      </c>
      <c r="L58" s="63">
        <f t="shared" si="36"/>
        <v>0.1558903658690699</v>
      </c>
      <c r="M58" s="63">
        <f t="shared" si="36"/>
        <v>0.16272586984033297</v>
      </c>
      <c r="N58" s="63">
        <f t="shared" si="36"/>
        <v>0.16985505175162119</v>
      </c>
      <c r="O58" s="63">
        <f t="shared" si="36"/>
        <v>0.18689373739613274</v>
      </c>
      <c r="P58" s="63">
        <f t="shared" si="36"/>
        <v>0.1900709887389046</v>
      </c>
      <c r="Q58" s="63">
        <f t="shared" si="36"/>
        <v>0.19766803244531486</v>
      </c>
      <c r="R58" s="63">
        <f t="shared" si="36"/>
        <v>0.20552551338006145</v>
      </c>
      <c r="S58" s="63">
        <f t="shared" si="36"/>
        <v>0.21361879419039598</v>
      </c>
      <c r="T58" s="63">
        <f t="shared" si="36"/>
        <v>0.22905601271490217</v>
      </c>
      <c r="U58" s="63">
        <f t="shared" si="36"/>
        <v>0.23394614305231673</v>
      </c>
      <c r="V58" s="63">
        <f t="shared" si="36"/>
        <v>0.14703724709109636</v>
      </c>
    </row>
  </sheetData>
  <pageMargins left="0.7" right="0.7" top="0.75" bottom="0.75" header="0.3" footer="0.3"/>
  <pageSetup orientation="portrait" r:id="rId1"/>
  <ignoredErrors>
    <ignoredError sqref="B45:V45 B50:U50" formulaRange="1"/>
  </ignoredErrors>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V33"/>
  <sheetViews>
    <sheetView workbookViewId="0">
      <pane ySplit="1" topLeftCell="A2" activePane="bottomLeft" state="frozen"/>
      <selection activeCell="B3" sqref="B3"/>
      <selection pane="bottomLeft" activeCell="B27" sqref="B27:U27"/>
    </sheetView>
  </sheetViews>
  <sheetFormatPr defaultRowHeight="15"/>
  <cols>
    <col min="1" max="1" width="38.28515625" bestFit="1" customWidth="1"/>
    <col min="2" max="4" width="12.85546875" bestFit="1" customWidth="1"/>
    <col min="5" max="21" width="11.85546875" bestFit="1" customWidth="1"/>
    <col min="22" max="22" width="14.5703125" bestFit="1" customWidth="1"/>
  </cols>
  <sheetData>
    <row r="1" spans="1:22" ht="15.75">
      <c r="A1" s="7" t="s">
        <v>38</v>
      </c>
    </row>
    <row r="2" spans="1:22" ht="15.75">
      <c r="A2" s="7"/>
    </row>
    <row r="3" spans="1:22" ht="15.75">
      <c r="A3" s="7" t="s">
        <v>26</v>
      </c>
    </row>
    <row r="4" spans="1:22">
      <c r="A4" s="5" t="s">
        <v>21</v>
      </c>
      <c r="B4" s="6">
        <v>2015</v>
      </c>
      <c r="C4" s="6">
        <f>B4+1</f>
        <v>2016</v>
      </c>
      <c r="D4" s="6">
        <f t="shared" ref="D4:U4" si="0">C4+1</f>
        <v>2017</v>
      </c>
      <c r="E4" s="6">
        <f t="shared" si="0"/>
        <v>2018</v>
      </c>
      <c r="F4" s="6">
        <f t="shared" si="0"/>
        <v>2019</v>
      </c>
      <c r="G4" s="6">
        <f t="shared" si="0"/>
        <v>2020</v>
      </c>
      <c r="H4" s="6">
        <f t="shared" si="0"/>
        <v>2021</v>
      </c>
      <c r="I4" s="6">
        <f t="shared" si="0"/>
        <v>2022</v>
      </c>
      <c r="J4" s="6">
        <f t="shared" si="0"/>
        <v>2023</v>
      </c>
      <c r="K4" s="6">
        <f t="shared" si="0"/>
        <v>2024</v>
      </c>
      <c r="L4" s="6">
        <f t="shared" si="0"/>
        <v>2025</v>
      </c>
      <c r="M4" s="6">
        <f t="shared" si="0"/>
        <v>2026</v>
      </c>
      <c r="N4" s="6">
        <f t="shared" si="0"/>
        <v>2027</v>
      </c>
      <c r="O4" s="6">
        <f t="shared" si="0"/>
        <v>2028</v>
      </c>
      <c r="P4" s="6">
        <f t="shared" si="0"/>
        <v>2029</v>
      </c>
      <c r="Q4" s="6">
        <f t="shared" si="0"/>
        <v>2030</v>
      </c>
      <c r="R4" s="6">
        <f t="shared" si="0"/>
        <v>2031</v>
      </c>
      <c r="S4" s="6">
        <f t="shared" si="0"/>
        <v>2032</v>
      </c>
      <c r="T4" s="6">
        <f t="shared" si="0"/>
        <v>2033</v>
      </c>
      <c r="U4" s="6">
        <f t="shared" si="0"/>
        <v>2034</v>
      </c>
      <c r="V4" s="6" t="s">
        <v>14</v>
      </c>
    </row>
    <row r="5" spans="1:22">
      <c r="A5" s="3" t="s">
        <v>2</v>
      </c>
    </row>
    <row r="6" spans="1:22">
      <c r="A6" s="9" t="s">
        <v>8</v>
      </c>
      <c r="B6" s="54">
        <v>7610696.2257470191</v>
      </c>
      <c r="C6" s="54">
        <v>8126933.221936495</v>
      </c>
      <c r="D6" s="54">
        <v>8385152.5139836296</v>
      </c>
      <c r="E6" s="54">
        <v>8185726.8758927789</v>
      </c>
      <c r="F6" s="54">
        <v>8079963.8540971708</v>
      </c>
      <c r="G6" s="54">
        <v>7998978.6136314813</v>
      </c>
      <c r="H6" s="54">
        <v>7309882.6370070903</v>
      </c>
      <c r="I6" s="54">
        <v>7262261.6740657147</v>
      </c>
      <c r="J6" s="54">
        <v>7892565.3707665596</v>
      </c>
      <c r="K6" s="54">
        <v>7268425.0136421314</v>
      </c>
      <c r="L6" s="54">
        <v>7174934.6101608062</v>
      </c>
      <c r="M6" s="54">
        <v>7078930.4238536758</v>
      </c>
      <c r="N6" s="54">
        <v>6591123.7567977766</v>
      </c>
      <c r="O6" s="54">
        <v>7050890.2007224299</v>
      </c>
      <c r="P6" s="54">
        <v>6950148.021172205</v>
      </c>
      <c r="Q6" s="54">
        <v>6520265.2224758444</v>
      </c>
      <c r="R6" s="54">
        <v>6421434.274466224</v>
      </c>
      <c r="S6" s="54">
        <v>6320374.3503196035</v>
      </c>
      <c r="T6" s="54">
        <v>6114913.3990236912</v>
      </c>
      <c r="U6" s="54">
        <v>6012318.8565226318</v>
      </c>
      <c r="V6" s="54">
        <f>SUM(B6:U6)</f>
        <v>144355919.11628497</v>
      </c>
    </row>
    <row r="7" spans="1:22">
      <c r="A7" s="10" t="s">
        <v>9</v>
      </c>
      <c r="B7" s="54">
        <v>17657920.255557597</v>
      </c>
      <c r="C7" s="54">
        <v>18634502.297969669</v>
      </c>
      <c r="D7" s="54">
        <v>19351480.295988839</v>
      </c>
      <c r="E7" s="54">
        <v>19325797.252523053</v>
      </c>
      <c r="F7" s="54">
        <v>20000813.322428863</v>
      </c>
      <c r="G7" s="54">
        <v>20421793.259546075</v>
      </c>
      <c r="H7" s="54">
        <v>16824704.484243341</v>
      </c>
      <c r="I7" s="54">
        <v>14108654.983352009</v>
      </c>
      <c r="J7" s="54">
        <v>12532716.62540837</v>
      </c>
      <c r="K7" s="54">
        <v>12642953.579302281</v>
      </c>
      <c r="L7" s="54">
        <v>12407090.712828116</v>
      </c>
      <c r="M7" s="54">
        <v>12111363.183742482</v>
      </c>
      <c r="N7" s="54">
        <v>11767315.99664529</v>
      </c>
      <c r="O7" s="54">
        <v>12208944.009972678</v>
      </c>
      <c r="P7" s="54">
        <v>11844686.941297133</v>
      </c>
      <c r="Q7" s="54">
        <v>11494513.690890089</v>
      </c>
      <c r="R7" s="54">
        <v>11191922.764639702</v>
      </c>
      <c r="S7" s="54">
        <v>10964297.608399697</v>
      </c>
      <c r="T7" s="54">
        <v>10883819.3643058</v>
      </c>
      <c r="U7" s="54">
        <v>10637953.343676331</v>
      </c>
      <c r="V7" s="54">
        <f t="shared" ref="V7:V11" si="1">SUM(B7:U7)</f>
        <v>287013243.97271752</v>
      </c>
    </row>
    <row r="8" spans="1:22">
      <c r="A8" s="10" t="s">
        <v>10</v>
      </c>
      <c r="B8" s="54">
        <v>4880388.1027980633</v>
      </c>
      <c r="C8" s="54">
        <v>5115303.0949759474</v>
      </c>
      <c r="D8" s="54">
        <v>5411901.7588901166</v>
      </c>
      <c r="E8" s="54">
        <v>5665344.7779934565</v>
      </c>
      <c r="F8" s="54">
        <v>5763845.5948695475</v>
      </c>
      <c r="G8" s="54">
        <v>6953785.41474229</v>
      </c>
      <c r="H8" s="54">
        <v>7953422.7353197429</v>
      </c>
      <c r="I8" s="54">
        <v>8913913.8893767204</v>
      </c>
      <c r="J8" s="54">
        <v>10554172.689680789</v>
      </c>
      <c r="K8" s="54">
        <v>10429738.987675156</v>
      </c>
      <c r="L8" s="54">
        <v>10672186.305961005</v>
      </c>
      <c r="M8" s="54">
        <v>10839394.89760191</v>
      </c>
      <c r="N8" s="54">
        <v>10872113.244222136</v>
      </c>
      <c r="O8" s="54">
        <v>11545491.762921017</v>
      </c>
      <c r="P8" s="54">
        <v>11627292.80540449</v>
      </c>
      <c r="Q8" s="54">
        <v>11697145.000331089</v>
      </c>
      <c r="R8" s="54">
        <v>11675928.661796564</v>
      </c>
      <c r="S8" s="54">
        <v>11815926.62022179</v>
      </c>
      <c r="T8" s="54">
        <v>12130380.237126336</v>
      </c>
      <c r="U8" s="54">
        <v>12098895.386308197</v>
      </c>
      <c r="V8" s="54">
        <f t="shared" si="1"/>
        <v>186616571.96821636</v>
      </c>
    </row>
    <row r="9" spans="1:22">
      <c r="A9" s="10" t="s">
        <v>11</v>
      </c>
      <c r="B9" s="54">
        <v>1976321.3657983795</v>
      </c>
      <c r="C9" s="54">
        <v>1944212.6173145862</v>
      </c>
      <c r="D9" s="54">
        <v>2113296.1807319243</v>
      </c>
      <c r="E9" s="54">
        <v>2080344.3808085525</v>
      </c>
      <c r="F9" s="54">
        <v>2112578.6059388635</v>
      </c>
      <c r="G9" s="54">
        <v>2191610.7463512258</v>
      </c>
      <c r="H9" s="54">
        <v>2180900.2894788445</v>
      </c>
      <c r="I9" s="54">
        <v>2139509.7205362655</v>
      </c>
      <c r="J9" s="54">
        <v>2234649.3526327908</v>
      </c>
      <c r="K9" s="54">
        <v>2213974.8714618511</v>
      </c>
      <c r="L9" s="54">
        <v>2178166.0605595773</v>
      </c>
      <c r="M9" s="54">
        <v>2128587.0199003741</v>
      </c>
      <c r="N9" s="54">
        <v>2090029.0244488693</v>
      </c>
      <c r="O9" s="54">
        <v>2062368.4445463198</v>
      </c>
      <c r="P9" s="54">
        <v>2028441.879819195</v>
      </c>
      <c r="Q9" s="54">
        <v>1994985.7801804182</v>
      </c>
      <c r="R9" s="54">
        <v>1958511.3904892481</v>
      </c>
      <c r="S9" s="54">
        <v>1925222.3628727628</v>
      </c>
      <c r="T9" s="54">
        <v>1891776.834538209</v>
      </c>
      <c r="U9" s="54">
        <v>1861334.6224675672</v>
      </c>
      <c r="V9" s="54">
        <f t="shared" si="1"/>
        <v>41306821.550875828</v>
      </c>
    </row>
    <row r="10" spans="1:22">
      <c r="A10" s="2" t="s">
        <v>12</v>
      </c>
      <c r="B10" s="54">
        <v>5413443.913685929</v>
      </c>
      <c r="C10" s="54">
        <v>5382663.165637739</v>
      </c>
      <c r="D10" s="54">
        <v>5351262.0984151904</v>
      </c>
      <c r="E10" s="54">
        <v>5288015.0069803912</v>
      </c>
      <c r="F10" s="54">
        <v>5259445.5192291467</v>
      </c>
      <c r="G10" s="54">
        <v>5236339.89208405</v>
      </c>
      <c r="H10" s="54">
        <v>5168286.3991664927</v>
      </c>
      <c r="I10" s="54">
        <v>5110858.0154182352</v>
      </c>
      <c r="J10" s="54">
        <v>5042490.6192477988</v>
      </c>
      <c r="K10" s="54">
        <v>4975291.5952489953</v>
      </c>
      <c r="L10" s="54">
        <v>4896042.1056109667</v>
      </c>
      <c r="M10" s="54">
        <v>4823623.8540774798</v>
      </c>
      <c r="N10" s="54">
        <v>4750093.5570762288</v>
      </c>
      <c r="O10" s="54">
        <v>4677346.0120309554</v>
      </c>
      <c r="P10" s="54">
        <v>4609389.5552156791</v>
      </c>
      <c r="Q10" s="54">
        <v>4534281.738444129</v>
      </c>
      <c r="R10" s="54">
        <v>4458750.0145354932</v>
      </c>
      <c r="S10" s="54">
        <v>4386667.1289075902</v>
      </c>
      <c r="T10" s="54">
        <v>4307380.1246427121</v>
      </c>
      <c r="U10" s="54">
        <v>4226687.5867366372</v>
      </c>
      <c r="V10" s="54">
        <f t="shared" si="1"/>
        <v>97898357.902391866</v>
      </c>
    </row>
    <row r="11" spans="1:22">
      <c r="A11" s="2" t="s">
        <v>13</v>
      </c>
      <c r="B11" s="55">
        <v>1578475.5580872414</v>
      </c>
      <c r="C11" s="55">
        <v>1682453.5662939521</v>
      </c>
      <c r="D11" s="55">
        <v>1721958.8250051588</v>
      </c>
      <c r="E11" s="55">
        <v>1876607.7207578484</v>
      </c>
      <c r="F11" s="55">
        <v>1874887.7445072674</v>
      </c>
      <c r="G11" s="55">
        <v>2034972.8955249372</v>
      </c>
      <c r="H11" s="55">
        <v>2186386.081382717</v>
      </c>
      <c r="I11" s="55">
        <v>2303272.6820119065</v>
      </c>
      <c r="J11" s="55">
        <v>2641840.3994033942</v>
      </c>
      <c r="K11" s="55">
        <v>2606231.5561586288</v>
      </c>
      <c r="L11" s="55">
        <v>2615528.7563733505</v>
      </c>
      <c r="M11" s="55">
        <v>2629997.8607807229</v>
      </c>
      <c r="N11" s="55">
        <v>2635955.2606351306</v>
      </c>
      <c r="O11" s="55">
        <v>2875952.1566192904</v>
      </c>
      <c r="P11" s="55">
        <v>2885233.7774016196</v>
      </c>
      <c r="Q11" s="55">
        <v>2891380.2835774948</v>
      </c>
      <c r="R11" s="55">
        <v>2894299.7669022926</v>
      </c>
      <c r="S11" s="55">
        <v>2896322.3127862168</v>
      </c>
      <c r="T11" s="55">
        <v>3040667.2166810404</v>
      </c>
      <c r="U11" s="55">
        <v>3036662.3701951019</v>
      </c>
      <c r="V11" s="55">
        <f t="shared" si="1"/>
        <v>48909086.791085303</v>
      </c>
    </row>
    <row r="12" spans="1:22">
      <c r="A12" s="8" t="s">
        <v>15</v>
      </c>
      <c r="B12" s="56">
        <f>SUM(B6:B11)</f>
        <v>39117245.421674237</v>
      </c>
      <c r="C12" s="56">
        <f t="shared" ref="C12:V12" si="2">SUM(C6:C11)</f>
        <v>40886067.96412839</v>
      </c>
      <c r="D12" s="56">
        <f t="shared" si="2"/>
        <v>42335051.673014857</v>
      </c>
      <c r="E12" s="56">
        <f t="shared" si="2"/>
        <v>42421836.014956079</v>
      </c>
      <c r="F12" s="56">
        <f t="shared" si="2"/>
        <v>43091534.641070858</v>
      </c>
      <c r="G12" s="56">
        <f t="shared" si="2"/>
        <v>44837480.821880057</v>
      </c>
      <c r="H12" s="56">
        <f t="shared" si="2"/>
        <v>41623582.626598231</v>
      </c>
      <c r="I12" s="56">
        <f t="shared" si="2"/>
        <v>39838470.964760855</v>
      </c>
      <c r="J12" s="56">
        <f t="shared" si="2"/>
        <v>40898435.057139702</v>
      </c>
      <c r="K12" s="56">
        <f t="shared" si="2"/>
        <v>40136615.603489049</v>
      </c>
      <c r="L12" s="56">
        <f t="shared" si="2"/>
        <v>39943948.551493831</v>
      </c>
      <c r="M12" s="56">
        <f t="shared" si="2"/>
        <v>39611897.239956647</v>
      </c>
      <c r="N12" s="56">
        <f t="shared" si="2"/>
        <v>38706630.839825429</v>
      </c>
      <c r="O12" s="56">
        <f t="shared" si="2"/>
        <v>40420992.58681269</v>
      </c>
      <c r="P12" s="56">
        <f t="shared" si="2"/>
        <v>39945192.980310328</v>
      </c>
      <c r="Q12" s="56">
        <f t="shared" si="2"/>
        <v>39132571.715899065</v>
      </c>
      <c r="R12" s="56">
        <f t="shared" si="2"/>
        <v>38600846.872829519</v>
      </c>
      <c r="S12" s="56">
        <f t="shared" si="2"/>
        <v>38308810.383507654</v>
      </c>
      <c r="T12" s="56">
        <f t="shared" si="2"/>
        <v>38368937.176317789</v>
      </c>
      <c r="U12" s="56">
        <f t="shared" si="2"/>
        <v>37873852.165906459</v>
      </c>
      <c r="V12" s="56">
        <f t="shared" si="2"/>
        <v>806100001.30157185</v>
      </c>
    </row>
    <row r="13" spans="1:22">
      <c r="B13" s="54"/>
      <c r="C13" s="54"/>
      <c r="D13" s="54"/>
      <c r="E13" s="54"/>
      <c r="F13" s="54"/>
      <c r="G13" s="54"/>
      <c r="H13" s="54"/>
      <c r="I13" s="54"/>
      <c r="J13" s="54"/>
      <c r="K13" s="54"/>
      <c r="L13" s="54"/>
      <c r="M13" s="54"/>
      <c r="N13" s="54"/>
      <c r="O13" s="54"/>
      <c r="P13" s="54"/>
      <c r="Q13" s="54"/>
      <c r="R13" s="54"/>
      <c r="S13" s="54"/>
      <c r="T13" s="54"/>
      <c r="U13" s="54"/>
      <c r="V13" s="54"/>
    </row>
    <row r="14" spans="1:22">
      <c r="A14" s="3" t="s">
        <v>3</v>
      </c>
      <c r="B14" s="54"/>
      <c r="C14" s="54"/>
      <c r="D14" s="54"/>
      <c r="E14" s="54"/>
      <c r="F14" s="54"/>
      <c r="G14" s="54"/>
      <c r="H14" s="54"/>
      <c r="I14" s="54"/>
      <c r="J14" s="54"/>
      <c r="K14" s="54"/>
      <c r="L14" s="54"/>
      <c r="M14" s="54"/>
      <c r="N14" s="54"/>
      <c r="O14" s="54"/>
      <c r="P14" s="54"/>
      <c r="Q14" s="54"/>
      <c r="R14" s="54"/>
      <c r="S14" s="54"/>
      <c r="T14" s="54"/>
      <c r="U14" s="54"/>
      <c r="V14" s="54"/>
    </row>
    <row r="15" spans="1:22">
      <c r="A15" s="2" t="s">
        <v>7</v>
      </c>
      <c r="B15" s="54">
        <v>13527754.994646478</v>
      </c>
      <c r="C15" s="54">
        <v>12053729.438864125</v>
      </c>
      <c r="D15" s="54">
        <v>11076441.681907333</v>
      </c>
      <c r="E15" s="54">
        <v>9662720.2961880285</v>
      </c>
      <c r="F15" s="54">
        <v>9632426.6632729881</v>
      </c>
      <c r="G15" s="54">
        <v>9450715.22031633</v>
      </c>
      <c r="H15" s="54">
        <v>9919276.5375269204</v>
      </c>
      <c r="I15" s="54">
        <v>9285996.4622496609</v>
      </c>
      <c r="J15" s="54">
        <v>8294869.9037144063</v>
      </c>
      <c r="K15" s="54">
        <v>8236818.3999438258</v>
      </c>
      <c r="L15" s="54">
        <v>8061449.450359595</v>
      </c>
      <c r="M15" s="54">
        <v>7896016.5731701367</v>
      </c>
      <c r="N15" s="54">
        <v>7761114.7328973375</v>
      </c>
      <c r="O15" s="54">
        <v>7510667.6785792047</v>
      </c>
      <c r="P15" s="54">
        <v>7457128.465084211</v>
      </c>
      <c r="Q15" s="54">
        <v>7308483.9422809854</v>
      </c>
      <c r="R15" s="54">
        <v>7146560.8065786418</v>
      </c>
      <c r="S15" s="54">
        <v>6992657.6380035477</v>
      </c>
      <c r="T15" s="54">
        <v>6786081.3179682363</v>
      </c>
      <c r="U15" s="54">
        <v>6681520.8223619219</v>
      </c>
      <c r="V15" s="54">
        <f>SUM(B15:U15)</f>
        <v>174742431.02591392</v>
      </c>
    </row>
    <row r="16" spans="1:22">
      <c r="A16" s="2" t="s">
        <v>6</v>
      </c>
      <c r="B16" s="54">
        <v>23097183.458549671</v>
      </c>
      <c r="C16" s="54">
        <v>20255532.801471688</v>
      </c>
      <c r="D16" s="54">
        <v>18700122.076648466</v>
      </c>
      <c r="E16" s="54">
        <v>17064684.9452269</v>
      </c>
      <c r="F16" s="54">
        <v>16842829.614027787</v>
      </c>
      <c r="G16" s="54">
        <v>16600722.098423474</v>
      </c>
      <c r="H16" s="54">
        <v>16938449.830210485</v>
      </c>
      <c r="I16" s="54">
        <v>15446381.232034523</v>
      </c>
      <c r="J16" s="54">
        <v>14043630.701266579</v>
      </c>
      <c r="K16" s="54">
        <v>13928312.429100677</v>
      </c>
      <c r="L16" s="54">
        <v>13553874.136659963</v>
      </c>
      <c r="M16" s="54">
        <v>13182496.377067015</v>
      </c>
      <c r="N16" s="54">
        <v>12819611.675624175</v>
      </c>
      <c r="O16" s="54">
        <v>11536336.749363551</v>
      </c>
      <c r="P16" s="54">
        <v>11422186.614250328</v>
      </c>
      <c r="Q16" s="54">
        <v>11118143.163811769</v>
      </c>
      <c r="R16" s="54">
        <v>10813375.518458813</v>
      </c>
      <c r="S16" s="54">
        <v>10502565.71669369</v>
      </c>
      <c r="T16" s="54">
        <v>9639688.8709080517</v>
      </c>
      <c r="U16" s="54">
        <v>9454729.3395852949</v>
      </c>
      <c r="V16" s="54">
        <f>SUM(B16:U16)</f>
        <v>286960857.34938288</v>
      </c>
    </row>
    <row r="17" spans="1:22">
      <c r="A17" s="2" t="s">
        <v>5</v>
      </c>
      <c r="B17" s="55">
        <v>32426901.658141915</v>
      </c>
      <c r="C17" s="55">
        <v>30756793.026252065</v>
      </c>
      <c r="D17" s="55">
        <v>29768120.091550652</v>
      </c>
      <c r="E17" s="55">
        <v>28437189.277226917</v>
      </c>
      <c r="F17" s="55">
        <v>29131480.601433888</v>
      </c>
      <c r="G17" s="55">
        <v>28893914.921526462</v>
      </c>
      <c r="H17" s="55">
        <v>27966572.494510934</v>
      </c>
      <c r="I17" s="55">
        <v>27718256.562924758</v>
      </c>
      <c r="J17" s="55">
        <v>25313435.067300726</v>
      </c>
      <c r="K17" s="55">
        <v>25543953.561745148</v>
      </c>
      <c r="L17" s="55">
        <v>24690168.269532129</v>
      </c>
      <c r="M17" s="55">
        <v>23842420.43726787</v>
      </c>
      <c r="N17" s="55">
        <v>23024076.166626088</v>
      </c>
      <c r="O17" s="55">
        <v>20733781.660308845</v>
      </c>
      <c r="P17" s="55">
        <v>20869335.407769732</v>
      </c>
      <c r="Q17" s="55">
        <v>20170168.925576724</v>
      </c>
      <c r="R17" s="55">
        <v>19483006.20824239</v>
      </c>
      <c r="S17" s="55">
        <v>18793110.348825879</v>
      </c>
      <c r="T17" s="55">
        <v>17349564.253922909</v>
      </c>
      <c r="U17" s="55">
        <v>17166762.730520744</v>
      </c>
      <c r="V17" s="55">
        <f>SUM(B17:U17)</f>
        <v>492079011.67120683</v>
      </c>
    </row>
    <row r="18" spans="1:22">
      <c r="A18" s="8" t="s">
        <v>16</v>
      </c>
      <c r="B18" s="56">
        <f>SUM(B15:B17)</f>
        <v>69051840.111338064</v>
      </c>
      <c r="C18" s="56">
        <f t="shared" ref="C18:V18" si="3">SUM(C15:C17)</f>
        <v>63066055.266587883</v>
      </c>
      <c r="D18" s="56">
        <f t="shared" si="3"/>
        <v>59544683.850106448</v>
      </c>
      <c r="E18" s="56">
        <f t="shared" si="3"/>
        <v>55164594.518641844</v>
      </c>
      <c r="F18" s="56">
        <f t="shared" si="3"/>
        <v>55606736.878734663</v>
      </c>
      <c r="G18" s="56">
        <f t="shared" si="3"/>
        <v>54945352.240266263</v>
      </c>
      <c r="H18" s="56">
        <f t="shared" si="3"/>
        <v>54824298.862248339</v>
      </c>
      <c r="I18" s="56">
        <f t="shared" si="3"/>
        <v>52450634.257208943</v>
      </c>
      <c r="J18" s="56">
        <f t="shared" si="3"/>
        <v>47651935.672281712</v>
      </c>
      <c r="K18" s="56">
        <f t="shared" si="3"/>
        <v>47709084.39078965</v>
      </c>
      <c r="L18" s="56">
        <f t="shared" si="3"/>
        <v>46305491.856551692</v>
      </c>
      <c r="M18" s="56">
        <f t="shared" si="3"/>
        <v>44920933.387505025</v>
      </c>
      <c r="N18" s="56">
        <f t="shared" si="3"/>
        <v>43604802.575147599</v>
      </c>
      <c r="O18" s="56">
        <f t="shared" si="3"/>
        <v>39780786.088251606</v>
      </c>
      <c r="P18" s="56">
        <f t="shared" si="3"/>
        <v>39748650.487104267</v>
      </c>
      <c r="Q18" s="56">
        <f t="shared" si="3"/>
        <v>38596796.031669483</v>
      </c>
      <c r="R18" s="56">
        <f t="shared" si="3"/>
        <v>37442942.533279851</v>
      </c>
      <c r="S18" s="56">
        <f t="shared" si="3"/>
        <v>36288333.703523114</v>
      </c>
      <c r="T18" s="56">
        <f t="shared" si="3"/>
        <v>33775334.442799196</v>
      </c>
      <c r="U18" s="56">
        <f t="shared" si="3"/>
        <v>33303012.892467961</v>
      </c>
      <c r="V18" s="56">
        <f t="shared" si="3"/>
        <v>953782300.04650366</v>
      </c>
    </row>
    <row r="19" spans="1:22">
      <c r="A19" s="8"/>
      <c r="B19" s="54"/>
      <c r="C19" s="54"/>
      <c r="D19" s="54"/>
      <c r="E19" s="54"/>
      <c r="F19" s="54"/>
      <c r="G19" s="54"/>
      <c r="H19" s="54"/>
      <c r="I19" s="54"/>
      <c r="J19" s="54"/>
      <c r="K19" s="54"/>
      <c r="L19" s="54"/>
      <c r="M19" s="54"/>
      <c r="N19" s="54"/>
      <c r="O19" s="54"/>
      <c r="P19" s="54"/>
      <c r="Q19" s="54"/>
      <c r="R19" s="54"/>
      <c r="S19" s="54"/>
      <c r="T19" s="54"/>
      <c r="U19" s="54"/>
      <c r="V19" s="54"/>
    </row>
    <row r="20" spans="1:22" s="4" customFormat="1">
      <c r="A20" s="3" t="s">
        <v>4</v>
      </c>
      <c r="B20" s="56">
        <f>B12+B18</f>
        <v>108169085.5330123</v>
      </c>
      <c r="C20" s="56">
        <f t="shared" ref="C20:V20" si="4">C12+C18</f>
        <v>103952123.23071627</v>
      </c>
      <c r="D20" s="56">
        <f t="shared" si="4"/>
        <v>101879735.5231213</v>
      </c>
      <c r="E20" s="56">
        <f t="shared" si="4"/>
        <v>97586430.533597916</v>
      </c>
      <c r="F20" s="56">
        <f t="shared" si="4"/>
        <v>98698271.519805521</v>
      </c>
      <c r="G20" s="56">
        <f t="shared" si="4"/>
        <v>99782833.062146321</v>
      </c>
      <c r="H20" s="56">
        <f t="shared" si="4"/>
        <v>96447881.48884657</v>
      </c>
      <c r="I20" s="56">
        <f t="shared" si="4"/>
        <v>92289105.221969798</v>
      </c>
      <c r="J20" s="56">
        <f t="shared" si="4"/>
        <v>88550370.729421407</v>
      </c>
      <c r="K20" s="56">
        <f t="shared" si="4"/>
        <v>87845699.994278699</v>
      </c>
      <c r="L20" s="56">
        <f t="shared" si="4"/>
        <v>86249440.40804553</v>
      </c>
      <c r="M20" s="56">
        <f t="shared" si="4"/>
        <v>84532830.627461672</v>
      </c>
      <c r="N20" s="56">
        <f t="shared" si="4"/>
        <v>82311433.414973021</v>
      </c>
      <c r="O20" s="56">
        <f t="shared" si="4"/>
        <v>80201778.675064296</v>
      </c>
      <c r="P20" s="56">
        <f t="shared" si="4"/>
        <v>79693843.467414588</v>
      </c>
      <c r="Q20" s="56">
        <f t="shared" si="4"/>
        <v>77729367.747568548</v>
      </c>
      <c r="R20" s="56">
        <f t="shared" si="4"/>
        <v>76043789.406109363</v>
      </c>
      <c r="S20" s="56">
        <f t="shared" si="4"/>
        <v>74597144.087030768</v>
      </c>
      <c r="T20" s="56">
        <f t="shared" si="4"/>
        <v>72144271.619116992</v>
      </c>
      <c r="U20" s="56">
        <f t="shared" si="4"/>
        <v>71176865.05837442</v>
      </c>
      <c r="V20" s="56">
        <f t="shared" si="4"/>
        <v>1759882301.3480754</v>
      </c>
    </row>
    <row r="21" spans="1:22">
      <c r="A21" s="1"/>
      <c r="B21" s="54"/>
      <c r="C21" s="54"/>
      <c r="D21" s="54"/>
      <c r="E21" s="54"/>
      <c r="F21" s="54"/>
      <c r="G21" s="54"/>
      <c r="H21" s="54"/>
      <c r="I21" s="54"/>
      <c r="J21" s="54"/>
      <c r="K21" s="54"/>
      <c r="L21" s="54"/>
      <c r="M21" s="54"/>
      <c r="N21" s="54"/>
      <c r="O21" s="54"/>
      <c r="P21" s="54"/>
      <c r="Q21" s="54"/>
      <c r="R21" s="54"/>
      <c r="S21" s="54"/>
      <c r="T21" s="54"/>
      <c r="U21" s="54"/>
      <c r="V21" s="54"/>
    </row>
    <row r="22" spans="1:22">
      <c r="A22" s="57" t="s">
        <v>22</v>
      </c>
      <c r="B22" s="54"/>
      <c r="C22" s="54"/>
      <c r="D22" s="54"/>
      <c r="E22" s="54"/>
      <c r="F22" s="54"/>
      <c r="G22" s="54"/>
      <c r="H22" s="54"/>
      <c r="I22" s="54"/>
      <c r="J22" s="54"/>
      <c r="K22" s="54"/>
      <c r="L22" s="54"/>
      <c r="M22" s="54"/>
      <c r="N22" s="54"/>
      <c r="O22" s="54"/>
      <c r="P22" s="54"/>
      <c r="Q22" s="54"/>
      <c r="R22" s="54"/>
      <c r="S22" s="54"/>
      <c r="T22" s="54"/>
      <c r="U22" s="54"/>
      <c r="V22" s="54"/>
    </row>
    <row r="23" spans="1:22">
      <c r="A23" s="57"/>
      <c r="B23" s="54"/>
      <c r="C23" s="54"/>
      <c r="D23" s="54"/>
      <c r="E23" s="54"/>
      <c r="F23" s="54"/>
      <c r="G23" s="54"/>
      <c r="H23" s="54"/>
      <c r="I23" s="54"/>
      <c r="J23" s="54"/>
      <c r="K23" s="54"/>
      <c r="L23" s="54"/>
      <c r="M23" s="54"/>
      <c r="N23" s="54"/>
      <c r="O23" s="54"/>
      <c r="P23" s="54"/>
      <c r="Q23" s="54"/>
      <c r="R23" s="54"/>
      <c r="S23" s="54"/>
      <c r="T23" s="54"/>
      <c r="U23" s="54"/>
      <c r="V23" s="54"/>
    </row>
    <row r="24" spans="1:22" ht="15.75">
      <c r="A24" s="68" t="s">
        <v>31</v>
      </c>
    </row>
    <row r="25" spans="1:22">
      <c r="A25" s="5" t="s">
        <v>21</v>
      </c>
      <c r="B25" s="6">
        <v>2015</v>
      </c>
      <c r="C25" s="6">
        <f>B25+1</f>
        <v>2016</v>
      </c>
      <c r="D25" s="6">
        <f t="shared" ref="D25" si="5">C25+1</f>
        <v>2017</v>
      </c>
      <c r="E25" s="6">
        <f t="shared" ref="E25" si="6">D25+1</f>
        <v>2018</v>
      </c>
      <c r="F25" s="6">
        <f t="shared" ref="F25" si="7">E25+1</f>
        <v>2019</v>
      </c>
      <c r="G25" s="6">
        <f t="shared" ref="G25" si="8">F25+1</f>
        <v>2020</v>
      </c>
      <c r="H25" s="6">
        <f t="shared" ref="H25" si="9">G25+1</f>
        <v>2021</v>
      </c>
      <c r="I25" s="6">
        <f t="shared" ref="I25" si="10">H25+1</f>
        <v>2022</v>
      </c>
      <c r="J25" s="6">
        <f t="shared" ref="J25" si="11">I25+1</f>
        <v>2023</v>
      </c>
      <c r="K25" s="6">
        <f t="shared" ref="K25" si="12">J25+1</f>
        <v>2024</v>
      </c>
      <c r="L25" s="6">
        <f t="shared" ref="L25" si="13">K25+1</f>
        <v>2025</v>
      </c>
      <c r="M25" s="6">
        <f t="shared" ref="M25" si="14">L25+1</f>
        <v>2026</v>
      </c>
      <c r="N25" s="6">
        <f t="shared" ref="N25" si="15">M25+1</f>
        <v>2027</v>
      </c>
      <c r="O25" s="6">
        <f t="shared" ref="O25" si="16">N25+1</f>
        <v>2028</v>
      </c>
      <c r="P25" s="6">
        <f t="shared" ref="P25" si="17">O25+1</f>
        <v>2029</v>
      </c>
      <c r="Q25" s="6">
        <f t="shared" ref="Q25" si="18">P25+1</f>
        <v>2030</v>
      </c>
      <c r="R25" s="6">
        <f t="shared" ref="R25" si="19">Q25+1</f>
        <v>2031</v>
      </c>
      <c r="S25" s="6">
        <f t="shared" ref="S25" si="20">R25+1</f>
        <v>2032</v>
      </c>
      <c r="T25" s="6">
        <f t="shared" ref="T25" si="21">S25+1</f>
        <v>2033</v>
      </c>
      <c r="U25" s="6">
        <f t="shared" ref="U25" si="22">T25+1</f>
        <v>2034</v>
      </c>
      <c r="V25" s="6" t="s">
        <v>14</v>
      </c>
    </row>
    <row r="26" spans="1:22">
      <c r="A26" s="10" t="s">
        <v>2</v>
      </c>
      <c r="B26" s="54">
        <v>2934494.8043147917</v>
      </c>
      <c r="C26" s="54">
        <v>2898290.8698460562</v>
      </c>
      <c r="D26" s="54">
        <v>2868093.5825710776</v>
      </c>
      <c r="E26" s="54">
        <v>2827140.7958236262</v>
      </c>
      <c r="F26" s="54">
        <v>2798094.4463118264</v>
      </c>
      <c r="G26" s="54">
        <v>2829902.7059992817</v>
      </c>
      <c r="H26" s="54">
        <v>2767542.8810733627</v>
      </c>
      <c r="I26" s="54">
        <v>2691176.6290157968</v>
      </c>
      <c r="J26" s="54">
        <v>2618735.24799411</v>
      </c>
      <c r="K26" s="54">
        <v>2555300.7395830769</v>
      </c>
      <c r="L26" s="54">
        <v>2502977.0117059038</v>
      </c>
      <c r="M26" s="54">
        <v>2443298.0020415424</v>
      </c>
      <c r="N26" s="54">
        <v>2374656.9859758071</v>
      </c>
      <c r="O26" s="54">
        <v>2316029.9453716916</v>
      </c>
      <c r="P26" s="54">
        <v>2264449.4989171145</v>
      </c>
      <c r="Q26" s="54">
        <v>2214580.5718313819</v>
      </c>
      <c r="R26" s="54">
        <v>2152107.6300703404</v>
      </c>
      <c r="S26" s="54">
        <v>2105112.8275428866</v>
      </c>
      <c r="T26" s="54">
        <v>2059745.3661547673</v>
      </c>
      <c r="U26" s="54">
        <v>2027841.7813347862</v>
      </c>
      <c r="V26" s="54">
        <f>SUM(B26:U26)</f>
        <v>50249572.323479243</v>
      </c>
    </row>
    <row r="27" spans="1:22">
      <c r="A27" s="10" t="s">
        <v>3</v>
      </c>
      <c r="B27" s="55">
        <v>169764.91845203019</v>
      </c>
      <c r="C27" s="55">
        <v>294481.07550806174</v>
      </c>
      <c r="D27" s="55">
        <v>398881.66493854742</v>
      </c>
      <c r="E27" s="55">
        <v>496163.87291825336</v>
      </c>
      <c r="F27" s="55">
        <v>517704.00895151979</v>
      </c>
      <c r="G27" s="55">
        <v>591344.37427803047</v>
      </c>
      <c r="H27" s="55">
        <v>611150.58805859357</v>
      </c>
      <c r="I27" s="55">
        <v>619171.48602461955</v>
      </c>
      <c r="J27" s="55">
        <v>633096.63263449096</v>
      </c>
      <c r="K27" s="55">
        <v>640235.47766481398</v>
      </c>
      <c r="L27" s="55">
        <v>655011.89901817963</v>
      </c>
      <c r="M27" s="55">
        <v>663966.62634941912</v>
      </c>
      <c r="N27" s="55">
        <v>676838.32436947909</v>
      </c>
      <c r="O27" s="55">
        <v>687458.40240986052</v>
      </c>
      <c r="P27" s="55">
        <v>699858.04097584949</v>
      </c>
      <c r="Q27" s="55">
        <v>710832.38865636638</v>
      </c>
      <c r="R27" s="55">
        <v>722147.07227954885</v>
      </c>
      <c r="S27" s="55">
        <v>733816.86091949872</v>
      </c>
      <c r="T27" s="55">
        <v>745794.05813191296</v>
      </c>
      <c r="U27" s="55">
        <v>757966.04153106967</v>
      </c>
      <c r="V27" s="55">
        <f>SUM(B27:U27)</f>
        <v>12025683.814070145</v>
      </c>
    </row>
    <row r="28" spans="1:22">
      <c r="A28" s="10" t="s">
        <v>4</v>
      </c>
      <c r="B28" s="56">
        <f>SUM(B26:B27)</f>
        <v>3104259.7227668217</v>
      </c>
      <c r="C28" s="56">
        <f t="shared" ref="C28:V28" si="23">SUM(C26:C27)</f>
        <v>3192771.945354118</v>
      </c>
      <c r="D28" s="56">
        <f t="shared" si="23"/>
        <v>3266975.2475096248</v>
      </c>
      <c r="E28" s="56">
        <f t="shared" si="23"/>
        <v>3323304.6687418795</v>
      </c>
      <c r="F28" s="56">
        <f t="shared" si="23"/>
        <v>3315798.455263346</v>
      </c>
      <c r="G28" s="56">
        <f t="shared" si="23"/>
        <v>3421247.0802773121</v>
      </c>
      <c r="H28" s="56">
        <f t="shared" si="23"/>
        <v>3378693.4691319563</v>
      </c>
      <c r="I28" s="56">
        <f t="shared" si="23"/>
        <v>3310348.1150404164</v>
      </c>
      <c r="J28" s="56">
        <f t="shared" si="23"/>
        <v>3251831.8806286007</v>
      </c>
      <c r="K28" s="56">
        <f t="shared" si="23"/>
        <v>3195536.2172478908</v>
      </c>
      <c r="L28" s="56">
        <f t="shared" si="23"/>
        <v>3157988.9107240834</v>
      </c>
      <c r="M28" s="56">
        <f t="shared" si="23"/>
        <v>3107264.6283909613</v>
      </c>
      <c r="N28" s="56">
        <f t="shared" si="23"/>
        <v>3051495.310345286</v>
      </c>
      <c r="O28" s="56">
        <f t="shared" si="23"/>
        <v>3003488.347781552</v>
      </c>
      <c r="P28" s="56">
        <f t="shared" si="23"/>
        <v>2964307.5398929641</v>
      </c>
      <c r="Q28" s="56">
        <f t="shared" si="23"/>
        <v>2925412.9604877485</v>
      </c>
      <c r="R28" s="56">
        <f t="shared" si="23"/>
        <v>2874254.7023498891</v>
      </c>
      <c r="S28" s="56">
        <f t="shared" si="23"/>
        <v>2838929.6884623854</v>
      </c>
      <c r="T28" s="56">
        <f t="shared" si="23"/>
        <v>2805539.4242866803</v>
      </c>
      <c r="U28" s="56">
        <f t="shared" si="23"/>
        <v>2785807.8228658559</v>
      </c>
      <c r="V28" s="56">
        <f t="shared" si="23"/>
        <v>62275256.137549385</v>
      </c>
    </row>
    <row r="29" spans="1:22">
      <c r="A29" s="1"/>
      <c r="B29" s="54"/>
      <c r="C29" s="54"/>
      <c r="D29" s="54"/>
      <c r="E29" s="54"/>
      <c r="F29" s="54"/>
      <c r="G29" s="54"/>
      <c r="H29" s="54"/>
      <c r="I29" s="54"/>
      <c r="J29" s="54"/>
      <c r="K29" s="54"/>
      <c r="L29" s="54"/>
      <c r="M29" s="54"/>
      <c r="N29" s="54"/>
      <c r="O29" s="54"/>
      <c r="P29" s="54"/>
      <c r="Q29" s="54"/>
      <c r="R29" s="54"/>
      <c r="S29" s="54"/>
      <c r="T29" s="54"/>
      <c r="U29" s="54"/>
      <c r="V29" s="54"/>
    </row>
    <row r="30" spans="1:22">
      <c r="A30" s="57" t="s">
        <v>22</v>
      </c>
      <c r="B30" s="54"/>
      <c r="C30" s="54"/>
      <c r="D30" s="54"/>
      <c r="E30" s="54"/>
      <c r="F30" s="54"/>
      <c r="G30" s="54"/>
      <c r="H30" s="54"/>
      <c r="I30" s="54"/>
      <c r="J30" s="54"/>
      <c r="K30" s="54"/>
      <c r="L30" s="54"/>
      <c r="M30" s="54"/>
      <c r="N30" s="54"/>
      <c r="O30" s="54"/>
      <c r="P30" s="54"/>
      <c r="Q30" s="54"/>
      <c r="R30" s="54"/>
      <c r="S30" s="54"/>
      <c r="T30" s="54"/>
      <c r="U30" s="54"/>
      <c r="V30" s="54"/>
    </row>
    <row r="31" spans="1:22">
      <c r="A31" s="1"/>
    </row>
    <row r="32" spans="1:22">
      <c r="A32" s="58" t="s">
        <v>23</v>
      </c>
      <c r="B32" s="63">
        <f>B26/B12</f>
        <v>7.5017930651344766E-2</v>
      </c>
      <c r="C32" s="63">
        <f t="shared" ref="C32:V32" si="24">C26/C12</f>
        <v>7.0887004159678232E-2</v>
      </c>
      <c r="D32" s="63">
        <f t="shared" si="24"/>
        <v>6.7747492189769859E-2</v>
      </c>
      <c r="E32" s="63">
        <f t="shared" si="24"/>
        <v>6.6643527517924975E-2</v>
      </c>
      <c r="F32" s="63">
        <f t="shared" si="24"/>
        <v>6.4933738601292285E-2</v>
      </c>
      <c r="G32" s="63">
        <f t="shared" si="24"/>
        <v>6.3114667776302216E-2</v>
      </c>
      <c r="H32" s="63">
        <f t="shared" si="24"/>
        <v>6.6489780706787405E-2</v>
      </c>
      <c r="I32" s="63">
        <f t="shared" si="24"/>
        <v>6.7552206795192485E-2</v>
      </c>
      <c r="J32" s="63">
        <f t="shared" si="24"/>
        <v>6.4030206640802834E-2</v>
      </c>
      <c r="K32" s="63">
        <f t="shared" si="24"/>
        <v>6.3665077415270319E-2</v>
      </c>
      <c r="L32" s="63">
        <f t="shared" si="24"/>
        <v>6.2662233015826796E-2</v>
      </c>
      <c r="M32" s="63">
        <f t="shared" si="24"/>
        <v>6.1680913369051661E-2</v>
      </c>
      <c r="N32" s="63">
        <f t="shared" si="24"/>
        <v>6.1350133929314037E-2</v>
      </c>
      <c r="O32" s="63">
        <f t="shared" si="24"/>
        <v>5.7297700950750381E-2</v>
      </c>
      <c r="P32" s="63">
        <f t="shared" si="24"/>
        <v>5.6688911229776769E-2</v>
      </c>
      <c r="Q32" s="63">
        <f t="shared" si="24"/>
        <v>5.6591746331141994E-2</v>
      </c>
      <c r="R32" s="63">
        <f t="shared" si="24"/>
        <v>5.5752860478954218E-2</v>
      </c>
      <c r="S32" s="63">
        <f t="shared" si="24"/>
        <v>5.495114065064155E-2</v>
      </c>
      <c r="T32" s="63">
        <f t="shared" si="24"/>
        <v>5.3682627608097798E-2</v>
      </c>
      <c r="U32" s="63">
        <f t="shared" si="24"/>
        <v>5.3541999700791529E-2</v>
      </c>
      <c r="V32" s="63">
        <f t="shared" si="24"/>
        <v>6.2336648359190693E-2</v>
      </c>
    </row>
    <row r="33" spans="1:22">
      <c r="A33" s="58" t="s">
        <v>24</v>
      </c>
      <c r="B33" s="63">
        <f>B27/B18</f>
        <v>2.4585140407309058E-3</v>
      </c>
      <c r="C33" s="63">
        <f t="shared" ref="C33:V33" si="25">C27/C18</f>
        <v>4.6694069299761092E-3</v>
      </c>
      <c r="D33" s="63">
        <f t="shared" si="25"/>
        <v>6.6988627556183481E-3</v>
      </c>
      <c r="E33" s="63">
        <f t="shared" si="25"/>
        <v>8.9942449001521076E-3</v>
      </c>
      <c r="F33" s="63">
        <f t="shared" si="25"/>
        <v>9.3100951073700235E-3</v>
      </c>
      <c r="G33" s="63">
        <f t="shared" si="25"/>
        <v>1.076240937890773E-2</v>
      </c>
      <c r="H33" s="63">
        <f t="shared" si="25"/>
        <v>1.1147440108521442E-2</v>
      </c>
      <c r="I33" s="63">
        <f t="shared" si="25"/>
        <v>1.1804842682898904E-2</v>
      </c>
      <c r="J33" s="63">
        <f t="shared" si="25"/>
        <v>1.3285853422377385E-2</v>
      </c>
      <c r="K33" s="63">
        <f t="shared" si="25"/>
        <v>1.341957167780845E-2</v>
      </c>
      <c r="L33" s="63">
        <f t="shared" si="25"/>
        <v>1.4145447392013892E-2</v>
      </c>
      <c r="M33" s="63">
        <f t="shared" si="25"/>
        <v>1.4780784286510499E-2</v>
      </c>
      <c r="N33" s="63">
        <f t="shared" si="25"/>
        <v>1.5522105006737048E-2</v>
      </c>
      <c r="O33" s="63">
        <f t="shared" si="25"/>
        <v>1.7281166864947559E-2</v>
      </c>
      <c r="P33" s="63">
        <f t="shared" si="25"/>
        <v>1.7607089357735702E-2</v>
      </c>
      <c r="Q33" s="63">
        <f t="shared" si="25"/>
        <v>1.8416875537366196E-2</v>
      </c>
      <c r="R33" s="63">
        <f t="shared" si="25"/>
        <v>1.9286600449141881E-2</v>
      </c>
      <c r="S33" s="63">
        <f t="shared" si="25"/>
        <v>2.0221839528780979E-2</v>
      </c>
      <c r="T33" s="63">
        <f t="shared" si="25"/>
        <v>2.208102659634549E-2</v>
      </c>
      <c r="U33" s="63">
        <f t="shared" si="25"/>
        <v>2.27596837552946E-2</v>
      </c>
      <c r="V33" s="63">
        <f t="shared" si="25"/>
        <v>1.260841579203536E-2</v>
      </c>
    </row>
  </sheetData>
  <pageMargins left="0.7" right="0.7" top="0.75" bottom="0.75" header="0.3" footer="0.3"/>
  <pageSetup orientation="portrait" r:id="rId1"/>
  <ignoredErrors>
    <ignoredError sqref="B28" formulaRange="1"/>
  </ignoredErrors>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V80"/>
  <sheetViews>
    <sheetView workbookViewId="0">
      <pane ySplit="1" topLeftCell="A46" activePane="bottomLeft" state="frozen"/>
      <selection activeCell="B3" sqref="B3"/>
      <selection pane="bottomLeft" activeCell="C56" sqref="C56"/>
    </sheetView>
  </sheetViews>
  <sheetFormatPr defaultRowHeight="15"/>
  <cols>
    <col min="1" max="1" width="43.42578125" customWidth="1"/>
    <col min="2" max="21" width="11.85546875" bestFit="1" customWidth="1"/>
    <col min="22" max="22" width="12.85546875" bestFit="1" customWidth="1"/>
  </cols>
  <sheetData>
    <row r="1" spans="1:22" ht="15.75">
      <c r="A1" s="7" t="s">
        <v>38</v>
      </c>
    </row>
    <row r="2" spans="1:22" ht="15.75">
      <c r="A2" s="7"/>
    </row>
    <row r="3" spans="1:22" ht="15.75">
      <c r="A3" s="7" t="s">
        <v>26</v>
      </c>
    </row>
    <row r="4" spans="1:22">
      <c r="A4" s="28" t="s">
        <v>36</v>
      </c>
      <c r="B4" s="29">
        <v>2015</v>
      </c>
      <c r="C4" s="29">
        <f>B4+1</f>
        <v>2016</v>
      </c>
      <c r="D4" s="29">
        <f t="shared" ref="D4:U4" si="0">C4+1</f>
        <v>2017</v>
      </c>
      <c r="E4" s="29">
        <f t="shared" si="0"/>
        <v>2018</v>
      </c>
      <c r="F4" s="29">
        <f t="shared" si="0"/>
        <v>2019</v>
      </c>
      <c r="G4" s="29">
        <f t="shared" si="0"/>
        <v>2020</v>
      </c>
      <c r="H4" s="29">
        <f t="shared" si="0"/>
        <v>2021</v>
      </c>
      <c r="I4" s="29">
        <f t="shared" si="0"/>
        <v>2022</v>
      </c>
      <c r="J4" s="29">
        <f t="shared" si="0"/>
        <v>2023</v>
      </c>
      <c r="K4" s="29">
        <f t="shared" si="0"/>
        <v>2024</v>
      </c>
      <c r="L4" s="29">
        <f t="shared" si="0"/>
        <v>2025</v>
      </c>
      <c r="M4" s="29">
        <f t="shared" si="0"/>
        <v>2026</v>
      </c>
      <c r="N4" s="29">
        <f t="shared" si="0"/>
        <v>2027</v>
      </c>
      <c r="O4" s="29">
        <f t="shared" si="0"/>
        <v>2028</v>
      </c>
      <c r="P4" s="29">
        <f t="shared" si="0"/>
        <v>2029</v>
      </c>
      <c r="Q4" s="29">
        <f t="shared" si="0"/>
        <v>2030</v>
      </c>
      <c r="R4" s="29">
        <f t="shared" si="0"/>
        <v>2031</v>
      </c>
      <c r="S4" s="29">
        <f t="shared" si="0"/>
        <v>2032</v>
      </c>
      <c r="T4" s="29">
        <f t="shared" si="0"/>
        <v>2033</v>
      </c>
      <c r="U4" s="29">
        <f t="shared" si="0"/>
        <v>2034</v>
      </c>
      <c r="V4" s="29" t="s">
        <v>14</v>
      </c>
    </row>
    <row r="5" spans="1:22">
      <c r="A5" s="53" t="s">
        <v>2</v>
      </c>
      <c r="B5" s="31"/>
      <c r="C5" s="31"/>
      <c r="D5" s="31"/>
      <c r="E5" s="31"/>
      <c r="F5" s="31"/>
      <c r="G5" s="31"/>
      <c r="H5" s="31"/>
      <c r="I5" s="31"/>
      <c r="J5" s="31"/>
      <c r="K5" s="31"/>
      <c r="L5" s="31"/>
      <c r="M5" s="31"/>
      <c r="N5" s="31"/>
      <c r="O5" s="31"/>
      <c r="P5" s="31"/>
      <c r="Q5" s="31"/>
      <c r="R5" s="31"/>
      <c r="S5" s="31"/>
      <c r="T5" s="31"/>
      <c r="U5" s="31"/>
      <c r="V5" s="31"/>
    </row>
    <row r="6" spans="1:22">
      <c r="A6" s="32" t="s">
        <v>8</v>
      </c>
      <c r="B6" s="33">
        <v>254739.83996317766</v>
      </c>
      <c r="C6" s="33">
        <v>275057.38699421007</v>
      </c>
      <c r="D6" s="33">
        <v>285204.30663164513</v>
      </c>
      <c r="E6" s="33">
        <v>315645.06554395042</v>
      </c>
      <c r="F6" s="33">
        <v>315645.06554395042</v>
      </c>
      <c r="G6" s="33">
        <v>317548.76094275521</v>
      </c>
      <c r="H6" s="33">
        <v>319452.45634155994</v>
      </c>
      <c r="I6" s="33">
        <v>321356.15174036473</v>
      </c>
      <c r="J6" s="33">
        <v>354434.97435313184</v>
      </c>
      <c r="K6" s="33">
        <v>354434.97435313184</v>
      </c>
      <c r="L6" s="33">
        <v>356104.80433250708</v>
      </c>
      <c r="M6" s="33">
        <v>357774.63431188226</v>
      </c>
      <c r="N6" s="33">
        <v>359444.46429125749</v>
      </c>
      <c r="O6" s="33">
        <v>392901.65337035613</v>
      </c>
      <c r="P6" s="33">
        <v>394718.47139764868</v>
      </c>
      <c r="Q6" s="33">
        <v>396535.28942494123</v>
      </c>
      <c r="R6" s="33">
        <v>398352.10745223379</v>
      </c>
      <c r="S6" s="33">
        <v>400168.92547952634</v>
      </c>
      <c r="T6" s="33">
        <v>423650.40361144877</v>
      </c>
      <c r="U6" s="33">
        <v>425565.13741229568</v>
      </c>
      <c r="V6" s="33">
        <f>SUM(B6:U6)</f>
        <v>7018734.8734919755</v>
      </c>
    </row>
    <row r="7" spans="1:22">
      <c r="A7" s="34" t="s">
        <v>9</v>
      </c>
      <c r="B7" s="33">
        <v>5045560.2540000007</v>
      </c>
      <c r="C7" s="33">
        <v>5452408.6739999996</v>
      </c>
      <c r="D7" s="33">
        <v>5654414.8188000014</v>
      </c>
      <c r="E7" s="33">
        <v>5926081.9860000014</v>
      </c>
      <c r="F7" s="33">
        <v>5761917.2700000014</v>
      </c>
      <c r="G7" s="33">
        <v>4988291.4359999998</v>
      </c>
      <c r="H7" s="33">
        <v>4260822.9480000008</v>
      </c>
      <c r="I7" s="33">
        <v>3596163.4080000008</v>
      </c>
      <c r="J7" s="33">
        <v>3271641.8400000003</v>
      </c>
      <c r="K7" s="33">
        <v>3270081.2399999998</v>
      </c>
      <c r="L7" s="33">
        <v>3193611.84</v>
      </c>
      <c r="M7" s="33">
        <v>3124685.34</v>
      </c>
      <c r="N7" s="33">
        <v>3054198.24</v>
      </c>
      <c r="O7" s="33">
        <v>3238349.04</v>
      </c>
      <c r="P7" s="33">
        <v>3165521.04</v>
      </c>
      <c r="Q7" s="33">
        <v>3078387.54</v>
      </c>
      <c r="R7" s="33">
        <v>3006860.04</v>
      </c>
      <c r="S7" s="33">
        <v>2934032.04</v>
      </c>
      <c r="T7" s="33">
        <v>2991254.04</v>
      </c>
      <c r="U7" s="33">
        <v>2921027.04</v>
      </c>
      <c r="V7" s="33">
        <f t="shared" ref="V7:V11" si="1">SUM(B7:U7)</f>
        <v>77935310.074800044</v>
      </c>
    </row>
    <row r="8" spans="1:22">
      <c r="A8" s="34" t="s">
        <v>10</v>
      </c>
      <c r="B8" s="33">
        <v>945662.39240593929</v>
      </c>
      <c r="C8" s="33">
        <v>1002340.6125015015</v>
      </c>
      <c r="D8" s="33">
        <v>1035295.1144442335</v>
      </c>
      <c r="E8" s="33">
        <v>1130720.2264132644</v>
      </c>
      <c r="F8" s="33">
        <v>1134606.3501375266</v>
      </c>
      <c r="G8" s="33">
        <v>1404406.5352143128</v>
      </c>
      <c r="H8" s="33">
        <v>1659078.3463825991</v>
      </c>
      <c r="I8" s="33">
        <v>1921360.321374251</v>
      </c>
      <c r="J8" s="33">
        <v>2381128.3660657364</v>
      </c>
      <c r="K8" s="33">
        <v>2381554.914451051</v>
      </c>
      <c r="L8" s="33">
        <v>2445339.9498040723</v>
      </c>
      <c r="M8" s="33">
        <v>2504080.2558641536</v>
      </c>
      <c r="N8" s="33">
        <v>2567090.5580454366</v>
      </c>
      <c r="O8" s="33">
        <v>2848540.4046703456</v>
      </c>
      <c r="P8" s="33">
        <v>2918175.6482277522</v>
      </c>
      <c r="Q8" s="33">
        <v>2980698.3266563071</v>
      </c>
      <c r="R8" s="33">
        <v>3041573.9446534333</v>
      </c>
      <c r="S8" s="33">
        <v>3122134.1750105019</v>
      </c>
      <c r="T8" s="33">
        <v>3343329.0599747123</v>
      </c>
      <c r="U8" s="33">
        <v>3424254.2126382058</v>
      </c>
      <c r="V8" s="33">
        <f t="shared" si="1"/>
        <v>44191369.71493534</v>
      </c>
    </row>
    <row r="9" spans="1:22">
      <c r="A9" s="34" t="s">
        <v>11</v>
      </c>
      <c r="B9" s="33">
        <v>1348900.4676921801</v>
      </c>
      <c r="C9" s="33">
        <v>1352379.8697214338</v>
      </c>
      <c r="D9" s="33">
        <v>1357137.3501819943</v>
      </c>
      <c r="E9" s="33">
        <v>1350907.5573507682</v>
      </c>
      <c r="F9" s="33">
        <v>1351284.4355277549</v>
      </c>
      <c r="G9" s="33">
        <v>1351393.431250049</v>
      </c>
      <c r="H9" s="33">
        <v>1351913.631250049</v>
      </c>
      <c r="I9" s="33">
        <v>1350092.931250049</v>
      </c>
      <c r="J9" s="33">
        <v>1354773.5375194042</v>
      </c>
      <c r="K9" s="33">
        <v>1350611.9375194041</v>
      </c>
      <c r="L9" s="33">
        <v>1350611.9375194041</v>
      </c>
      <c r="M9" s="33">
        <v>1349072.145519404</v>
      </c>
      <c r="N9" s="33">
        <v>1352234.9615194041</v>
      </c>
      <c r="O9" s="33">
        <v>1353649.905519404</v>
      </c>
      <c r="P9" s="33">
        <v>1353649.905519404</v>
      </c>
      <c r="Q9" s="33">
        <v>1353649.905519404</v>
      </c>
      <c r="R9" s="33">
        <v>1353649.905519404</v>
      </c>
      <c r="S9" s="33">
        <v>1353649.905519404</v>
      </c>
      <c r="T9" s="33">
        <v>1353649.905519404</v>
      </c>
      <c r="U9" s="33">
        <v>1353649.905519404</v>
      </c>
      <c r="V9" s="33">
        <f t="shared" si="1"/>
        <v>27046863.532457124</v>
      </c>
    </row>
    <row r="10" spans="1:22">
      <c r="A10" s="35" t="s">
        <v>12</v>
      </c>
      <c r="B10" s="33">
        <v>660507.46682347171</v>
      </c>
      <c r="C10" s="33">
        <v>663557.02336520539</v>
      </c>
      <c r="D10" s="33">
        <v>662826.65256502084</v>
      </c>
      <c r="E10" s="33">
        <v>662314.49288728251</v>
      </c>
      <c r="F10" s="33">
        <v>662794.02521604649</v>
      </c>
      <c r="G10" s="33">
        <v>662766.29047394358</v>
      </c>
      <c r="H10" s="33">
        <v>663702.65047394368</v>
      </c>
      <c r="I10" s="33">
        <v>661504.80547394371</v>
      </c>
      <c r="J10" s="33">
        <v>661855.94047394348</v>
      </c>
      <c r="K10" s="33">
        <v>665654.93551883614</v>
      </c>
      <c r="L10" s="33">
        <v>662075.95951883611</v>
      </c>
      <c r="M10" s="33">
        <v>663053.93551883614</v>
      </c>
      <c r="N10" s="33">
        <v>663053.93551883614</v>
      </c>
      <c r="O10" s="33">
        <v>664031.91151883616</v>
      </c>
      <c r="P10" s="33">
        <v>665791.72256372869</v>
      </c>
      <c r="Q10" s="33">
        <v>665791.72256372869</v>
      </c>
      <c r="R10" s="33">
        <v>665791.72256372869</v>
      </c>
      <c r="S10" s="33">
        <v>667551.53360862122</v>
      </c>
      <c r="T10" s="33">
        <v>667551.53360862122</v>
      </c>
      <c r="U10" s="33">
        <v>667551.53360862122</v>
      </c>
      <c r="V10" s="33">
        <f t="shared" si="1"/>
        <v>13279729.793864032</v>
      </c>
    </row>
    <row r="11" spans="1:22">
      <c r="A11" s="35" t="s">
        <v>13</v>
      </c>
      <c r="B11" s="36">
        <v>140550.75358602271</v>
      </c>
      <c r="C11" s="36">
        <v>149810.35377416544</v>
      </c>
      <c r="D11" s="36">
        <v>155278.02469762592</v>
      </c>
      <c r="E11" s="36">
        <v>173051.10828867616</v>
      </c>
      <c r="F11" s="36">
        <v>173092.45187056795</v>
      </c>
      <c r="G11" s="36">
        <v>188489.89799643203</v>
      </c>
      <c r="H11" s="36">
        <v>204634.80142166442</v>
      </c>
      <c r="I11" s="36">
        <v>219823.42374240747</v>
      </c>
      <c r="J11" s="36">
        <v>258371.89717299287</v>
      </c>
      <c r="K11" s="36">
        <v>259932.49717299285</v>
      </c>
      <c r="L11" s="36">
        <v>263988.9637097877</v>
      </c>
      <c r="M11" s="36">
        <v>270386.33024658245</v>
      </c>
      <c r="N11" s="36">
        <v>273662.49678337725</v>
      </c>
      <c r="O11" s="36">
        <v>303291.90585808776</v>
      </c>
      <c r="P11" s="36">
        <v>310689.27293603757</v>
      </c>
      <c r="Q11" s="36">
        <v>314965.44001398742</v>
      </c>
      <c r="R11" s="36">
        <v>320510.0081964265</v>
      </c>
      <c r="S11" s="36">
        <v>329728.07527437632</v>
      </c>
      <c r="T11" s="36">
        <v>352232.41493787122</v>
      </c>
      <c r="U11" s="36">
        <v>356654.93506113521</v>
      </c>
      <c r="V11" s="36">
        <f t="shared" si="1"/>
        <v>5019145.0527412184</v>
      </c>
    </row>
    <row r="12" spans="1:22">
      <c r="A12" s="37" t="s">
        <v>15</v>
      </c>
      <c r="B12" s="38">
        <f>SUM(B6:B11)</f>
        <v>8395921.1744707916</v>
      </c>
      <c r="C12" s="38">
        <f t="shared" ref="C12:V12" si="2">SUM(C6:C11)</f>
        <v>8895553.9203565158</v>
      </c>
      <c r="D12" s="38">
        <f t="shared" si="2"/>
        <v>9150156.2673205212</v>
      </c>
      <c r="E12" s="38">
        <f t="shared" si="2"/>
        <v>9558720.436483942</v>
      </c>
      <c r="F12" s="38">
        <f t="shared" si="2"/>
        <v>9399339.5982958488</v>
      </c>
      <c r="G12" s="38">
        <f t="shared" si="2"/>
        <v>8912896.3518774919</v>
      </c>
      <c r="H12" s="38">
        <f t="shared" si="2"/>
        <v>8459604.8338698167</v>
      </c>
      <c r="I12" s="38">
        <f t="shared" si="2"/>
        <v>8070301.0415810179</v>
      </c>
      <c r="J12" s="38">
        <f t="shared" si="2"/>
        <v>8282206.5555852093</v>
      </c>
      <c r="K12" s="38">
        <f t="shared" si="2"/>
        <v>8282270.4990154151</v>
      </c>
      <c r="L12" s="38">
        <f t="shared" si="2"/>
        <v>8271733.4548846064</v>
      </c>
      <c r="M12" s="38">
        <f t="shared" si="2"/>
        <v>8269052.6414608583</v>
      </c>
      <c r="N12" s="38">
        <f t="shared" si="2"/>
        <v>8269684.6561583113</v>
      </c>
      <c r="O12" s="38">
        <f t="shared" si="2"/>
        <v>8800764.82093703</v>
      </c>
      <c r="P12" s="38">
        <f t="shared" si="2"/>
        <v>8808546.0606445707</v>
      </c>
      <c r="Q12" s="38">
        <f t="shared" si="2"/>
        <v>8790028.2241783682</v>
      </c>
      <c r="R12" s="38">
        <f t="shared" si="2"/>
        <v>8786737.7283852268</v>
      </c>
      <c r="S12" s="38">
        <f t="shared" si="2"/>
        <v>8807264.6548924297</v>
      </c>
      <c r="T12" s="38">
        <f t="shared" si="2"/>
        <v>9131667.357652057</v>
      </c>
      <c r="U12" s="38">
        <f t="shared" si="2"/>
        <v>9148702.7642396614</v>
      </c>
      <c r="V12" s="38">
        <f t="shared" si="2"/>
        <v>174491153.04228973</v>
      </c>
    </row>
    <row r="13" spans="1:22">
      <c r="A13" s="31"/>
      <c r="B13" s="33"/>
      <c r="C13" s="33"/>
      <c r="D13" s="33"/>
      <c r="E13" s="33"/>
      <c r="F13" s="33"/>
      <c r="G13" s="33"/>
      <c r="H13" s="33"/>
      <c r="I13" s="33"/>
      <c r="J13" s="33"/>
      <c r="K13" s="33"/>
      <c r="L13" s="33"/>
      <c r="M13" s="33"/>
      <c r="N13" s="33"/>
      <c r="O13" s="33"/>
      <c r="P13" s="33"/>
      <c r="Q13" s="33"/>
      <c r="R13" s="33"/>
      <c r="S13" s="33"/>
      <c r="T13" s="33"/>
      <c r="U13" s="33"/>
      <c r="V13" s="33"/>
    </row>
    <row r="14" spans="1:22">
      <c r="A14" s="53" t="s">
        <v>3</v>
      </c>
      <c r="B14" s="33"/>
      <c r="C14" s="33"/>
      <c r="D14" s="33"/>
      <c r="E14" s="33"/>
      <c r="F14" s="33"/>
      <c r="G14" s="33"/>
      <c r="H14" s="33"/>
      <c r="I14" s="33"/>
      <c r="J14" s="33"/>
      <c r="K14" s="33"/>
      <c r="L14" s="33"/>
      <c r="M14" s="33"/>
      <c r="N14" s="33"/>
      <c r="O14" s="33"/>
      <c r="P14" s="33"/>
      <c r="Q14" s="33"/>
      <c r="R14" s="33"/>
      <c r="S14" s="33"/>
      <c r="T14" s="33"/>
      <c r="U14" s="33"/>
      <c r="V14" s="33"/>
    </row>
    <row r="15" spans="1:22">
      <c r="A15" s="35" t="s">
        <v>7</v>
      </c>
      <c r="B15" s="33">
        <v>1488991.2195158722</v>
      </c>
      <c r="C15" s="33">
        <v>1328212.1245092668</v>
      </c>
      <c r="D15" s="33">
        <v>1203057.3349764852</v>
      </c>
      <c r="E15" s="33">
        <v>1051136.7187425464</v>
      </c>
      <c r="F15" s="33">
        <v>1011173.644853028</v>
      </c>
      <c r="G15" s="33">
        <v>994492.80540521652</v>
      </c>
      <c r="H15" s="33">
        <v>1001931.4851511946</v>
      </c>
      <c r="I15" s="33">
        <v>961422.96337791986</v>
      </c>
      <c r="J15" s="33">
        <v>879959.42849466321</v>
      </c>
      <c r="K15" s="33">
        <v>869672.73294229223</v>
      </c>
      <c r="L15" s="33">
        <v>871824.32271591458</v>
      </c>
      <c r="M15" s="33">
        <v>874824.62937932741</v>
      </c>
      <c r="N15" s="33">
        <v>880486.57730290899</v>
      </c>
      <c r="O15" s="33">
        <v>872282.79312862316</v>
      </c>
      <c r="P15" s="33">
        <v>860030.43591149687</v>
      </c>
      <c r="Q15" s="33">
        <v>862690.27815852629</v>
      </c>
      <c r="R15" s="33">
        <v>863958.93499801366</v>
      </c>
      <c r="S15" s="33">
        <v>866556.397528072</v>
      </c>
      <c r="T15" s="33">
        <v>863089.60424766527</v>
      </c>
      <c r="U15" s="33">
        <v>855590.96079725411</v>
      </c>
      <c r="V15" s="33">
        <f>SUM(B15:U15)</f>
        <v>19461385.392136291</v>
      </c>
    </row>
    <row r="16" spans="1:22">
      <c r="A16" s="35" t="s">
        <v>6</v>
      </c>
      <c r="B16" s="33">
        <v>6089924.2533044033</v>
      </c>
      <c r="C16" s="33">
        <v>5609399.7852639211</v>
      </c>
      <c r="D16" s="33">
        <v>5286935.7020258866</v>
      </c>
      <c r="E16" s="33">
        <v>5074187.3637443911</v>
      </c>
      <c r="F16" s="33">
        <v>4855905.4105512612</v>
      </c>
      <c r="G16" s="33">
        <v>4853077.1085490547</v>
      </c>
      <c r="H16" s="33">
        <v>4797125.1024902975</v>
      </c>
      <c r="I16" s="33">
        <v>4486029.4660041695</v>
      </c>
      <c r="J16" s="33">
        <v>4181018.6453225329</v>
      </c>
      <c r="K16" s="33">
        <v>4128939.1565883746</v>
      </c>
      <c r="L16" s="33">
        <v>4117217.2659383817</v>
      </c>
      <c r="M16" s="33">
        <v>4104148.4706934905</v>
      </c>
      <c r="N16" s="33">
        <v>4088565.0491285431</v>
      </c>
      <c r="O16" s="33">
        <v>3768003.0754154744</v>
      </c>
      <c r="P16" s="33">
        <v>3704919.4014645312</v>
      </c>
      <c r="Q16" s="33">
        <v>3690488.9266692088</v>
      </c>
      <c r="R16" s="33">
        <v>3675652.836330303</v>
      </c>
      <c r="S16" s="33">
        <v>3659374.9950739173</v>
      </c>
      <c r="T16" s="33">
        <v>3446327.1010726234</v>
      </c>
      <c r="U16" s="33">
        <v>3402540.3710564966</v>
      </c>
      <c r="V16" s="33">
        <f>SUM(B16:U16)</f>
        <v>87019779.486687273</v>
      </c>
    </row>
    <row r="17" spans="1:22">
      <c r="A17" s="35" t="s">
        <v>5</v>
      </c>
      <c r="B17" s="36">
        <v>8050751.089020323</v>
      </c>
      <c r="C17" s="36">
        <v>7992573.7994017657</v>
      </c>
      <c r="D17" s="36">
        <v>8081984.0435318472</v>
      </c>
      <c r="E17" s="36">
        <v>7702601.9160048431</v>
      </c>
      <c r="F17" s="36">
        <v>7864910.8118556971</v>
      </c>
      <c r="G17" s="36">
        <v>7868559.7306691566</v>
      </c>
      <c r="H17" s="36">
        <v>7908042.1562213264</v>
      </c>
      <c r="I17" s="36">
        <v>8091593.3195777461</v>
      </c>
      <c r="J17" s="36">
        <v>7677947.4658869635</v>
      </c>
      <c r="K17" s="36">
        <v>7755335.1980307428</v>
      </c>
      <c r="L17" s="36">
        <v>7750841.0094419662</v>
      </c>
      <c r="M17" s="36">
        <v>7745359.1229744283</v>
      </c>
      <c r="N17" s="36">
        <v>7737258.3947302457</v>
      </c>
      <c r="O17" s="36">
        <v>7263293.6045898711</v>
      </c>
      <c r="P17" s="36">
        <v>7303057.0965756085</v>
      </c>
      <c r="Q17" s="36">
        <v>7296622.993565985</v>
      </c>
      <c r="R17" s="36">
        <v>7291503.8520268509</v>
      </c>
      <c r="S17" s="36">
        <v>7284734.0247599026</v>
      </c>
      <c r="T17" s="36">
        <v>7015040.7921173489</v>
      </c>
      <c r="U17" s="36">
        <v>7036074.4324057614</v>
      </c>
      <c r="V17" s="36">
        <f>SUM(B17:U17)</f>
        <v>152718084.85338837</v>
      </c>
    </row>
    <row r="18" spans="1:22">
      <c r="A18" s="37" t="s">
        <v>16</v>
      </c>
      <c r="B18" s="38">
        <f>SUM(B15:B17)</f>
        <v>15629666.561840598</v>
      </c>
      <c r="C18" s="38">
        <f t="shared" ref="C18:V18" si="3">SUM(C15:C17)</f>
        <v>14930185.709174953</v>
      </c>
      <c r="D18" s="38">
        <f t="shared" si="3"/>
        <v>14571977.08053422</v>
      </c>
      <c r="E18" s="38">
        <f t="shared" si="3"/>
        <v>13827925.998491781</v>
      </c>
      <c r="F18" s="38">
        <f t="shared" si="3"/>
        <v>13731989.867259987</v>
      </c>
      <c r="G18" s="38">
        <f t="shared" si="3"/>
        <v>13716129.644623429</v>
      </c>
      <c r="H18" s="38">
        <f t="shared" si="3"/>
        <v>13707098.743862819</v>
      </c>
      <c r="I18" s="38">
        <f t="shared" si="3"/>
        <v>13539045.748959836</v>
      </c>
      <c r="J18" s="38">
        <f t="shared" si="3"/>
        <v>12738925.539704159</v>
      </c>
      <c r="K18" s="38">
        <f t="shared" si="3"/>
        <v>12753947.08756141</v>
      </c>
      <c r="L18" s="38">
        <f t="shared" si="3"/>
        <v>12739882.598096263</v>
      </c>
      <c r="M18" s="38">
        <f t="shared" si="3"/>
        <v>12724332.223047245</v>
      </c>
      <c r="N18" s="38">
        <f t="shared" si="3"/>
        <v>12706310.021161698</v>
      </c>
      <c r="O18" s="38">
        <f t="shared" si="3"/>
        <v>11903579.47313397</v>
      </c>
      <c r="P18" s="38">
        <f t="shared" si="3"/>
        <v>11868006.933951637</v>
      </c>
      <c r="Q18" s="38">
        <f t="shared" si="3"/>
        <v>11849802.198393721</v>
      </c>
      <c r="R18" s="38">
        <f t="shared" si="3"/>
        <v>11831115.623355169</v>
      </c>
      <c r="S18" s="38">
        <f t="shared" si="3"/>
        <v>11810665.417361893</v>
      </c>
      <c r="T18" s="38">
        <f t="shared" si="3"/>
        <v>11324457.497437637</v>
      </c>
      <c r="U18" s="38">
        <f t="shared" si="3"/>
        <v>11294205.764259513</v>
      </c>
      <c r="V18" s="38">
        <f t="shared" si="3"/>
        <v>259199249.73221195</v>
      </c>
    </row>
    <row r="19" spans="1:22">
      <c r="A19" s="37"/>
      <c r="B19" s="33"/>
      <c r="C19" s="33"/>
      <c r="D19" s="33"/>
      <c r="E19" s="33"/>
      <c r="F19" s="33"/>
      <c r="G19" s="33"/>
      <c r="H19" s="33"/>
      <c r="I19" s="33"/>
      <c r="J19" s="33"/>
      <c r="K19" s="33"/>
      <c r="L19" s="33"/>
      <c r="M19" s="33"/>
      <c r="N19" s="33"/>
      <c r="O19" s="33"/>
      <c r="P19" s="33"/>
      <c r="Q19" s="33"/>
      <c r="R19" s="33"/>
      <c r="S19" s="33"/>
      <c r="T19" s="33"/>
      <c r="U19" s="33"/>
      <c r="V19" s="33"/>
    </row>
    <row r="20" spans="1:22" s="4" customFormat="1">
      <c r="A20" s="30" t="s">
        <v>4</v>
      </c>
      <c r="B20" s="38">
        <f>B12+B18</f>
        <v>24025587.736311391</v>
      </c>
      <c r="C20" s="38">
        <f t="shared" ref="C20:V20" si="4">C12+C18</f>
        <v>23825739.629531469</v>
      </c>
      <c r="D20" s="38">
        <f t="shared" si="4"/>
        <v>23722133.347854741</v>
      </c>
      <c r="E20" s="38">
        <f t="shared" si="4"/>
        <v>23386646.434975721</v>
      </c>
      <c r="F20" s="38">
        <f t="shared" si="4"/>
        <v>23131329.465555836</v>
      </c>
      <c r="G20" s="38">
        <f t="shared" si="4"/>
        <v>22629025.996500921</v>
      </c>
      <c r="H20" s="38">
        <f t="shared" si="4"/>
        <v>22166703.577732638</v>
      </c>
      <c r="I20" s="38">
        <f t="shared" si="4"/>
        <v>21609346.790540852</v>
      </c>
      <c r="J20" s="38">
        <f t="shared" si="4"/>
        <v>21021132.095289368</v>
      </c>
      <c r="K20" s="38">
        <f t="shared" si="4"/>
        <v>21036217.586576827</v>
      </c>
      <c r="L20" s="38">
        <f t="shared" si="4"/>
        <v>21011616.05298087</v>
      </c>
      <c r="M20" s="38">
        <f t="shared" si="4"/>
        <v>20993384.864508104</v>
      </c>
      <c r="N20" s="38">
        <f t="shared" si="4"/>
        <v>20975994.677320011</v>
      </c>
      <c r="O20" s="38">
        <f t="shared" si="4"/>
        <v>20704344.294071</v>
      </c>
      <c r="P20" s="38">
        <f t="shared" si="4"/>
        <v>20676552.994596206</v>
      </c>
      <c r="Q20" s="38">
        <f t="shared" si="4"/>
        <v>20639830.422572091</v>
      </c>
      <c r="R20" s="38">
        <f t="shared" si="4"/>
        <v>20617853.351740398</v>
      </c>
      <c r="S20" s="38">
        <f t="shared" si="4"/>
        <v>20617930.072254322</v>
      </c>
      <c r="T20" s="38">
        <f t="shared" si="4"/>
        <v>20456124.855089694</v>
      </c>
      <c r="U20" s="38">
        <f t="shared" si="4"/>
        <v>20442908.528499175</v>
      </c>
      <c r="V20" s="38">
        <f t="shared" si="4"/>
        <v>433690402.77450168</v>
      </c>
    </row>
    <row r="21" spans="1:22">
      <c r="A21" s="1"/>
    </row>
    <row r="22" spans="1:22" s="6" customFormat="1">
      <c r="A22" s="17" t="s">
        <v>35</v>
      </c>
      <c r="B22" s="18">
        <v>2015</v>
      </c>
      <c r="C22" s="18">
        <f>B22+1</f>
        <v>2016</v>
      </c>
      <c r="D22" s="18">
        <f t="shared" ref="D22" si="5">C22+1</f>
        <v>2017</v>
      </c>
      <c r="E22" s="18">
        <f t="shared" ref="E22" si="6">D22+1</f>
        <v>2018</v>
      </c>
      <c r="F22" s="18">
        <f t="shared" ref="F22" si="7">E22+1</f>
        <v>2019</v>
      </c>
      <c r="G22" s="18">
        <f t="shared" ref="G22" si="8">F22+1</f>
        <v>2020</v>
      </c>
      <c r="H22" s="18">
        <f t="shared" ref="H22" si="9">G22+1</f>
        <v>2021</v>
      </c>
      <c r="I22" s="18">
        <f t="shared" ref="I22" si="10">H22+1</f>
        <v>2022</v>
      </c>
      <c r="J22" s="18">
        <f t="shared" ref="J22" si="11">I22+1</f>
        <v>2023</v>
      </c>
      <c r="K22" s="18">
        <f t="shared" ref="K22" si="12">J22+1</f>
        <v>2024</v>
      </c>
      <c r="L22" s="18">
        <f t="shared" ref="L22" si="13">K22+1</f>
        <v>2025</v>
      </c>
      <c r="M22" s="18">
        <f t="shared" ref="M22" si="14">L22+1</f>
        <v>2026</v>
      </c>
      <c r="N22" s="18">
        <f t="shared" ref="N22" si="15">M22+1</f>
        <v>2027</v>
      </c>
      <c r="O22" s="18">
        <f t="shared" ref="O22" si="16">N22+1</f>
        <v>2028</v>
      </c>
      <c r="P22" s="18">
        <f t="shared" ref="P22" si="17">O22+1</f>
        <v>2029</v>
      </c>
      <c r="Q22" s="18">
        <f t="shared" ref="Q22" si="18">P22+1</f>
        <v>2030</v>
      </c>
      <c r="R22" s="18">
        <f t="shared" ref="R22" si="19">Q22+1</f>
        <v>2031</v>
      </c>
      <c r="S22" s="18">
        <f t="shared" ref="S22" si="20">R22+1</f>
        <v>2032</v>
      </c>
      <c r="T22" s="18">
        <f t="shared" ref="T22" si="21">S22+1</f>
        <v>2033</v>
      </c>
      <c r="U22" s="18">
        <f t="shared" ref="U22" si="22">T22+1</f>
        <v>2034</v>
      </c>
      <c r="V22" s="18" t="s">
        <v>14</v>
      </c>
    </row>
    <row r="23" spans="1:22">
      <c r="A23" s="51" t="s">
        <v>2</v>
      </c>
      <c r="B23" s="20"/>
      <c r="C23" s="20"/>
      <c r="D23" s="20"/>
      <c r="E23" s="20"/>
      <c r="F23" s="20"/>
      <c r="G23" s="20"/>
      <c r="H23" s="20"/>
      <c r="I23" s="20"/>
      <c r="J23" s="20"/>
      <c r="K23" s="20"/>
      <c r="L23" s="20"/>
      <c r="M23" s="20"/>
      <c r="N23" s="20"/>
      <c r="O23" s="20"/>
      <c r="P23" s="20"/>
      <c r="Q23" s="20"/>
      <c r="R23" s="20"/>
      <c r="S23" s="20"/>
      <c r="T23" s="20"/>
      <c r="U23" s="20"/>
      <c r="V23" s="20"/>
    </row>
    <row r="24" spans="1:22">
      <c r="A24" s="21" t="s">
        <v>8</v>
      </c>
      <c r="B24" s="22">
        <v>1866792.8555108488</v>
      </c>
      <c r="C24" s="22">
        <v>2015069.8647152658</v>
      </c>
      <c r="D24" s="22">
        <v>2089604.4816402558</v>
      </c>
      <c r="E24" s="22">
        <v>2318272.325480036</v>
      </c>
      <c r="F24" s="22">
        <v>2320949.7339061094</v>
      </c>
      <c r="G24" s="22">
        <v>2342474.6687623616</v>
      </c>
      <c r="H24" s="22">
        <v>2362501.6618999396</v>
      </c>
      <c r="I24" s="22">
        <v>2381350.3622575905</v>
      </c>
      <c r="J24" s="22">
        <v>2631100.5602989052</v>
      </c>
      <c r="K24" s="22">
        <v>2631100.5602989052</v>
      </c>
      <c r="L24" s="22">
        <v>2643541.2181712301</v>
      </c>
      <c r="M24" s="22">
        <v>2655982.2614551494</v>
      </c>
      <c r="N24" s="22">
        <v>2668423.689693803</v>
      </c>
      <c r="O24" s="22">
        <v>2917036.3221711698</v>
      </c>
      <c r="P24" s="22">
        <v>2930575.2057380453</v>
      </c>
      <c r="Q24" s="22">
        <v>2944114.5111255264</v>
      </c>
      <c r="R24" s="22">
        <v>2957654.2378276517</v>
      </c>
      <c r="S24" s="22">
        <v>2971194.3853392694</v>
      </c>
      <c r="T24" s="22">
        <v>3145998.2657759646</v>
      </c>
      <c r="U24" s="22">
        <v>3160271.1191765917</v>
      </c>
      <c r="V24" s="22">
        <f>SUM(B24:U24)</f>
        <v>51954008.291244611</v>
      </c>
    </row>
    <row r="25" spans="1:22">
      <c r="A25" s="23" t="s">
        <v>9</v>
      </c>
      <c r="B25" s="22">
        <v>1513267.0365016647</v>
      </c>
      <c r="C25" s="22">
        <v>1629040.7452290992</v>
      </c>
      <c r="D25" s="22">
        <v>1688430.9551776759</v>
      </c>
      <c r="E25" s="22">
        <v>2188133.49526477</v>
      </c>
      <c r="F25" s="22">
        <v>2346547.2770725898</v>
      </c>
      <c r="G25" s="22">
        <v>2551807.3898884594</v>
      </c>
      <c r="H25" s="22">
        <v>2712891.858389636</v>
      </c>
      <c r="I25" s="22">
        <v>2812847.3025220605</v>
      </c>
      <c r="J25" s="22">
        <v>3138493.9761838606</v>
      </c>
      <c r="K25" s="22">
        <v>3140054.5761838593</v>
      </c>
      <c r="L25" s="22">
        <v>3073601.9704616293</v>
      </c>
      <c r="M25" s="22">
        <v>2999604.0471864105</v>
      </c>
      <c r="N25" s="22">
        <v>2927164.3092239294</v>
      </c>
      <c r="O25" s="22">
        <v>3114214.6341884946</v>
      </c>
      <c r="P25" s="22">
        <v>3031525.0780829992</v>
      </c>
      <c r="Q25" s="22">
        <v>2963138.3721362138</v>
      </c>
      <c r="R25" s="22">
        <v>2879143.0195265398</v>
      </c>
      <c r="S25" s="22">
        <v>2796445.5234272978</v>
      </c>
      <c r="T25" s="22">
        <v>2884521.4125143946</v>
      </c>
      <c r="U25" s="22">
        <v>2790825.3781401431</v>
      </c>
      <c r="V25" s="22">
        <f t="shared" ref="V25:V29" si="23">SUM(B25:U25)</f>
        <v>53181698.357301742</v>
      </c>
    </row>
    <row r="26" spans="1:22">
      <c r="A26" s="23" t="s">
        <v>10</v>
      </c>
      <c r="B26" s="22">
        <v>644655.6595813249</v>
      </c>
      <c r="C26" s="22">
        <v>712879.53452431515</v>
      </c>
      <c r="D26" s="22">
        <v>743009.69878098357</v>
      </c>
      <c r="E26" s="22">
        <v>838658.44964648003</v>
      </c>
      <c r="F26" s="22">
        <v>835732.11302312696</v>
      </c>
      <c r="G26" s="22">
        <v>1078854.555419751</v>
      </c>
      <c r="H26" s="22">
        <v>1337807.1678366959</v>
      </c>
      <c r="I26" s="22">
        <v>1589580.2619901821</v>
      </c>
      <c r="J26" s="22">
        <v>2032127.1878384962</v>
      </c>
      <c r="K26" s="22">
        <v>2031700.6394531815</v>
      </c>
      <c r="L26" s="22">
        <v>2089479.117430384</v>
      </c>
      <c r="M26" s="22">
        <v>2152304.3165265326</v>
      </c>
      <c r="N26" s="22">
        <v>2210861.5089664082</v>
      </c>
      <c r="O26" s="22">
        <v>2481948.4292535638</v>
      </c>
      <c r="P26" s="22">
        <v>2544590.8953057625</v>
      </c>
      <c r="Q26" s="22">
        <v>2614348.108625391</v>
      </c>
      <c r="R26" s="22">
        <v>2685754.5618976178</v>
      </c>
      <c r="S26" s="22">
        <v>2737478.5797178503</v>
      </c>
      <c r="T26" s="22">
        <v>2971588.778795891</v>
      </c>
      <c r="U26" s="22">
        <v>3030090.91805303</v>
      </c>
      <c r="V26" s="22">
        <f t="shared" si="23"/>
        <v>37363450.482666969</v>
      </c>
    </row>
    <row r="27" spans="1:22">
      <c r="A27" s="23" t="s">
        <v>11</v>
      </c>
      <c r="B27" s="22">
        <v>981798.36370266147</v>
      </c>
      <c r="C27" s="22">
        <v>978020.42025162128</v>
      </c>
      <c r="D27" s="22">
        <v>973355.82276594848</v>
      </c>
      <c r="E27" s="22">
        <v>981971.59472578275</v>
      </c>
      <c r="F27" s="22">
        <v>982727.83746539091</v>
      </c>
      <c r="G27" s="22">
        <v>985785.28503534803</v>
      </c>
      <c r="H27" s="22">
        <v>987767.39261026203</v>
      </c>
      <c r="I27" s="22">
        <v>991570.94359920779</v>
      </c>
      <c r="J27" s="22">
        <v>988633.7543739212</v>
      </c>
      <c r="K27" s="22">
        <v>992795.35437392129</v>
      </c>
      <c r="L27" s="22">
        <v>992812.1972516363</v>
      </c>
      <c r="M27" s="22">
        <v>994368.81881390815</v>
      </c>
      <c r="N27" s="22">
        <v>991222.81907652039</v>
      </c>
      <c r="O27" s="22">
        <v>989887.78330830962</v>
      </c>
      <c r="P27" s="22">
        <v>989904.77429931681</v>
      </c>
      <c r="Q27" s="22">
        <v>989921.75169811514</v>
      </c>
      <c r="R27" s="22">
        <v>989938.71552100789</v>
      </c>
      <c r="S27" s="22">
        <v>989955.66578427248</v>
      </c>
      <c r="T27" s="22">
        <v>990099.89975666022</v>
      </c>
      <c r="U27" s="22">
        <v>990116.90514060017</v>
      </c>
      <c r="V27" s="22">
        <f t="shared" si="23"/>
        <v>19752656.099554416</v>
      </c>
    </row>
    <row r="28" spans="1:22">
      <c r="A28" s="24" t="s">
        <v>12</v>
      </c>
      <c r="B28" s="22">
        <v>722813.13483279035</v>
      </c>
      <c r="C28" s="22">
        <v>719543.97198389773</v>
      </c>
      <c r="D28" s="22">
        <v>720342.66726311436</v>
      </c>
      <c r="E28" s="22">
        <v>722609.94709220948</v>
      </c>
      <c r="F28" s="22">
        <v>722963.9356148201</v>
      </c>
      <c r="G28" s="22">
        <v>725320.89795314288</v>
      </c>
      <c r="H28" s="22">
        <v>726225.22901240888</v>
      </c>
      <c r="I28" s="22">
        <v>729881.65413413302</v>
      </c>
      <c r="J28" s="22">
        <v>730812.9722577061</v>
      </c>
      <c r="K28" s="22">
        <v>727013.97721281357</v>
      </c>
      <c r="L28" s="22">
        <v>730605.34279063088</v>
      </c>
      <c r="M28" s="22">
        <v>729639.74657364225</v>
      </c>
      <c r="N28" s="22">
        <v>729652.11657345807</v>
      </c>
      <c r="O28" s="22">
        <v>728732.92086461443</v>
      </c>
      <c r="P28" s="22">
        <v>726985.60834929859</v>
      </c>
      <c r="Q28" s="22">
        <v>726998.09688048111</v>
      </c>
      <c r="R28" s="22">
        <v>727010.57542526221</v>
      </c>
      <c r="S28" s="22">
        <v>725263.23295072303</v>
      </c>
      <c r="T28" s="22">
        <v>725369.33109232562</v>
      </c>
      <c r="U28" s="22">
        <v>725381.84020930692</v>
      </c>
      <c r="V28" s="22">
        <f t="shared" si="23"/>
        <v>14523167.199066779</v>
      </c>
    </row>
    <row r="29" spans="1:22">
      <c r="A29" s="24" t="s">
        <v>13</v>
      </c>
      <c r="B29" s="25">
        <v>101829.56477491639</v>
      </c>
      <c r="C29" s="25">
        <v>111891.54293928319</v>
      </c>
      <c r="D29" s="25">
        <v>116100.10705149884</v>
      </c>
      <c r="E29" s="25">
        <v>127633.75130677655</v>
      </c>
      <c r="F29" s="25">
        <v>127739.50462211337</v>
      </c>
      <c r="G29" s="25">
        <v>138860.85106344306</v>
      </c>
      <c r="H29" s="25">
        <v>149201.8563812405</v>
      </c>
      <c r="I29" s="25">
        <v>160468.43391580888</v>
      </c>
      <c r="J29" s="25">
        <v>187624.99346190164</v>
      </c>
      <c r="K29" s="25">
        <v>186064.39346190158</v>
      </c>
      <c r="L29" s="25">
        <v>189226.69900988048</v>
      </c>
      <c r="M29" s="25">
        <v>190048.16798349677</v>
      </c>
      <c r="N29" s="25">
        <v>193990.90030756674</v>
      </c>
      <c r="O29" s="25">
        <v>213415.08927681536</v>
      </c>
      <c r="P29" s="25">
        <v>213872.37758000346</v>
      </c>
      <c r="Q29" s="25">
        <v>217450.93535590239</v>
      </c>
      <c r="R29" s="25">
        <v>219761.1614166926</v>
      </c>
      <c r="S29" s="25">
        <v>218397.95788815542</v>
      </c>
      <c r="T29" s="25">
        <v>233754.95441270393</v>
      </c>
      <c r="U29" s="25">
        <v>237611.07504066505</v>
      </c>
      <c r="V29" s="25">
        <f t="shared" si="23"/>
        <v>3534944.3172507654</v>
      </c>
    </row>
    <row r="30" spans="1:22">
      <c r="A30" s="26" t="s">
        <v>15</v>
      </c>
      <c r="B30" s="27">
        <f>SUM(B24:B29)</f>
        <v>5831156.6149042062</v>
      </c>
      <c r="C30" s="27">
        <f t="shared" ref="C30" si="24">SUM(C24:C29)</f>
        <v>6166446.0796434814</v>
      </c>
      <c r="D30" s="27">
        <f t="shared" ref="D30" si="25">SUM(D24:D29)</f>
        <v>6330843.732679477</v>
      </c>
      <c r="E30" s="27">
        <f t="shared" ref="E30" si="26">SUM(E24:E29)</f>
        <v>7177279.5635160552</v>
      </c>
      <c r="F30" s="27">
        <f t="shared" ref="F30" si="27">SUM(F24:F29)</f>
        <v>7336660.4017041493</v>
      </c>
      <c r="G30" s="27">
        <f t="shared" ref="G30" si="28">SUM(G24:G29)</f>
        <v>7823103.6481225062</v>
      </c>
      <c r="H30" s="27">
        <f t="shared" ref="H30" si="29">SUM(H24:H29)</f>
        <v>8276395.1661301833</v>
      </c>
      <c r="I30" s="27">
        <f t="shared" ref="I30" si="30">SUM(I24:I29)</f>
        <v>8665698.958418984</v>
      </c>
      <c r="J30" s="27">
        <f t="shared" ref="J30" si="31">SUM(J24:J29)</f>
        <v>9708793.4444147907</v>
      </c>
      <c r="K30" s="27">
        <f t="shared" ref="K30" si="32">SUM(K24:K29)</f>
        <v>9708729.5009845812</v>
      </c>
      <c r="L30" s="27">
        <f t="shared" ref="L30" si="33">SUM(L24:L29)</f>
        <v>9719266.5451153908</v>
      </c>
      <c r="M30" s="27">
        <f t="shared" ref="M30" si="34">SUM(M24:M29)</f>
        <v>9721947.3585391399</v>
      </c>
      <c r="N30" s="27">
        <f t="shared" ref="N30" si="35">SUM(N24:N29)</f>
        <v>9721315.343841685</v>
      </c>
      <c r="O30" s="27">
        <f t="shared" ref="O30" si="36">SUM(O24:O29)</f>
        <v>10445235.179062966</v>
      </c>
      <c r="P30" s="27">
        <f t="shared" ref="P30" si="37">SUM(P24:P29)</f>
        <v>10437453.939355426</v>
      </c>
      <c r="Q30" s="27">
        <f t="shared" ref="Q30" si="38">SUM(Q24:Q29)</f>
        <v>10455971.77582163</v>
      </c>
      <c r="R30" s="27">
        <f t="shared" ref="R30" si="39">SUM(R24:R29)</f>
        <v>10459262.271614771</v>
      </c>
      <c r="S30" s="27">
        <f t="shared" ref="S30" si="40">SUM(S24:S29)</f>
        <v>10438735.34510757</v>
      </c>
      <c r="T30" s="27">
        <f t="shared" ref="T30" si="41">SUM(T24:T29)</f>
        <v>10951332.642347941</v>
      </c>
      <c r="U30" s="27">
        <f t="shared" ref="U30" si="42">SUM(U24:U29)</f>
        <v>10934297.235760337</v>
      </c>
      <c r="V30" s="27">
        <f t="shared" ref="V30" si="43">SUM(V24:V29)</f>
        <v>180309924.74708527</v>
      </c>
    </row>
    <row r="31" spans="1:22">
      <c r="A31" s="20"/>
      <c r="B31" s="22"/>
      <c r="C31" s="22"/>
      <c r="D31" s="22"/>
      <c r="E31" s="22"/>
      <c r="F31" s="22"/>
      <c r="G31" s="22"/>
      <c r="H31" s="22"/>
      <c r="I31" s="22"/>
      <c r="J31" s="22"/>
      <c r="K31" s="22"/>
      <c r="L31" s="22"/>
      <c r="M31" s="22"/>
      <c r="N31" s="22"/>
      <c r="O31" s="22"/>
      <c r="P31" s="22"/>
      <c r="Q31" s="22"/>
      <c r="R31" s="22"/>
      <c r="S31" s="22"/>
      <c r="T31" s="22"/>
      <c r="U31" s="22"/>
      <c r="V31" s="22"/>
    </row>
    <row r="32" spans="1:22">
      <c r="A32" s="51" t="s">
        <v>3</v>
      </c>
      <c r="B32" s="22"/>
      <c r="C32" s="22"/>
      <c r="D32" s="22"/>
      <c r="E32" s="22"/>
      <c r="F32" s="22"/>
      <c r="G32" s="22"/>
      <c r="H32" s="22"/>
      <c r="I32" s="22"/>
      <c r="J32" s="22"/>
      <c r="K32" s="22"/>
      <c r="L32" s="22"/>
      <c r="M32" s="22"/>
      <c r="N32" s="22"/>
      <c r="O32" s="22"/>
      <c r="P32" s="22"/>
      <c r="Q32" s="22"/>
      <c r="R32" s="22"/>
      <c r="S32" s="22"/>
      <c r="T32" s="22"/>
      <c r="U32" s="22"/>
      <c r="V32" s="22"/>
    </row>
    <row r="33" spans="1:22">
      <c r="A33" s="24" t="s">
        <v>7</v>
      </c>
      <c r="B33" s="22">
        <v>1920798.6731754751</v>
      </c>
      <c r="C33" s="22">
        <v>1713393.6406169543</v>
      </c>
      <c r="D33" s="22">
        <v>1551943.9621196659</v>
      </c>
      <c r="E33" s="22">
        <v>1355966.3671778848</v>
      </c>
      <c r="F33" s="22">
        <v>1304414.0018604062</v>
      </c>
      <c r="G33" s="22">
        <v>1282895.7189727293</v>
      </c>
      <c r="H33" s="22">
        <v>1292491.6158450411</v>
      </c>
      <c r="I33" s="22">
        <v>1240235.6227575166</v>
      </c>
      <c r="J33" s="22">
        <v>1135147.6627581157</v>
      </c>
      <c r="K33" s="22">
        <v>1121877.8254955569</v>
      </c>
      <c r="L33" s="22">
        <v>1124653.3763035298</v>
      </c>
      <c r="M33" s="22">
        <v>1128523.7718993323</v>
      </c>
      <c r="N33" s="22">
        <v>1135827.6847207525</v>
      </c>
      <c r="O33" s="22">
        <v>1125244.8031359238</v>
      </c>
      <c r="P33" s="22">
        <v>1109439.262325831</v>
      </c>
      <c r="Q33" s="22">
        <v>1112870.458824499</v>
      </c>
      <c r="R33" s="22">
        <v>1114507.0261474377</v>
      </c>
      <c r="S33" s="22">
        <v>1117857.752811213</v>
      </c>
      <c r="T33" s="22">
        <v>1113385.5894794883</v>
      </c>
      <c r="U33" s="22">
        <v>1103712.3394284579</v>
      </c>
      <c r="V33" s="22">
        <f>SUM(B33:U33)</f>
        <v>25105187.155855808</v>
      </c>
    </row>
    <row r="34" spans="1:22">
      <c r="A34" s="24" t="s">
        <v>6</v>
      </c>
      <c r="B34" s="22">
        <v>1157085.6081278366</v>
      </c>
      <c r="C34" s="22">
        <v>1157085.6081278366</v>
      </c>
      <c r="D34" s="22">
        <v>1157085.6081278366</v>
      </c>
      <c r="E34" s="22">
        <v>1157085.6081278366</v>
      </c>
      <c r="F34" s="22">
        <v>1157085.6081278366</v>
      </c>
      <c r="G34" s="22">
        <v>1157085.6081278366</v>
      </c>
      <c r="H34" s="22">
        <v>1157085.6081278366</v>
      </c>
      <c r="I34" s="22">
        <v>1157085.6081278366</v>
      </c>
      <c r="J34" s="22">
        <v>1157085.6081278366</v>
      </c>
      <c r="K34" s="22">
        <v>1157085.6081278366</v>
      </c>
      <c r="L34" s="22">
        <v>1157085.6081278366</v>
      </c>
      <c r="M34" s="22">
        <v>1157085.6081278366</v>
      </c>
      <c r="N34" s="22">
        <v>1157085.6081278366</v>
      </c>
      <c r="O34" s="22">
        <v>1157085.6081278366</v>
      </c>
      <c r="P34" s="22">
        <v>1157085.6081278366</v>
      </c>
      <c r="Q34" s="22">
        <v>1157085.6081278366</v>
      </c>
      <c r="R34" s="22">
        <v>1157085.6081278366</v>
      </c>
      <c r="S34" s="22">
        <v>1157085.6081278366</v>
      </c>
      <c r="T34" s="22">
        <v>1157085.6081278366</v>
      </c>
      <c r="U34" s="22">
        <v>1157085.6081278366</v>
      </c>
      <c r="V34" s="22">
        <f>SUM(B34:U34)</f>
        <v>23141712.162556726</v>
      </c>
    </row>
    <row r="35" spans="1:22">
      <c r="A35" s="24" t="s">
        <v>5</v>
      </c>
      <c r="B35" s="25">
        <v>8902013.6470431313</v>
      </c>
      <c r="C35" s="25">
        <v>8903262.1114519425</v>
      </c>
      <c r="D35" s="25">
        <v>9039992.4303770363</v>
      </c>
      <c r="E35" s="25">
        <v>8701925.7329010181</v>
      </c>
      <c r="F35" s="25">
        <v>8865025.7517368663</v>
      </c>
      <c r="G35" s="25">
        <v>8876531.1398674846</v>
      </c>
      <c r="H35" s="25">
        <v>8924661.9384244848</v>
      </c>
      <c r="I35" s="25">
        <v>9118325.7547905482</v>
      </c>
      <c r="J35" s="25">
        <v>8715173.7289187834</v>
      </c>
      <c r="K35" s="25">
        <v>8795590.5094307959</v>
      </c>
      <c r="L35" s="25">
        <v>8802209.9496378116</v>
      </c>
      <c r="M35" s="25">
        <v>8808586.6653134711</v>
      </c>
      <c r="N35" s="25">
        <v>8813008.4736766517</v>
      </c>
      <c r="O35" s="25">
        <v>8352280.5961451083</v>
      </c>
      <c r="P35" s="25">
        <v>8396038.7581481487</v>
      </c>
      <c r="Q35" s="25">
        <v>8402488.9907651842</v>
      </c>
      <c r="R35" s="25">
        <v>8410791.6975854635</v>
      </c>
      <c r="S35" s="25">
        <v>8418006.2749291454</v>
      </c>
      <c r="T35" s="25">
        <v>8162855.761536736</v>
      </c>
      <c r="U35" s="25">
        <v>8191184.1898899479</v>
      </c>
      <c r="V35" s="25">
        <f>SUM(B35:U35)</f>
        <v>173599954.10256976</v>
      </c>
    </row>
    <row r="36" spans="1:22">
      <c r="A36" s="26" t="s">
        <v>16</v>
      </c>
      <c r="B36" s="27">
        <f>SUM(B33:B35)</f>
        <v>11979897.928346444</v>
      </c>
      <c r="C36" s="27">
        <f t="shared" ref="C36" si="44">SUM(C33:C35)</f>
        <v>11773741.360196734</v>
      </c>
      <c r="D36" s="27">
        <f t="shared" ref="D36" si="45">SUM(D33:D35)</f>
        <v>11749022.000624539</v>
      </c>
      <c r="E36" s="27">
        <f t="shared" ref="E36" si="46">SUM(E33:E35)</f>
        <v>11214977.708206739</v>
      </c>
      <c r="F36" s="27">
        <f t="shared" ref="F36" si="47">SUM(F33:F35)</f>
        <v>11326525.361725109</v>
      </c>
      <c r="G36" s="27">
        <f t="shared" ref="G36" si="48">SUM(G33:G35)</f>
        <v>11316512.46696805</v>
      </c>
      <c r="H36" s="27">
        <f t="shared" ref="H36" si="49">SUM(H33:H35)</f>
        <v>11374239.162397362</v>
      </c>
      <c r="I36" s="27">
        <f t="shared" ref="I36" si="50">SUM(I33:I35)</f>
        <v>11515646.985675901</v>
      </c>
      <c r="J36" s="27">
        <f t="shared" ref="J36" si="51">SUM(J33:J35)</f>
        <v>11007406.999804735</v>
      </c>
      <c r="K36" s="27">
        <f t="shared" ref="K36" si="52">SUM(K33:K35)</f>
        <v>11074553.94305419</v>
      </c>
      <c r="L36" s="27">
        <f t="shared" ref="L36" si="53">SUM(L33:L35)</f>
        <v>11083948.934069179</v>
      </c>
      <c r="M36" s="27">
        <f t="shared" ref="M36" si="54">SUM(M33:M35)</f>
        <v>11094196.04534064</v>
      </c>
      <c r="N36" s="27">
        <f t="shared" ref="N36" si="55">SUM(N33:N35)</f>
        <v>11105921.766525241</v>
      </c>
      <c r="O36" s="27">
        <f t="shared" ref="O36" si="56">SUM(O33:O35)</f>
        <v>10634611.007408869</v>
      </c>
      <c r="P36" s="27">
        <f t="shared" ref="P36" si="57">SUM(P33:P35)</f>
        <v>10662563.628601816</v>
      </c>
      <c r="Q36" s="27">
        <f t="shared" ref="Q36" si="58">SUM(Q33:Q35)</f>
        <v>10672445.057717521</v>
      </c>
      <c r="R36" s="27">
        <f t="shared" ref="R36" si="59">SUM(R33:R35)</f>
        <v>10682384.331860738</v>
      </c>
      <c r="S36" s="27">
        <f t="shared" ref="S36" si="60">SUM(S33:S35)</f>
        <v>10692949.635868195</v>
      </c>
      <c r="T36" s="27">
        <f t="shared" ref="T36" si="61">SUM(T33:T35)</f>
        <v>10433326.959144061</v>
      </c>
      <c r="U36" s="27">
        <f t="shared" ref="U36" si="62">SUM(U33:U35)</f>
        <v>10451982.137446243</v>
      </c>
      <c r="V36" s="27">
        <f t="shared" ref="V36" si="63">SUM(V33:V35)</f>
        <v>221846853.4209823</v>
      </c>
    </row>
    <row r="37" spans="1:22">
      <c r="A37" s="26"/>
      <c r="B37" s="22"/>
      <c r="C37" s="22"/>
      <c r="D37" s="22"/>
      <c r="E37" s="22"/>
      <c r="F37" s="22"/>
      <c r="G37" s="22"/>
      <c r="H37" s="22"/>
      <c r="I37" s="22"/>
      <c r="J37" s="22"/>
      <c r="K37" s="22"/>
      <c r="L37" s="22"/>
      <c r="M37" s="22"/>
      <c r="N37" s="22"/>
      <c r="O37" s="22"/>
      <c r="P37" s="22"/>
      <c r="Q37" s="22"/>
      <c r="R37" s="22"/>
      <c r="S37" s="22"/>
      <c r="T37" s="22"/>
      <c r="U37" s="22"/>
      <c r="V37" s="22"/>
    </row>
    <row r="38" spans="1:22">
      <c r="A38" s="19" t="s">
        <v>4</v>
      </c>
      <c r="B38" s="27">
        <f>B30+B36</f>
        <v>17811054.54325065</v>
      </c>
      <c r="C38" s="27">
        <f t="shared" ref="C38:V38" si="64">C30+C36</f>
        <v>17940187.439840216</v>
      </c>
      <c r="D38" s="27">
        <f t="shared" si="64"/>
        <v>18079865.733304016</v>
      </c>
      <c r="E38" s="27">
        <f t="shared" si="64"/>
        <v>18392257.271722794</v>
      </c>
      <c r="F38" s="27">
        <f t="shared" si="64"/>
        <v>18663185.763429258</v>
      </c>
      <c r="G38" s="27">
        <f t="shared" si="64"/>
        <v>19139616.115090556</v>
      </c>
      <c r="H38" s="27">
        <f t="shared" si="64"/>
        <v>19650634.328527547</v>
      </c>
      <c r="I38" s="27">
        <f t="shared" si="64"/>
        <v>20181345.944094885</v>
      </c>
      <c r="J38" s="27">
        <f t="shared" si="64"/>
        <v>20716200.444219526</v>
      </c>
      <c r="K38" s="27">
        <f t="shared" si="64"/>
        <v>20783283.444038771</v>
      </c>
      <c r="L38" s="27">
        <f t="shared" si="64"/>
        <v>20803215.479184568</v>
      </c>
      <c r="M38" s="27">
        <f t="shared" si="64"/>
        <v>20816143.40387978</v>
      </c>
      <c r="N38" s="27">
        <f t="shared" si="64"/>
        <v>20827237.110366926</v>
      </c>
      <c r="O38" s="27">
        <f t="shared" si="64"/>
        <v>21079846.186471835</v>
      </c>
      <c r="P38" s="27">
        <f t="shared" si="64"/>
        <v>21100017.567957241</v>
      </c>
      <c r="Q38" s="27">
        <f t="shared" si="64"/>
        <v>21128416.833539151</v>
      </c>
      <c r="R38" s="27">
        <f t="shared" si="64"/>
        <v>21141646.603475511</v>
      </c>
      <c r="S38" s="27">
        <f t="shared" si="64"/>
        <v>21131684.980975766</v>
      </c>
      <c r="T38" s="27">
        <f t="shared" si="64"/>
        <v>21384659.601492003</v>
      </c>
      <c r="U38" s="27">
        <f t="shared" si="64"/>
        <v>21386279.373206578</v>
      </c>
      <c r="V38" s="27">
        <f t="shared" si="64"/>
        <v>402156778.16806757</v>
      </c>
    </row>
    <row r="40" spans="1:22">
      <c r="A40" s="39" t="s">
        <v>37</v>
      </c>
      <c r="B40" s="40">
        <v>2015</v>
      </c>
      <c r="C40" s="40">
        <f>B40+1</f>
        <v>2016</v>
      </c>
      <c r="D40" s="40">
        <f t="shared" ref="D40" si="65">C40+1</f>
        <v>2017</v>
      </c>
      <c r="E40" s="40">
        <f t="shared" ref="E40" si="66">D40+1</f>
        <v>2018</v>
      </c>
      <c r="F40" s="40">
        <f t="shared" ref="F40" si="67">E40+1</f>
        <v>2019</v>
      </c>
      <c r="G40" s="40">
        <f t="shared" ref="G40" si="68">F40+1</f>
        <v>2020</v>
      </c>
      <c r="H40" s="40">
        <f t="shared" ref="H40" si="69">G40+1</f>
        <v>2021</v>
      </c>
      <c r="I40" s="40">
        <f t="shared" ref="I40" si="70">H40+1</f>
        <v>2022</v>
      </c>
      <c r="J40" s="40">
        <f t="shared" ref="J40" si="71">I40+1</f>
        <v>2023</v>
      </c>
      <c r="K40" s="40">
        <f t="shared" ref="K40" si="72">J40+1</f>
        <v>2024</v>
      </c>
      <c r="L40" s="40">
        <f t="shared" ref="L40" si="73">K40+1</f>
        <v>2025</v>
      </c>
      <c r="M40" s="40">
        <f t="shared" ref="M40" si="74">L40+1</f>
        <v>2026</v>
      </c>
      <c r="N40" s="40">
        <f t="shared" ref="N40" si="75">M40+1</f>
        <v>2027</v>
      </c>
      <c r="O40" s="40">
        <f t="shared" ref="O40" si="76">N40+1</f>
        <v>2028</v>
      </c>
      <c r="P40" s="40">
        <f t="shared" ref="P40" si="77">O40+1</f>
        <v>2029</v>
      </c>
      <c r="Q40" s="40">
        <f t="shared" ref="Q40" si="78">P40+1</f>
        <v>2030</v>
      </c>
      <c r="R40" s="40">
        <f t="shared" ref="R40" si="79">Q40+1</f>
        <v>2031</v>
      </c>
      <c r="S40" s="40">
        <f t="shared" ref="S40" si="80">R40+1</f>
        <v>2032</v>
      </c>
      <c r="T40" s="40">
        <f t="shared" ref="T40" si="81">S40+1</f>
        <v>2033</v>
      </c>
      <c r="U40" s="40">
        <f t="shared" ref="U40" si="82">T40+1</f>
        <v>2034</v>
      </c>
      <c r="V40" s="40" t="s">
        <v>14</v>
      </c>
    </row>
    <row r="41" spans="1:22">
      <c r="A41" s="52" t="s">
        <v>2</v>
      </c>
      <c r="B41" s="42"/>
      <c r="C41" s="42"/>
      <c r="D41" s="42"/>
      <c r="E41" s="42"/>
      <c r="F41" s="42"/>
      <c r="G41" s="42"/>
      <c r="H41" s="42"/>
      <c r="I41" s="42"/>
      <c r="J41" s="42"/>
      <c r="K41" s="42"/>
      <c r="L41" s="42"/>
      <c r="M41" s="42"/>
      <c r="N41" s="42"/>
      <c r="O41" s="42"/>
      <c r="P41" s="42"/>
      <c r="Q41" s="42"/>
      <c r="R41" s="42"/>
      <c r="S41" s="42"/>
      <c r="T41" s="42"/>
      <c r="U41" s="42"/>
      <c r="V41" s="42"/>
    </row>
    <row r="42" spans="1:22">
      <c r="A42" s="43" t="s">
        <v>8</v>
      </c>
      <c r="B42" s="44">
        <f>B6+B24</f>
        <v>2121532.6954740263</v>
      </c>
      <c r="C42" s="44">
        <f t="shared" ref="C42:U47" si="83">C6+C24</f>
        <v>2290127.2517094761</v>
      </c>
      <c r="D42" s="44">
        <f t="shared" si="83"/>
        <v>2374808.7882719007</v>
      </c>
      <c r="E42" s="44">
        <f t="shared" si="83"/>
        <v>2633917.3910239865</v>
      </c>
      <c r="F42" s="44">
        <f t="shared" si="83"/>
        <v>2636594.7994500599</v>
      </c>
      <c r="G42" s="44">
        <f t="shared" si="83"/>
        <v>2660023.4297051169</v>
      </c>
      <c r="H42" s="44">
        <f t="shared" si="83"/>
        <v>2681954.1182414996</v>
      </c>
      <c r="I42" s="44">
        <f t="shared" si="83"/>
        <v>2702706.5139979552</v>
      </c>
      <c r="J42" s="44">
        <f t="shared" si="83"/>
        <v>2985535.5346520371</v>
      </c>
      <c r="K42" s="44">
        <f t="shared" si="83"/>
        <v>2985535.5346520371</v>
      </c>
      <c r="L42" s="44">
        <f t="shared" si="83"/>
        <v>2999646.0225037374</v>
      </c>
      <c r="M42" s="44">
        <f t="shared" si="83"/>
        <v>3013756.8957670317</v>
      </c>
      <c r="N42" s="44">
        <f t="shared" si="83"/>
        <v>3027868.1539850603</v>
      </c>
      <c r="O42" s="44">
        <f t="shared" si="83"/>
        <v>3309937.975541526</v>
      </c>
      <c r="P42" s="44">
        <f t="shared" si="83"/>
        <v>3325293.6771356938</v>
      </c>
      <c r="Q42" s="44">
        <f t="shared" si="83"/>
        <v>3340649.8005504678</v>
      </c>
      <c r="R42" s="44">
        <f t="shared" si="83"/>
        <v>3356006.3452798855</v>
      </c>
      <c r="S42" s="44">
        <f t="shared" si="83"/>
        <v>3371363.3108187956</v>
      </c>
      <c r="T42" s="44">
        <f t="shared" si="83"/>
        <v>3569648.6693874132</v>
      </c>
      <c r="U42" s="44">
        <f t="shared" si="83"/>
        <v>3585836.2565888874</v>
      </c>
      <c r="V42" s="44">
        <f>SUM(B42:U42)</f>
        <v>58972743.164736599</v>
      </c>
    </row>
    <row r="43" spans="1:22">
      <c r="A43" s="45" t="s">
        <v>9</v>
      </c>
      <c r="B43" s="44">
        <f t="shared" ref="B43:Q47" si="84">B7+B25</f>
        <v>6558827.2905016653</v>
      </c>
      <c r="C43" s="44">
        <f t="shared" si="84"/>
        <v>7081449.4192290986</v>
      </c>
      <c r="D43" s="44">
        <f t="shared" si="84"/>
        <v>7342845.7739776773</v>
      </c>
      <c r="E43" s="44">
        <f t="shared" si="84"/>
        <v>8114215.4812647719</v>
      </c>
      <c r="F43" s="44">
        <f t="shared" si="84"/>
        <v>8108464.5470725913</v>
      </c>
      <c r="G43" s="44">
        <f t="shared" si="84"/>
        <v>7540098.8258884586</v>
      </c>
      <c r="H43" s="44">
        <f t="shared" si="84"/>
        <v>6973714.8063896373</v>
      </c>
      <c r="I43" s="44">
        <f t="shared" si="84"/>
        <v>6409010.7105220612</v>
      </c>
      <c r="J43" s="44">
        <f t="shared" si="84"/>
        <v>6410135.8161838613</v>
      </c>
      <c r="K43" s="44">
        <f t="shared" si="84"/>
        <v>6410135.8161838595</v>
      </c>
      <c r="L43" s="44">
        <f t="shared" si="84"/>
        <v>6267213.8104616292</v>
      </c>
      <c r="M43" s="44">
        <f t="shared" si="84"/>
        <v>6124289.3871864099</v>
      </c>
      <c r="N43" s="44">
        <f t="shared" si="84"/>
        <v>5981362.5492239296</v>
      </c>
      <c r="O43" s="44">
        <f t="shared" si="84"/>
        <v>6352563.6741884947</v>
      </c>
      <c r="P43" s="44">
        <f t="shared" si="84"/>
        <v>6197046.1180829993</v>
      </c>
      <c r="Q43" s="44">
        <f t="shared" si="84"/>
        <v>6041525.9121362139</v>
      </c>
      <c r="R43" s="44">
        <f t="shared" si="83"/>
        <v>5886003.0595265403</v>
      </c>
      <c r="S43" s="44">
        <f t="shared" si="83"/>
        <v>5730477.5634272974</v>
      </c>
      <c r="T43" s="44">
        <f t="shared" si="83"/>
        <v>5875775.4525143951</v>
      </c>
      <c r="U43" s="44">
        <f t="shared" si="83"/>
        <v>5711852.4181401432</v>
      </c>
      <c r="V43" s="44">
        <f t="shared" ref="V43:V47" si="85">SUM(B43:U43)</f>
        <v>131117008.43210174</v>
      </c>
    </row>
    <row r="44" spans="1:22">
      <c r="A44" s="45" t="s">
        <v>10</v>
      </c>
      <c r="B44" s="44">
        <f t="shared" si="84"/>
        <v>1590318.0519872643</v>
      </c>
      <c r="C44" s="44">
        <f t="shared" si="83"/>
        <v>1715220.1470258166</v>
      </c>
      <c r="D44" s="44">
        <f t="shared" si="83"/>
        <v>1778304.8132252172</v>
      </c>
      <c r="E44" s="44">
        <f t="shared" si="83"/>
        <v>1969378.6760597443</v>
      </c>
      <c r="F44" s="44">
        <f t="shared" si="83"/>
        <v>1970338.4631606536</v>
      </c>
      <c r="G44" s="44">
        <f t="shared" si="83"/>
        <v>2483261.0906340638</v>
      </c>
      <c r="H44" s="44">
        <f t="shared" si="83"/>
        <v>2996885.5142192952</v>
      </c>
      <c r="I44" s="44">
        <f t="shared" si="83"/>
        <v>3510940.5833644331</v>
      </c>
      <c r="J44" s="44">
        <f t="shared" si="83"/>
        <v>4413255.5539042326</v>
      </c>
      <c r="K44" s="44">
        <f t="shared" si="83"/>
        <v>4413255.5539042326</v>
      </c>
      <c r="L44" s="44">
        <f t="shared" si="83"/>
        <v>4534819.0672344565</v>
      </c>
      <c r="M44" s="44">
        <f t="shared" si="83"/>
        <v>4656384.5723906867</v>
      </c>
      <c r="N44" s="44">
        <f t="shared" si="83"/>
        <v>4777952.0670118444</v>
      </c>
      <c r="O44" s="44">
        <f t="shared" si="83"/>
        <v>5330488.8339239098</v>
      </c>
      <c r="P44" s="44">
        <f t="shared" si="83"/>
        <v>5462766.5435335152</v>
      </c>
      <c r="Q44" s="44">
        <f t="shared" si="83"/>
        <v>5595046.4352816977</v>
      </c>
      <c r="R44" s="44">
        <f t="shared" si="83"/>
        <v>5727328.5065510515</v>
      </c>
      <c r="S44" s="44">
        <f t="shared" si="83"/>
        <v>5859612.7547283527</v>
      </c>
      <c r="T44" s="44">
        <f t="shared" si="83"/>
        <v>6314917.8387706038</v>
      </c>
      <c r="U44" s="44">
        <f t="shared" si="83"/>
        <v>6454345.1306912359</v>
      </c>
      <c r="V44" s="44">
        <f t="shared" si="85"/>
        <v>81554820.197602287</v>
      </c>
    </row>
    <row r="45" spans="1:22">
      <c r="A45" s="45" t="s">
        <v>11</v>
      </c>
      <c r="B45" s="44">
        <f t="shared" si="84"/>
        <v>2330698.8313948414</v>
      </c>
      <c r="C45" s="44">
        <f t="shared" si="83"/>
        <v>2330400.289973055</v>
      </c>
      <c r="D45" s="44">
        <f t="shared" si="83"/>
        <v>2330493.1729479427</v>
      </c>
      <c r="E45" s="44">
        <f t="shared" si="83"/>
        <v>2332879.1520765508</v>
      </c>
      <c r="F45" s="44">
        <f t="shared" si="83"/>
        <v>2334012.272993146</v>
      </c>
      <c r="G45" s="44">
        <f t="shared" si="83"/>
        <v>2337178.7162853973</v>
      </c>
      <c r="H45" s="44">
        <f t="shared" si="83"/>
        <v>2339681.0238603111</v>
      </c>
      <c r="I45" s="44">
        <f t="shared" si="83"/>
        <v>2341663.8748492571</v>
      </c>
      <c r="J45" s="44">
        <f t="shared" si="83"/>
        <v>2343407.2918933253</v>
      </c>
      <c r="K45" s="44">
        <f t="shared" si="83"/>
        <v>2343407.2918933253</v>
      </c>
      <c r="L45" s="44">
        <f t="shared" si="83"/>
        <v>2343424.1347710406</v>
      </c>
      <c r="M45" s="44">
        <f t="shared" si="83"/>
        <v>2343440.9643333121</v>
      </c>
      <c r="N45" s="44">
        <f t="shared" si="83"/>
        <v>2343457.7805959247</v>
      </c>
      <c r="O45" s="44">
        <f t="shared" si="83"/>
        <v>2343537.6888277135</v>
      </c>
      <c r="P45" s="44">
        <f t="shared" si="83"/>
        <v>2343554.6798187206</v>
      </c>
      <c r="Q45" s="44">
        <f t="shared" si="83"/>
        <v>2343571.6572175194</v>
      </c>
      <c r="R45" s="44">
        <f t="shared" si="83"/>
        <v>2343588.6210404118</v>
      </c>
      <c r="S45" s="44">
        <f t="shared" si="83"/>
        <v>2343605.5713036763</v>
      </c>
      <c r="T45" s="44">
        <f t="shared" si="83"/>
        <v>2343749.8052760642</v>
      </c>
      <c r="U45" s="44">
        <f t="shared" si="83"/>
        <v>2343766.8106600042</v>
      </c>
      <c r="V45" s="44">
        <f t="shared" si="85"/>
        <v>46799519.63201154</v>
      </c>
    </row>
    <row r="46" spans="1:22">
      <c r="A46" s="46" t="s">
        <v>12</v>
      </c>
      <c r="B46" s="44">
        <f t="shared" si="84"/>
        <v>1383320.6016562621</v>
      </c>
      <c r="C46" s="44">
        <f t="shared" si="83"/>
        <v>1383100.9953491031</v>
      </c>
      <c r="D46" s="44">
        <f t="shared" si="83"/>
        <v>1383169.3198281352</v>
      </c>
      <c r="E46" s="44">
        <f t="shared" si="83"/>
        <v>1384924.439979492</v>
      </c>
      <c r="F46" s="44">
        <f t="shared" si="83"/>
        <v>1385757.9608308666</v>
      </c>
      <c r="G46" s="44">
        <f t="shared" si="83"/>
        <v>1388087.1884270865</v>
      </c>
      <c r="H46" s="44">
        <f t="shared" si="83"/>
        <v>1389927.8794863527</v>
      </c>
      <c r="I46" s="44">
        <f t="shared" si="83"/>
        <v>1391386.4596080766</v>
      </c>
      <c r="J46" s="44">
        <f t="shared" si="83"/>
        <v>1392668.9127316496</v>
      </c>
      <c r="K46" s="44">
        <f t="shared" si="83"/>
        <v>1392668.9127316498</v>
      </c>
      <c r="L46" s="44">
        <f t="shared" si="83"/>
        <v>1392681.302309467</v>
      </c>
      <c r="M46" s="44">
        <f t="shared" si="83"/>
        <v>1392693.6820924785</v>
      </c>
      <c r="N46" s="44">
        <f t="shared" si="83"/>
        <v>1392706.0520922942</v>
      </c>
      <c r="O46" s="44">
        <f t="shared" si="83"/>
        <v>1392764.8323834506</v>
      </c>
      <c r="P46" s="44">
        <f t="shared" si="83"/>
        <v>1392777.3309130273</v>
      </c>
      <c r="Q46" s="44">
        <f t="shared" si="83"/>
        <v>1392789.8194442098</v>
      </c>
      <c r="R46" s="44">
        <f t="shared" si="83"/>
        <v>1392802.2979889908</v>
      </c>
      <c r="S46" s="44">
        <f t="shared" si="83"/>
        <v>1392814.7665593443</v>
      </c>
      <c r="T46" s="44">
        <f t="shared" si="83"/>
        <v>1392920.864700947</v>
      </c>
      <c r="U46" s="44">
        <f t="shared" si="83"/>
        <v>1392933.3738179281</v>
      </c>
      <c r="V46" s="44">
        <f t="shared" si="85"/>
        <v>27802896.992930807</v>
      </c>
    </row>
    <row r="47" spans="1:22">
      <c r="A47" s="46" t="s">
        <v>13</v>
      </c>
      <c r="B47" s="47">
        <f t="shared" si="84"/>
        <v>242380.3183609391</v>
      </c>
      <c r="C47" s="47">
        <f t="shared" si="83"/>
        <v>261701.89671344863</v>
      </c>
      <c r="D47" s="47">
        <f t="shared" si="83"/>
        <v>271378.13174912473</v>
      </c>
      <c r="E47" s="47">
        <f t="shared" si="83"/>
        <v>300684.85959545273</v>
      </c>
      <c r="F47" s="47">
        <f t="shared" si="83"/>
        <v>300831.95649268129</v>
      </c>
      <c r="G47" s="47">
        <f t="shared" si="83"/>
        <v>327350.74905987509</v>
      </c>
      <c r="H47" s="47">
        <f t="shared" si="83"/>
        <v>353836.65780290496</v>
      </c>
      <c r="I47" s="47">
        <f t="shared" si="83"/>
        <v>380291.85765821638</v>
      </c>
      <c r="J47" s="47">
        <f t="shared" si="83"/>
        <v>445996.89063489449</v>
      </c>
      <c r="K47" s="47">
        <f t="shared" si="83"/>
        <v>445996.89063489443</v>
      </c>
      <c r="L47" s="47">
        <f t="shared" si="83"/>
        <v>453215.66271966818</v>
      </c>
      <c r="M47" s="47">
        <f t="shared" si="83"/>
        <v>460434.49823007919</v>
      </c>
      <c r="N47" s="47">
        <f t="shared" si="83"/>
        <v>467653.397090944</v>
      </c>
      <c r="O47" s="47">
        <f t="shared" si="83"/>
        <v>516706.99513490312</v>
      </c>
      <c r="P47" s="47">
        <f t="shared" si="83"/>
        <v>524561.65051604109</v>
      </c>
      <c r="Q47" s="47">
        <f t="shared" si="83"/>
        <v>532416.37536988978</v>
      </c>
      <c r="R47" s="47">
        <f t="shared" si="83"/>
        <v>540271.1696131191</v>
      </c>
      <c r="S47" s="47">
        <f t="shared" si="83"/>
        <v>548126.03316253168</v>
      </c>
      <c r="T47" s="47">
        <f t="shared" si="83"/>
        <v>585987.36935057514</v>
      </c>
      <c r="U47" s="47">
        <f t="shared" si="83"/>
        <v>594266.01010180032</v>
      </c>
      <c r="V47" s="47">
        <f t="shared" si="85"/>
        <v>8554089.3699919824</v>
      </c>
    </row>
    <row r="48" spans="1:22">
      <c r="A48" s="48" t="s">
        <v>15</v>
      </c>
      <c r="B48" s="49">
        <f>SUM(B42:B47)</f>
        <v>14227077.789375</v>
      </c>
      <c r="C48" s="49">
        <f t="shared" ref="C48" si="86">SUM(C42:C47)</f>
        <v>15061999.999999996</v>
      </c>
      <c r="D48" s="49">
        <f t="shared" ref="D48" si="87">SUM(D42:D47)</f>
        <v>15481000</v>
      </c>
      <c r="E48" s="49">
        <f t="shared" ref="E48" si="88">SUM(E42:E47)</f>
        <v>16735999.999999996</v>
      </c>
      <c r="F48" s="49">
        <f t="shared" ref="F48" si="89">SUM(F42:F47)</f>
        <v>16735999.999999998</v>
      </c>
      <c r="G48" s="49">
        <f t="shared" ref="G48" si="90">SUM(G42:G47)</f>
        <v>16735999.999999996</v>
      </c>
      <c r="H48" s="49">
        <f t="shared" ref="H48" si="91">SUM(H42:H47)</f>
        <v>16736000</v>
      </c>
      <c r="I48" s="49">
        <f t="shared" ref="I48" si="92">SUM(I42:I47)</f>
        <v>16736000</v>
      </c>
      <c r="J48" s="49">
        <f t="shared" ref="J48" si="93">SUM(J42:J47)</f>
        <v>17991000.000000004</v>
      </c>
      <c r="K48" s="49">
        <f t="shared" ref="K48" si="94">SUM(K42:K47)</f>
        <v>17991000</v>
      </c>
      <c r="L48" s="49">
        <f t="shared" ref="L48" si="95">SUM(L42:L47)</f>
        <v>17991000</v>
      </c>
      <c r="M48" s="49">
        <f t="shared" ref="M48" si="96">SUM(M42:M47)</f>
        <v>17991000</v>
      </c>
      <c r="N48" s="49">
        <f t="shared" ref="N48" si="97">SUM(N42:N47)</f>
        <v>17991000</v>
      </c>
      <c r="O48" s="49">
        <f t="shared" ref="O48" si="98">SUM(O42:O47)</f>
        <v>19246000</v>
      </c>
      <c r="P48" s="49">
        <f t="shared" ref="P48" si="99">SUM(P42:P47)</f>
        <v>19245999.999999996</v>
      </c>
      <c r="Q48" s="49">
        <f t="shared" ref="Q48" si="100">SUM(Q42:Q47)</f>
        <v>19246000</v>
      </c>
      <c r="R48" s="49">
        <f t="shared" ref="R48" si="101">SUM(R42:R47)</f>
        <v>19246000</v>
      </c>
      <c r="S48" s="49">
        <f t="shared" ref="S48" si="102">SUM(S42:S47)</f>
        <v>19245999.999999996</v>
      </c>
      <c r="T48" s="49">
        <f t="shared" ref="T48" si="103">SUM(T42:T47)</f>
        <v>20082999.999999996</v>
      </c>
      <c r="U48" s="49">
        <f t="shared" ref="U48" si="104">SUM(U42:U47)</f>
        <v>20082999.999999996</v>
      </c>
      <c r="V48" s="49">
        <f t="shared" ref="V48" si="105">SUM(V42:V47)</f>
        <v>354801077.78937495</v>
      </c>
    </row>
    <row r="49" spans="1:22">
      <c r="A49" s="42"/>
      <c r="B49" s="44"/>
      <c r="C49" s="44"/>
      <c r="D49" s="44"/>
      <c r="E49" s="44"/>
      <c r="F49" s="44"/>
      <c r="G49" s="44"/>
      <c r="H49" s="44"/>
      <c r="I49" s="44"/>
      <c r="J49" s="44"/>
      <c r="K49" s="44"/>
      <c r="L49" s="44"/>
      <c r="M49" s="44"/>
      <c r="N49" s="44"/>
      <c r="O49" s="44"/>
      <c r="P49" s="44"/>
      <c r="Q49" s="44"/>
      <c r="R49" s="44"/>
      <c r="S49" s="44"/>
      <c r="T49" s="44"/>
      <c r="U49" s="44"/>
      <c r="V49" s="44"/>
    </row>
    <row r="50" spans="1:22">
      <c r="A50" s="52" t="s">
        <v>3</v>
      </c>
      <c r="B50" s="44"/>
      <c r="C50" s="44"/>
      <c r="D50" s="44"/>
      <c r="E50" s="44"/>
      <c r="F50" s="44"/>
      <c r="G50" s="44"/>
      <c r="H50" s="44"/>
      <c r="I50" s="44"/>
      <c r="J50" s="44"/>
      <c r="K50" s="44"/>
      <c r="L50" s="44"/>
      <c r="M50" s="44"/>
      <c r="N50" s="44"/>
      <c r="O50" s="44"/>
      <c r="P50" s="44"/>
      <c r="Q50" s="44"/>
      <c r="R50" s="44"/>
      <c r="S50" s="44"/>
      <c r="T50" s="44"/>
      <c r="U50" s="44"/>
      <c r="V50" s="44"/>
    </row>
    <row r="51" spans="1:22">
      <c r="A51" s="46" t="s">
        <v>7</v>
      </c>
      <c r="B51" s="44">
        <f t="shared" ref="B51:U51" si="106">B15+B33</f>
        <v>3409789.8926913473</v>
      </c>
      <c r="C51" s="44">
        <f t="shared" si="106"/>
        <v>3041605.7651262209</v>
      </c>
      <c r="D51" s="44">
        <f t="shared" si="106"/>
        <v>2755001.2970961509</v>
      </c>
      <c r="E51" s="44">
        <f t="shared" si="106"/>
        <v>2407103.0859204312</v>
      </c>
      <c r="F51" s="44">
        <f t="shared" si="106"/>
        <v>2315587.6467134343</v>
      </c>
      <c r="G51" s="44">
        <f t="shared" si="106"/>
        <v>2277388.5243779458</v>
      </c>
      <c r="H51" s="44">
        <f t="shared" si="106"/>
        <v>2294423.1009962359</v>
      </c>
      <c r="I51" s="44">
        <f t="shared" si="106"/>
        <v>2201658.5861354363</v>
      </c>
      <c r="J51" s="44">
        <f t="shared" si="106"/>
        <v>2015107.0912527789</v>
      </c>
      <c r="K51" s="44">
        <f t="shared" si="106"/>
        <v>1991550.5584378492</v>
      </c>
      <c r="L51" s="44">
        <f t="shared" si="106"/>
        <v>1996477.6990194444</v>
      </c>
      <c r="M51" s="44">
        <f t="shared" si="106"/>
        <v>2003348.4012786597</v>
      </c>
      <c r="N51" s="44">
        <f t="shared" si="106"/>
        <v>2016314.2620236615</v>
      </c>
      <c r="O51" s="44">
        <f t="shared" si="106"/>
        <v>1997527.596264547</v>
      </c>
      <c r="P51" s="44">
        <f t="shared" si="106"/>
        <v>1969469.6982373279</v>
      </c>
      <c r="Q51" s="44">
        <f t="shared" si="106"/>
        <v>1975560.7369830254</v>
      </c>
      <c r="R51" s="44">
        <f t="shared" si="106"/>
        <v>1978465.9611454513</v>
      </c>
      <c r="S51" s="44">
        <f t="shared" si="106"/>
        <v>1984414.1503392849</v>
      </c>
      <c r="T51" s="44">
        <f t="shared" si="106"/>
        <v>1976475.1937271536</v>
      </c>
      <c r="U51" s="44">
        <f t="shared" si="106"/>
        <v>1959303.3002257119</v>
      </c>
      <c r="V51" s="44">
        <f>SUM(B51:U51)</f>
        <v>44566572.547992095</v>
      </c>
    </row>
    <row r="52" spans="1:22">
      <c r="A52" s="46" t="s">
        <v>6</v>
      </c>
      <c r="B52" s="44">
        <f t="shared" ref="B52:U52" si="107">B16+B34</f>
        <v>7247009.8614322394</v>
      </c>
      <c r="C52" s="44">
        <f t="shared" si="107"/>
        <v>6766485.3933917582</v>
      </c>
      <c r="D52" s="44">
        <f t="shared" si="107"/>
        <v>6444021.3101537228</v>
      </c>
      <c r="E52" s="44">
        <f t="shared" si="107"/>
        <v>6231272.9718722273</v>
      </c>
      <c r="F52" s="44">
        <f t="shared" si="107"/>
        <v>6012991.0186790973</v>
      </c>
      <c r="G52" s="44">
        <f t="shared" si="107"/>
        <v>6010162.7166768909</v>
      </c>
      <c r="H52" s="44">
        <f t="shared" si="107"/>
        <v>5954210.7106181346</v>
      </c>
      <c r="I52" s="44">
        <f t="shared" si="107"/>
        <v>5643115.0741320066</v>
      </c>
      <c r="J52" s="44">
        <f t="shared" si="107"/>
        <v>5338104.2534503695</v>
      </c>
      <c r="K52" s="44">
        <f t="shared" si="107"/>
        <v>5286024.7647162117</v>
      </c>
      <c r="L52" s="44">
        <f t="shared" si="107"/>
        <v>5274302.8740662187</v>
      </c>
      <c r="M52" s="44">
        <f t="shared" si="107"/>
        <v>5261234.0788213275</v>
      </c>
      <c r="N52" s="44">
        <f t="shared" si="107"/>
        <v>5245650.6572563797</v>
      </c>
      <c r="O52" s="44">
        <f t="shared" si="107"/>
        <v>4925088.6835433114</v>
      </c>
      <c r="P52" s="44">
        <f t="shared" si="107"/>
        <v>4862005.0095923673</v>
      </c>
      <c r="Q52" s="44">
        <f t="shared" si="107"/>
        <v>4847574.5347970454</v>
      </c>
      <c r="R52" s="44">
        <f t="shared" si="107"/>
        <v>4832738.4444581401</v>
      </c>
      <c r="S52" s="44">
        <f t="shared" si="107"/>
        <v>4816460.6032017544</v>
      </c>
      <c r="T52" s="44">
        <f t="shared" si="107"/>
        <v>4603412.7092004605</v>
      </c>
      <c r="U52" s="44">
        <f t="shared" si="107"/>
        <v>4559625.9791843332</v>
      </c>
      <c r="V52" s="44">
        <f>SUM(B52:U52)</f>
        <v>110161491.649244</v>
      </c>
    </row>
    <row r="53" spans="1:22">
      <c r="A53" s="46" t="s">
        <v>5</v>
      </c>
      <c r="B53" s="47">
        <f t="shared" ref="B53:U53" si="108">B17+B35</f>
        <v>16952764.736063454</v>
      </c>
      <c r="C53" s="47">
        <f t="shared" si="108"/>
        <v>16895835.910853706</v>
      </c>
      <c r="D53" s="47">
        <f t="shared" si="108"/>
        <v>17121976.473908883</v>
      </c>
      <c r="E53" s="47">
        <f t="shared" si="108"/>
        <v>16404527.648905862</v>
      </c>
      <c r="F53" s="47">
        <f t="shared" si="108"/>
        <v>16729936.563592564</v>
      </c>
      <c r="G53" s="47">
        <f t="shared" si="108"/>
        <v>16745090.87053664</v>
      </c>
      <c r="H53" s="47">
        <f t="shared" si="108"/>
        <v>16832704.094645813</v>
      </c>
      <c r="I53" s="47">
        <f t="shared" si="108"/>
        <v>17209919.074368294</v>
      </c>
      <c r="J53" s="47">
        <f t="shared" si="108"/>
        <v>16393121.194805747</v>
      </c>
      <c r="K53" s="47">
        <f t="shared" si="108"/>
        <v>16550925.70746154</v>
      </c>
      <c r="L53" s="47">
        <f t="shared" si="108"/>
        <v>16553050.959079778</v>
      </c>
      <c r="M53" s="47">
        <f t="shared" si="108"/>
        <v>16553945.7882879</v>
      </c>
      <c r="N53" s="47">
        <f t="shared" si="108"/>
        <v>16550266.868406897</v>
      </c>
      <c r="O53" s="47">
        <f t="shared" si="108"/>
        <v>15615574.20073498</v>
      </c>
      <c r="P53" s="47">
        <f t="shared" si="108"/>
        <v>15699095.854723757</v>
      </c>
      <c r="Q53" s="47">
        <f t="shared" si="108"/>
        <v>15699111.984331168</v>
      </c>
      <c r="R53" s="47">
        <f t="shared" si="108"/>
        <v>15702295.549612314</v>
      </c>
      <c r="S53" s="47">
        <f t="shared" si="108"/>
        <v>15702740.299689047</v>
      </c>
      <c r="T53" s="47">
        <f t="shared" si="108"/>
        <v>15177896.553654086</v>
      </c>
      <c r="U53" s="47">
        <f t="shared" si="108"/>
        <v>15227258.622295709</v>
      </c>
      <c r="V53" s="47">
        <f>SUM(B53:U53)</f>
        <v>326318038.95595813</v>
      </c>
    </row>
    <row r="54" spans="1:22">
      <c r="A54" s="48" t="s">
        <v>16</v>
      </c>
      <c r="B54" s="49">
        <f>SUM(B51:B53)</f>
        <v>27609564.490187041</v>
      </c>
      <c r="C54" s="49">
        <f t="shared" ref="C54" si="109">SUM(C51:C53)</f>
        <v>26703927.069371685</v>
      </c>
      <c r="D54" s="49">
        <f t="shared" ref="D54" si="110">SUM(D51:D53)</f>
        <v>26320999.081158757</v>
      </c>
      <c r="E54" s="49">
        <f t="shared" ref="E54" si="111">SUM(E51:E53)</f>
        <v>25042903.706698522</v>
      </c>
      <c r="F54" s="49">
        <f t="shared" ref="F54" si="112">SUM(F51:F53)</f>
        <v>25058515.228985094</v>
      </c>
      <c r="G54" s="49">
        <f t="shared" ref="G54" si="113">SUM(G51:G53)</f>
        <v>25032642.111591477</v>
      </c>
      <c r="H54" s="49">
        <f t="shared" ref="H54" si="114">SUM(H51:H53)</f>
        <v>25081337.906260185</v>
      </c>
      <c r="I54" s="49">
        <f t="shared" ref="I54" si="115">SUM(I51:I53)</f>
        <v>25054692.734635737</v>
      </c>
      <c r="J54" s="49">
        <f t="shared" ref="J54" si="116">SUM(J51:J53)</f>
        <v>23746332.539508894</v>
      </c>
      <c r="K54" s="49">
        <f t="shared" ref="K54" si="117">SUM(K51:K53)</f>
        <v>23828501.030615602</v>
      </c>
      <c r="L54" s="49">
        <f t="shared" ref="L54" si="118">SUM(L51:L53)</f>
        <v>23823831.532165442</v>
      </c>
      <c r="M54" s="49">
        <f t="shared" ref="M54" si="119">SUM(M51:M53)</f>
        <v>23818528.268387888</v>
      </c>
      <c r="N54" s="49">
        <f t="shared" ref="N54" si="120">SUM(N51:N53)</f>
        <v>23812231.787686937</v>
      </c>
      <c r="O54" s="49">
        <f t="shared" ref="O54" si="121">SUM(O51:O53)</f>
        <v>22538190.480542839</v>
      </c>
      <c r="P54" s="49">
        <f t="shared" ref="P54" si="122">SUM(P51:P53)</f>
        <v>22530570.56255345</v>
      </c>
      <c r="Q54" s="49">
        <f t="shared" ref="Q54" si="123">SUM(Q51:Q53)</f>
        <v>22522247.256111238</v>
      </c>
      <c r="R54" s="49">
        <f t="shared" ref="R54" si="124">SUM(R51:R53)</f>
        <v>22513499.955215905</v>
      </c>
      <c r="S54" s="49">
        <f t="shared" ref="S54" si="125">SUM(S51:S53)</f>
        <v>22503615.053230084</v>
      </c>
      <c r="T54" s="49">
        <f t="shared" ref="T54" si="126">SUM(T51:T53)</f>
        <v>21757784.456581701</v>
      </c>
      <c r="U54" s="49">
        <f t="shared" ref="U54" si="127">SUM(U51:U53)</f>
        <v>21746187.901705757</v>
      </c>
      <c r="V54" s="49">
        <f t="shared" ref="V54" si="128">SUM(V51:V53)</f>
        <v>481046103.15319419</v>
      </c>
    </row>
    <row r="55" spans="1:22">
      <c r="A55" s="48"/>
      <c r="B55" s="44"/>
      <c r="C55" s="44"/>
      <c r="D55" s="44"/>
      <c r="E55" s="44"/>
      <c r="F55" s="44"/>
      <c r="G55" s="44"/>
      <c r="H55" s="44"/>
      <c r="I55" s="44"/>
      <c r="J55" s="44"/>
      <c r="K55" s="44"/>
      <c r="L55" s="44"/>
      <c r="M55" s="44"/>
      <c r="N55" s="44"/>
      <c r="O55" s="44"/>
      <c r="P55" s="44"/>
      <c r="Q55" s="44"/>
      <c r="R55" s="44"/>
      <c r="S55" s="44"/>
      <c r="T55" s="44"/>
      <c r="U55" s="44"/>
      <c r="V55" s="44"/>
    </row>
    <row r="56" spans="1:22">
      <c r="A56" s="41" t="s">
        <v>4</v>
      </c>
      <c r="B56" s="49">
        <f>B48+B54</f>
        <v>41836642.279562041</v>
      </c>
      <c r="C56" s="49">
        <f t="shared" ref="C56:V56" si="129">C48+C54</f>
        <v>41765927.069371685</v>
      </c>
      <c r="D56" s="49">
        <f t="shared" si="129"/>
        <v>41801999.081158757</v>
      </c>
      <c r="E56" s="49">
        <f t="shared" si="129"/>
        <v>41778903.706698522</v>
      </c>
      <c r="F56" s="49">
        <f t="shared" si="129"/>
        <v>41794515.228985094</v>
      </c>
      <c r="G56" s="49">
        <f t="shared" si="129"/>
        <v>41768642.111591473</v>
      </c>
      <c r="H56" s="49">
        <f t="shared" si="129"/>
        <v>41817337.906260185</v>
      </c>
      <c r="I56" s="49">
        <f t="shared" si="129"/>
        <v>41790692.734635741</v>
      </c>
      <c r="J56" s="49">
        <f t="shared" si="129"/>
        <v>41737332.539508894</v>
      </c>
      <c r="K56" s="49">
        <f t="shared" si="129"/>
        <v>41819501.030615598</v>
      </c>
      <c r="L56" s="49">
        <f t="shared" si="129"/>
        <v>41814831.532165438</v>
      </c>
      <c r="M56" s="49">
        <f t="shared" si="129"/>
        <v>41809528.268387884</v>
      </c>
      <c r="N56" s="49">
        <f t="shared" si="129"/>
        <v>41803231.787686937</v>
      </c>
      <c r="O56" s="49">
        <f t="shared" si="129"/>
        <v>41784190.480542839</v>
      </c>
      <c r="P56" s="49">
        <f t="shared" si="129"/>
        <v>41776570.56255345</v>
      </c>
      <c r="Q56" s="49">
        <f t="shared" si="129"/>
        <v>41768247.256111234</v>
      </c>
      <c r="R56" s="49">
        <f t="shared" si="129"/>
        <v>41759499.955215901</v>
      </c>
      <c r="S56" s="49">
        <f t="shared" si="129"/>
        <v>41749615.053230077</v>
      </c>
      <c r="T56" s="49">
        <f t="shared" si="129"/>
        <v>41840784.456581697</v>
      </c>
      <c r="U56" s="49">
        <f t="shared" si="129"/>
        <v>41829187.901705757</v>
      </c>
      <c r="V56" s="49">
        <f t="shared" si="129"/>
        <v>835847180.94256914</v>
      </c>
    </row>
    <row r="58" spans="1:22" ht="15.75">
      <c r="A58" s="68" t="s">
        <v>31</v>
      </c>
    </row>
    <row r="59" spans="1:22">
      <c r="A59" s="28" t="s">
        <v>0</v>
      </c>
      <c r="B59" s="29">
        <v>2015</v>
      </c>
      <c r="C59" s="29">
        <f>B59+1</f>
        <v>2016</v>
      </c>
      <c r="D59" s="29">
        <f t="shared" ref="D59" si="130">C59+1</f>
        <v>2017</v>
      </c>
      <c r="E59" s="29">
        <f t="shared" ref="E59" si="131">D59+1</f>
        <v>2018</v>
      </c>
      <c r="F59" s="29">
        <f t="shared" ref="F59" si="132">E59+1</f>
        <v>2019</v>
      </c>
      <c r="G59" s="29">
        <f t="shared" ref="G59" si="133">F59+1</f>
        <v>2020</v>
      </c>
      <c r="H59" s="29">
        <f t="shared" ref="H59" si="134">G59+1</f>
        <v>2021</v>
      </c>
      <c r="I59" s="29">
        <f t="shared" ref="I59" si="135">H59+1</f>
        <v>2022</v>
      </c>
      <c r="J59" s="29">
        <f t="shared" ref="J59" si="136">I59+1</f>
        <v>2023</v>
      </c>
      <c r="K59" s="29">
        <f t="shared" ref="K59" si="137">J59+1</f>
        <v>2024</v>
      </c>
      <c r="L59" s="29">
        <f t="shared" ref="L59" si="138">K59+1</f>
        <v>2025</v>
      </c>
      <c r="M59" s="29">
        <f t="shared" ref="M59" si="139">L59+1</f>
        <v>2026</v>
      </c>
      <c r="N59" s="29">
        <f t="shared" ref="N59" si="140">M59+1</f>
        <v>2027</v>
      </c>
      <c r="O59" s="29">
        <f t="shared" ref="O59" si="141">N59+1</f>
        <v>2028</v>
      </c>
      <c r="P59" s="29">
        <f t="shared" ref="P59" si="142">O59+1</f>
        <v>2029</v>
      </c>
      <c r="Q59" s="29">
        <f t="shared" ref="Q59" si="143">P59+1</f>
        <v>2030</v>
      </c>
      <c r="R59" s="29">
        <f t="shared" ref="R59" si="144">Q59+1</f>
        <v>2031</v>
      </c>
      <c r="S59" s="29">
        <f t="shared" ref="S59" si="145">R59+1</f>
        <v>2032</v>
      </c>
      <c r="T59" s="29">
        <f t="shared" ref="T59" si="146">S59+1</f>
        <v>2033</v>
      </c>
      <c r="U59" s="29">
        <f t="shared" ref="U59" si="147">T59+1</f>
        <v>2034</v>
      </c>
      <c r="V59" s="29" t="s">
        <v>14</v>
      </c>
    </row>
    <row r="60" spans="1:22">
      <c r="A60" s="34" t="s">
        <v>2</v>
      </c>
      <c r="B60" s="33">
        <v>598230</v>
      </c>
      <c r="C60" s="33">
        <v>598230</v>
      </c>
      <c r="D60" s="33">
        <v>598230</v>
      </c>
      <c r="E60" s="33">
        <v>598230</v>
      </c>
      <c r="F60" s="33">
        <v>598230</v>
      </c>
      <c r="G60" s="33">
        <v>598230</v>
      </c>
      <c r="H60" s="33">
        <v>598230</v>
      </c>
      <c r="I60" s="33">
        <v>598230</v>
      </c>
      <c r="J60" s="33">
        <v>598230</v>
      </c>
      <c r="K60" s="33">
        <v>598230</v>
      </c>
      <c r="L60" s="33">
        <v>598230</v>
      </c>
      <c r="M60" s="33">
        <v>598230</v>
      </c>
      <c r="N60" s="33">
        <v>598230</v>
      </c>
      <c r="O60" s="33">
        <v>598230</v>
      </c>
      <c r="P60" s="33">
        <v>598230</v>
      </c>
      <c r="Q60" s="33">
        <v>598230</v>
      </c>
      <c r="R60" s="33">
        <v>598230</v>
      </c>
      <c r="S60" s="33">
        <v>598230</v>
      </c>
      <c r="T60" s="33">
        <v>598230</v>
      </c>
      <c r="U60" s="33">
        <v>598230</v>
      </c>
      <c r="V60" s="33">
        <f>SUM(B60:U60)</f>
        <v>11964600</v>
      </c>
    </row>
    <row r="61" spans="1:22">
      <c r="A61" s="34" t="s">
        <v>3</v>
      </c>
      <c r="B61" s="36">
        <v>230937.24560386999</v>
      </c>
      <c r="C61" s="36">
        <v>429023.09236176562</v>
      </c>
      <c r="D61" s="36">
        <v>586756.67501180852</v>
      </c>
      <c r="E61" s="36">
        <v>724474.77518176287</v>
      </c>
      <c r="F61" s="36">
        <v>727111.85179840925</v>
      </c>
      <c r="G61" s="36">
        <v>753300.08285560075</v>
      </c>
      <c r="H61" s="36">
        <v>782127.99287170114</v>
      </c>
      <c r="I61" s="36">
        <v>815836.83623718529</v>
      </c>
      <c r="J61" s="36">
        <v>850816.26230057562</v>
      </c>
      <c r="K61" s="36">
        <v>860913.09019468853</v>
      </c>
      <c r="L61" s="36">
        <v>897958.51951399725</v>
      </c>
      <c r="M61" s="36">
        <v>937487.19332464912</v>
      </c>
      <c r="N61" s="36">
        <v>979228.98201586574</v>
      </c>
      <c r="O61" s="36">
        <v>1023352.0240452999</v>
      </c>
      <c r="P61" s="36">
        <v>1036667.5907696453</v>
      </c>
      <c r="Q61" s="36">
        <v>1079615.3761918379</v>
      </c>
      <c r="R61" s="36">
        <v>1124354.8707232212</v>
      </c>
      <c r="S61" s="36">
        <v>1170969.5527586539</v>
      </c>
      <c r="T61" s="36">
        <v>1219445.2835924663</v>
      </c>
      <c r="U61" s="36">
        <v>1243761.2438084634</v>
      </c>
      <c r="V61" s="36">
        <f>SUM(B61:U61)</f>
        <v>17474138.541161466</v>
      </c>
    </row>
    <row r="62" spans="1:22">
      <c r="A62" s="34" t="s">
        <v>4</v>
      </c>
      <c r="B62" s="38">
        <f>SUM(B60:B61)</f>
        <v>829167.24560387002</v>
      </c>
      <c r="C62" s="38">
        <f t="shared" ref="C62:V62" si="148">SUM(C60:C61)</f>
        <v>1027253.0923617657</v>
      </c>
      <c r="D62" s="38">
        <f t="shared" si="148"/>
        <v>1184986.6750118085</v>
      </c>
      <c r="E62" s="38">
        <f t="shared" si="148"/>
        <v>1322704.7751817629</v>
      </c>
      <c r="F62" s="38">
        <f t="shared" si="148"/>
        <v>1325341.8517984091</v>
      </c>
      <c r="G62" s="38">
        <f t="shared" si="148"/>
        <v>1351530.0828556009</v>
      </c>
      <c r="H62" s="38">
        <f t="shared" si="148"/>
        <v>1380357.9928717013</v>
      </c>
      <c r="I62" s="38">
        <f t="shared" si="148"/>
        <v>1414066.8362371852</v>
      </c>
      <c r="J62" s="38">
        <f t="shared" si="148"/>
        <v>1449046.2623005756</v>
      </c>
      <c r="K62" s="38">
        <f t="shared" si="148"/>
        <v>1459143.0901946886</v>
      </c>
      <c r="L62" s="38">
        <f t="shared" si="148"/>
        <v>1496188.5195139972</v>
      </c>
      <c r="M62" s="38">
        <f t="shared" si="148"/>
        <v>1535717.1933246492</v>
      </c>
      <c r="N62" s="38">
        <f t="shared" si="148"/>
        <v>1577458.9820158659</v>
      </c>
      <c r="O62" s="38">
        <f t="shared" si="148"/>
        <v>1621582.0240452997</v>
      </c>
      <c r="P62" s="38">
        <f t="shared" si="148"/>
        <v>1634897.5907696453</v>
      </c>
      <c r="Q62" s="38">
        <f t="shared" si="148"/>
        <v>1677845.3761918379</v>
      </c>
      <c r="R62" s="38">
        <f t="shared" si="148"/>
        <v>1722584.8707232212</v>
      </c>
      <c r="S62" s="38">
        <f t="shared" si="148"/>
        <v>1769199.5527586539</v>
      </c>
      <c r="T62" s="38">
        <f t="shared" si="148"/>
        <v>1817675.2835924663</v>
      </c>
      <c r="U62" s="38">
        <f t="shared" si="148"/>
        <v>1841991.2438084634</v>
      </c>
      <c r="V62" s="38">
        <f t="shared" si="148"/>
        <v>29438738.541161466</v>
      </c>
    </row>
    <row r="63" spans="1:22">
      <c r="A63" s="1"/>
    </row>
    <row r="64" spans="1:22">
      <c r="A64" s="17" t="s">
        <v>1</v>
      </c>
      <c r="B64" s="18">
        <v>2015</v>
      </c>
      <c r="C64" s="18">
        <f>B64+1</f>
        <v>2016</v>
      </c>
      <c r="D64" s="18">
        <f t="shared" ref="D64" si="149">C64+1</f>
        <v>2017</v>
      </c>
      <c r="E64" s="18">
        <f t="shared" ref="E64" si="150">D64+1</f>
        <v>2018</v>
      </c>
      <c r="F64" s="18">
        <f t="shared" ref="F64" si="151">E64+1</f>
        <v>2019</v>
      </c>
      <c r="G64" s="18">
        <f t="shared" ref="G64" si="152">F64+1</f>
        <v>2020</v>
      </c>
      <c r="H64" s="18">
        <f t="shared" ref="H64" si="153">G64+1</f>
        <v>2021</v>
      </c>
      <c r="I64" s="18">
        <f t="shared" ref="I64" si="154">H64+1</f>
        <v>2022</v>
      </c>
      <c r="J64" s="18">
        <f t="shared" ref="J64" si="155">I64+1</f>
        <v>2023</v>
      </c>
      <c r="K64" s="18">
        <f t="shared" ref="K64" si="156">J64+1</f>
        <v>2024</v>
      </c>
      <c r="L64" s="18">
        <f t="shared" ref="L64" si="157">K64+1</f>
        <v>2025</v>
      </c>
      <c r="M64" s="18">
        <f t="shared" ref="M64" si="158">L64+1</f>
        <v>2026</v>
      </c>
      <c r="N64" s="18">
        <f t="shared" ref="N64" si="159">M64+1</f>
        <v>2027</v>
      </c>
      <c r="O64" s="18">
        <f t="shared" ref="O64" si="160">N64+1</f>
        <v>2028</v>
      </c>
      <c r="P64" s="18">
        <f t="shared" ref="P64" si="161">O64+1</f>
        <v>2029</v>
      </c>
      <c r="Q64" s="18">
        <f t="shared" ref="Q64" si="162">P64+1</f>
        <v>2030</v>
      </c>
      <c r="R64" s="18">
        <f t="shared" ref="R64" si="163">Q64+1</f>
        <v>2031</v>
      </c>
      <c r="S64" s="18">
        <f t="shared" ref="S64" si="164">R64+1</f>
        <v>2032</v>
      </c>
      <c r="T64" s="18">
        <f t="shared" ref="T64" si="165">S64+1</f>
        <v>2033</v>
      </c>
      <c r="U64" s="18">
        <f t="shared" ref="U64" si="166">T64+1</f>
        <v>2034</v>
      </c>
      <c r="V64" s="18" t="s">
        <v>14</v>
      </c>
    </row>
    <row r="65" spans="1:22">
      <c r="A65" s="23" t="s">
        <v>2</v>
      </c>
      <c r="B65" s="22">
        <v>598230</v>
      </c>
      <c r="C65" s="22">
        <v>598230</v>
      </c>
      <c r="D65" s="22">
        <v>598230</v>
      </c>
      <c r="E65" s="22">
        <v>598230</v>
      </c>
      <c r="F65" s="22">
        <v>598230</v>
      </c>
      <c r="G65" s="22">
        <v>598230</v>
      </c>
      <c r="H65" s="22">
        <v>598230</v>
      </c>
      <c r="I65" s="22">
        <v>598230</v>
      </c>
      <c r="J65" s="22">
        <v>598230</v>
      </c>
      <c r="K65" s="22">
        <v>598230</v>
      </c>
      <c r="L65" s="22">
        <v>598230</v>
      </c>
      <c r="M65" s="22">
        <v>598230</v>
      </c>
      <c r="N65" s="22">
        <v>598230</v>
      </c>
      <c r="O65" s="22">
        <v>598230</v>
      </c>
      <c r="P65" s="22">
        <v>598230</v>
      </c>
      <c r="Q65" s="22">
        <v>598230</v>
      </c>
      <c r="R65" s="22">
        <v>598230</v>
      </c>
      <c r="S65" s="22">
        <v>598230</v>
      </c>
      <c r="T65" s="22">
        <v>598230</v>
      </c>
      <c r="U65" s="22">
        <v>598230</v>
      </c>
      <c r="V65" s="22">
        <f>SUM(B65:U65)</f>
        <v>11964600</v>
      </c>
    </row>
    <row r="66" spans="1:22">
      <c r="A66" s="23" t="s">
        <v>3</v>
      </c>
      <c r="B66" s="25">
        <v>300218.41928503098</v>
      </c>
      <c r="C66" s="25">
        <v>557730.02007029532</v>
      </c>
      <c r="D66" s="25">
        <v>762783.6775153511</v>
      </c>
      <c r="E66" s="25">
        <v>941817.20773629169</v>
      </c>
      <c r="F66" s="25">
        <v>945245.40733793203</v>
      </c>
      <c r="G66" s="25">
        <v>979290.10771228094</v>
      </c>
      <c r="H66" s="25">
        <v>1016766.3907332115</v>
      </c>
      <c r="I66" s="25">
        <v>1060587.8871083409</v>
      </c>
      <c r="J66" s="25">
        <v>1106061.1409907483</v>
      </c>
      <c r="K66" s="25">
        <v>1119187.0172530951</v>
      </c>
      <c r="L66" s="25">
        <v>1167346.0753681965</v>
      </c>
      <c r="M66" s="25">
        <v>1218733.3513220439</v>
      </c>
      <c r="N66" s="25">
        <v>1272997.6766206254</v>
      </c>
      <c r="O66" s="25">
        <v>1330357.6312588898</v>
      </c>
      <c r="P66" s="25">
        <v>1347667.8680005388</v>
      </c>
      <c r="Q66" s="25">
        <v>1403499.9890493893</v>
      </c>
      <c r="R66" s="25">
        <v>1461661.3319401876</v>
      </c>
      <c r="S66" s="25">
        <v>1522260.4185862499</v>
      </c>
      <c r="T66" s="25">
        <v>1585278.8686702061</v>
      </c>
      <c r="U66" s="25">
        <v>1616889.6169510025</v>
      </c>
      <c r="V66" s="25">
        <f>SUM(B66:U66)</f>
        <v>22716380.10350991</v>
      </c>
    </row>
    <row r="67" spans="1:22">
      <c r="A67" s="23" t="s">
        <v>4</v>
      </c>
      <c r="B67" s="27">
        <f t="shared" ref="B67" si="167">SUM(B65:B66)</f>
        <v>898448.41928503104</v>
      </c>
      <c r="C67" s="27">
        <f t="shared" ref="C67" si="168">SUM(C65:C66)</f>
        <v>1155960.0200702953</v>
      </c>
      <c r="D67" s="27">
        <f t="shared" ref="D67" si="169">SUM(D65:D66)</f>
        <v>1361013.6775153512</v>
      </c>
      <c r="E67" s="27">
        <f t="shared" ref="E67" si="170">SUM(E65:E66)</f>
        <v>1540047.2077362917</v>
      </c>
      <c r="F67" s="27">
        <f t="shared" ref="F67" si="171">SUM(F65:F66)</f>
        <v>1543475.4073379319</v>
      </c>
      <c r="G67" s="27">
        <f t="shared" ref="G67" si="172">SUM(G65:G66)</f>
        <v>1577520.1077122809</v>
      </c>
      <c r="H67" s="27">
        <f t="shared" ref="H67" si="173">SUM(H65:H66)</f>
        <v>1614996.3907332115</v>
      </c>
      <c r="I67" s="27">
        <f t="shared" ref="I67" si="174">SUM(I65:I66)</f>
        <v>1658817.8871083409</v>
      </c>
      <c r="J67" s="27">
        <f t="shared" ref="J67" si="175">SUM(J65:J66)</f>
        <v>1704291.1409907483</v>
      </c>
      <c r="K67" s="27">
        <f t="shared" ref="K67" si="176">SUM(K65:K66)</f>
        <v>1717417.0172530951</v>
      </c>
      <c r="L67" s="27">
        <f t="shared" ref="L67" si="177">SUM(L65:L66)</f>
        <v>1765576.0753681965</v>
      </c>
      <c r="M67" s="27">
        <f t="shared" ref="M67" si="178">SUM(M65:M66)</f>
        <v>1816963.3513220439</v>
      </c>
      <c r="N67" s="27">
        <f t="shared" ref="N67" si="179">SUM(N65:N66)</f>
        <v>1871227.6766206254</v>
      </c>
      <c r="O67" s="27">
        <f t="shared" ref="O67" si="180">SUM(O65:O66)</f>
        <v>1928587.6312588898</v>
      </c>
      <c r="P67" s="27">
        <f t="shared" ref="P67" si="181">SUM(P65:P66)</f>
        <v>1945897.8680005388</v>
      </c>
      <c r="Q67" s="27">
        <f t="shared" ref="Q67" si="182">SUM(Q65:Q66)</f>
        <v>2001729.9890493893</v>
      </c>
      <c r="R67" s="27">
        <f t="shared" ref="R67" si="183">SUM(R65:R66)</f>
        <v>2059891.3319401876</v>
      </c>
      <c r="S67" s="27">
        <f t="shared" ref="S67" si="184">SUM(S65:S66)</f>
        <v>2120490.4185862499</v>
      </c>
      <c r="T67" s="27">
        <f t="shared" ref="T67" si="185">SUM(T65:T66)</f>
        <v>2183508.8686702061</v>
      </c>
      <c r="U67" s="27">
        <f t="shared" ref="U67" si="186">SUM(U65:U66)</f>
        <v>2215119.6169510027</v>
      </c>
      <c r="V67" s="27">
        <f t="shared" ref="V67" si="187">SUM(V65:V66)</f>
        <v>34680980.10350991</v>
      </c>
    </row>
    <row r="69" spans="1:22">
      <c r="A69" s="39" t="s">
        <v>20</v>
      </c>
      <c r="B69" s="40">
        <v>2015</v>
      </c>
      <c r="C69" s="40">
        <f>B69+1</f>
        <v>2016</v>
      </c>
      <c r="D69" s="40">
        <f t="shared" ref="D69" si="188">C69+1</f>
        <v>2017</v>
      </c>
      <c r="E69" s="40">
        <f t="shared" ref="E69" si="189">D69+1</f>
        <v>2018</v>
      </c>
      <c r="F69" s="40">
        <f t="shared" ref="F69" si="190">E69+1</f>
        <v>2019</v>
      </c>
      <c r="G69" s="40">
        <f t="shared" ref="G69" si="191">F69+1</f>
        <v>2020</v>
      </c>
      <c r="H69" s="40">
        <f t="shared" ref="H69" si="192">G69+1</f>
        <v>2021</v>
      </c>
      <c r="I69" s="40">
        <f t="shared" ref="I69" si="193">H69+1</f>
        <v>2022</v>
      </c>
      <c r="J69" s="40">
        <f t="shared" ref="J69" si="194">I69+1</f>
        <v>2023</v>
      </c>
      <c r="K69" s="40">
        <f t="shared" ref="K69" si="195">J69+1</f>
        <v>2024</v>
      </c>
      <c r="L69" s="40">
        <f t="shared" ref="L69" si="196">K69+1</f>
        <v>2025</v>
      </c>
      <c r="M69" s="40">
        <f t="shared" ref="M69" si="197">L69+1</f>
        <v>2026</v>
      </c>
      <c r="N69" s="40">
        <f t="shared" ref="N69" si="198">M69+1</f>
        <v>2027</v>
      </c>
      <c r="O69" s="40">
        <f t="shared" ref="O69" si="199">N69+1</f>
        <v>2028</v>
      </c>
      <c r="P69" s="40">
        <f t="shared" ref="P69" si="200">O69+1</f>
        <v>2029</v>
      </c>
      <c r="Q69" s="40">
        <f t="shared" ref="Q69" si="201">P69+1</f>
        <v>2030</v>
      </c>
      <c r="R69" s="40">
        <f t="shared" ref="R69" si="202">Q69+1</f>
        <v>2031</v>
      </c>
      <c r="S69" s="40">
        <f t="shared" ref="S69" si="203">R69+1</f>
        <v>2032</v>
      </c>
      <c r="T69" s="40">
        <f t="shared" ref="T69" si="204">S69+1</f>
        <v>2033</v>
      </c>
      <c r="U69" s="40">
        <f t="shared" ref="U69" si="205">T69+1</f>
        <v>2034</v>
      </c>
      <c r="V69" s="40" t="s">
        <v>14</v>
      </c>
    </row>
    <row r="70" spans="1:22">
      <c r="A70" s="45" t="s">
        <v>2</v>
      </c>
      <c r="B70" s="44">
        <f>B60+B65</f>
        <v>1196460</v>
      </c>
      <c r="C70" s="44">
        <f t="shared" ref="C70:U70" si="206">C60+C65</f>
        <v>1196460</v>
      </c>
      <c r="D70" s="44">
        <f t="shared" si="206"/>
        <v>1196460</v>
      </c>
      <c r="E70" s="44">
        <f t="shared" si="206"/>
        <v>1196460</v>
      </c>
      <c r="F70" s="44">
        <f t="shared" si="206"/>
        <v>1196460</v>
      </c>
      <c r="G70" s="44">
        <f t="shared" si="206"/>
        <v>1196460</v>
      </c>
      <c r="H70" s="44">
        <f t="shared" si="206"/>
        <v>1196460</v>
      </c>
      <c r="I70" s="44">
        <f t="shared" si="206"/>
        <v>1196460</v>
      </c>
      <c r="J70" s="44">
        <f t="shared" si="206"/>
        <v>1196460</v>
      </c>
      <c r="K70" s="44">
        <f t="shared" si="206"/>
        <v>1196460</v>
      </c>
      <c r="L70" s="44">
        <f t="shared" si="206"/>
        <v>1196460</v>
      </c>
      <c r="M70" s="44">
        <f t="shared" si="206"/>
        <v>1196460</v>
      </c>
      <c r="N70" s="44">
        <f t="shared" si="206"/>
        <v>1196460</v>
      </c>
      <c r="O70" s="44">
        <f t="shared" si="206"/>
        <v>1196460</v>
      </c>
      <c r="P70" s="44">
        <f t="shared" si="206"/>
        <v>1196460</v>
      </c>
      <c r="Q70" s="44">
        <f t="shared" si="206"/>
        <v>1196460</v>
      </c>
      <c r="R70" s="44">
        <f t="shared" si="206"/>
        <v>1196460</v>
      </c>
      <c r="S70" s="44">
        <f t="shared" si="206"/>
        <v>1196460</v>
      </c>
      <c r="T70" s="44">
        <f t="shared" si="206"/>
        <v>1196460</v>
      </c>
      <c r="U70" s="44">
        <f t="shared" si="206"/>
        <v>1196460</v>
      </c>
      <c r="V70" s="44">
        <f>SUM(B70:U70)</f>
        <v>23929200</v>
      </c>
    </row>
    <row r="71" spans="1:22">
      <c r="A71" s="45" t="s">
        <v>3</v>
      </c>
      <c r="B71" s="47">
        <f>B61+B66</f>
        <v>531155.66488890094</v>
      </c>
      <c r="C71" s="47">
        <f t="shared" ref="C71:U71" si="207">C61+C66</f>
        <v>986753.112432061</v>
      </c>
      <c r="D71" s="47">
        <f t="shared" si="207"/>
        <v>1349540.3525271597</v>
      </c>
      <c r="E71" s="47">
        <f t="shared" si="207"/>
        <v>1666291.9829180546</v>
      </c>
      <c r="F71" s="47">
        <f t="shared" si="207"/>
        <v>1672357.2591363413</v>
      </c>
      <c r="G71" s="47">
        <f t="shared" si="207"/>
        <v>1732590.1905678818</v>
      </c>
      <c r="H71" s="47">
        <f t="shared" si="207"/>
        <v>1798894.3836049126</v>
      </c>
      <c r="I71" s="47">
        <f t="shared" si="207"/>
        <v>1876424.723345526</v>
      </c>
      <c r="J71" s="47">
        <f t="shared" si="207"/>
        <v>1956877.4032913239</v>
      </c>
      <c r="K71" s="47">
        <f t="shared" si="207"/>
        <v>1980100.1074477835</v>
      </c>
      <c r="L71" s="47">
        <f t="shared" si="207"/>
        <v>2065304.5948821937</v>
      </c>
      <c r="M71" s="47">
        <f t="shared" si="207"/>
        <v>2156220.5446466929</v>
      </c>
      <c r="N71" s="47">
        <f t="shared" si="207"/>
        <v>2252226.6586364913</v>
      </c>
      <c r="O71" s="47">
        <f t="shared" si="207"/>
        <v>2353709.6553041898</v>
      </c>
      <c r="P71" s="47">
        <f t="shared" si="207"/>
        <v>2384335.4587701838</v>
      </c>
      <c r="Q71" s="47">
        <f t="shared" si="207"/>
        <v>2483115.3652412272</v>
      </c>
      <c r="R71" s="47">
        <f t="shared" si="207"/>
        <v>2586016.2026634086</v>
      </c>
      <c r="S71" s="47">
        <f t="shared" si="207"/>
        <v>2693229.971344904</v>
      </c>
      <c r="T71" s="47">
        <f t="shared" si="207"/>
        <v>2804724.1522626723</v>
      </c>
      <c r="U71" s="47">
        <f t="shared" si="207"/>
        <v>2860650.860759466</v>
      </c>
      <c r="V71" s="47">
        <f>SUM(B71:U71)</f>
        <v>40190518.644671373</v>
      </c>
    </row>
    <row r="72" spans="1:22">
      <c r="A72" s="45" t="s">
        <v>4</v>
      </c>
      <c r="B72" s="49">
        <f t="shared" ref="B72:U72" si="208">SUM(B70:B71)</f>
        <v>1727615.6648889009</v>
      </c>
      <c r="C72" s="49">
        <f t="shared" si="208"/>
        <v>2183213.1124320608</v>
      </c>
      <c r="D72" s="49">
        <f t="shared" si="208"/>
        <v>2546000.3525271597</v>
      </c>
      <c r="E72" s="49">
        <f t="shared" si="208"/>
        <v>2862751.9829180548</v>
      </c>
      <c r="F72" s="49">
        <f t="shared" si="208"/>
        <v>2868817.2591363415</v>
      </c>
      <c r="G72" s="49">
        <f t="shared" si="208"/>
        <v>2929050.1905678818</v>
      </c>
      <c r="H72" s="49">
        <f t="shared" si="208"/>
        <v>2995354.3836049126</v>
      </c>
      <c r="I72" s="49">
        <f t="shared" si="208"/>
        <v>3072884.723345526</v>
      </c>
      <c r="J72" s="49">
        <f t="shared" si="208"/>
        <v>3153337.4032913242</v>
      </c>
      <c r="K72" s="49">
        <f t="shared" si="208"/>
        <v>3176560.1074477835</v>
      </c>
      <c r="L72" s="49">
        <f t="shared" si="208"/>
        <v>3261764.594882194</v>
      </c>
      <c r="M72" s="49">
        <f t="shared" si="208"/>
        <v>3352680.5446466929</v>
      </c>
      <c r="N72" s="49">
        <f t="shared" si="208"/>
        <v>3448686.6586364913</v>
      </c>
      <c r="O72" s="49">
        <f t="shared" si="208"/>
        <v>3550169.6553041898</v>
      </c>
      <c r="P72" s="49">
        <f t="shared" si="208"/>
        <v>3580795.4587701838</v>
      </c>
      <c r="Q72" s="49">
        <f t="shared" si="208"/>
        <v>3679575.3652412272</v>
      </c>
      <c r="R72" s="49">
        <f t="shared" si="208"/>
        <v>3782476.2026634086</v>
      </c>
      <c r="S72" s="49">
        <f t="shared" si="208"/>
        <v>3889689.971344904</v>
      </c>
      <c r="T72" s="49">
        <f t="shared" si="208"/>
        <v>4001184.1522626723</v>
      </c>
      <c r="U72" s="49">
        <f t="shared" si="208"/>
        <v>4057110.860759466</v>
      </c>
      <c r="V72" s="49">
        <f>SUM(V70:V71)</f>
        <v>64119718.644671373</v>
      </c>
    </row>
    <row r="74" spans="1:22">
      <c r="A74" s="58" t="s">
        <v>32</v>
      </c>
      <c r="B74" s="63">
        <f>B60/B12</f>
        <v>7.1252455516021135E-2</v>
      </c>
      <c r="C74" s="63">
        <f t="shared" ref="C74:V74" si="209">C60/C12</f>
        <v>6.7250449534234757E-2</v>
      </c>
      <c r="D74" s="63">
        <f t="shared" si="209"/>
        <v>6.5379211296812331E-2</v>
      </c>
      <c r="E74" s="63">
        <f t="shared" si="209"/>
        <v>6.2584736521497389E-2</v>
      </c>
      <c r="F74" s="63">
        <f t="shared" si="209"/>
        <v>6.3645960840532062E-2</v>
      </c>
      <c r="G74" s="63">
        <f t="shared" si="209"/>
        <v>6.7119595738817664E-2</v>
      </c>
      <c r="H74" s="63">
        <f t="shared" si="209"/>
        <v>7.0716069101107379E-2</v>
      </c>
      <c r="I74" s="63">
        <f t="shared" si="209"/>
        <v>7.4127346293243523E-2</v>
      </c>
      <c r="J74" s="63">
        <f t="shared" si="209"/>
        <v>7.2230751066764465E-2</v>
      </c>
      <c r="K74" s="63">
        <f t="shared" si="209"/>
        <v>7.2230193407848337E-2</v>
      </c>
      <c r="L74" s="63">
        <f t="shared" si="209"/>
        <v>7.2322204682107413E-2</v>
      </c>
      <c r="M74" s="63">
        <f t="shared" si="209"/>
        <v>7.2345651423294507E-2</v>
      </c>
      <c r="N74" s="63">
        <f t="shared" si="209"/>
        <v>7.234012237147483E-2</v>
      </c>
      <c r="O74" s="63">
        <f t="shared" si="209"/>
        <v>6.7974774030639937E-2</v>
      </c>
      <c r="P74" s="63">
        <f t="shared" si="209"/>
        <v>6.7914726889243757E-2</v>
      </c>
      <c r="Q74" s="63">
        <f t="shared" si="209"/>
        <v>6.8057801948175026E-2</v>
      </c>
      <c r="R74" s="63">
        <f t="shared" si="209"/>
        <v>6.8083288530103772E-2</v>
      </c>
      <c r="S74" s="63">
        <f t="shared" si="209"/>
        <v>6.7924608086766605E-2</v>
      </c>
      <c r="T74" s="63">
        <f t="shared" si="209"/>
        <v>6.5511584748945292E-2</v>
      </c>
      <c r="U74" s="63">
        <f t="shared" si="209"/>
        <v>6.5389598439939939E-2</v>
      </c>
      <c r="V74" s="63">
        <f t="shared" si="209"/>
        <v>6.8568519328313773E-2</v>
      </c>
    </row>
    <row r="75" spans="1:22">
      <c r="A75" s="58" t="s">
        <v>33</v>
      </c>
      <c r="B75" s="63">
        <f>B65/B30</f>
        <v>0.10259199666682725</v>
      </c>
      <c r="C75" s="63">
        <f t="shared" ref="C75:V75" si="210">C65/C30</f>
        <v>9.7013740536037771E-2</v>
      </c>
      <c r="D75" s="63">
        <f t="shared" si="210"/>
        <v>9.4494513726814749E-2</v>
      </c>
      <c r="E75" s="63">
        <f t="shared" si="210"/>
        <v>8.3350522256504522E-2</v>
      </c>
      <c r="F75" s="63">
        <f t="shared" si="210"/>
        <v>8.1539824285862261E-2</v>
      </c>
      <c r="G75" s="63">
        <f t="shared" si="210"/>
        <v>7.6469650270269821E-2</v>
      </c>
      <c r="H75" s="63">
        <f t="shared" si="210"/>
        <v>7.2281468923591288E-2</v>
      </c>
      <c r="I75" s="63">
        <f t="shared" si="210"/>
        <v>6.9034246731915577E-2</v>
      </c>
      <c r="J75" s="63">
        <f t="shared" si="210"/>
        <v>6.1617337254625155E-2</v>
      </c>
      <c r="K75" s="63">
        <f t="shared" si="210"/>
        <v>6.1617743077436893E-2</v>
      </c>
      <c r="L75" s="63">
        <f t="shared" si="210"/>
        <v>6.15509408269755E-2</v>
      </c>
      <c r="M75" s="63">
        <f t="shared" si="210"/>
        <v>6.1533968240894951E-2</v>
      </c>
      <c r="N75" s="63">
        <f t="shared" si="210"/>
        <v>6.1537968766641256E-2</v>
      </c>
      <c r="O75" s="63">
        <f t="shared" si="210"/>
        <v>5.727300436462425E-2</v>
      </c>
      <c r="P75" s="63">
        <f t="shared" si="210"/>
        <v>5.7315702035753771E-2</v>
      </c>
      <c r="Q75" s="63">
        <f t="shared" si="210"/>
        <v>5.7214194225671686E-2</v>
      </c>
      <c r="R75" s="63">
        <f t="shared" si="210"/>
        <v>5.7196194575168752E-2</v>
      </c>
      <c r="S75" s="63">
        <f t="shared" si="210"/>
        <v>5.7308666253367425E-2</v>
      </c>
      <c r="T75" s="63">
        <f t="shared" si="210"/>
        <v>5.4626228563881961E-2</v>
      </c>
      <c r="U75" s="63">
        <f t="shared" si="210"/>
        <v>5.4711335086401733E-2</v>
      </c>
      <c r="V75" s="63">
        <f t="shared" si="210"/>
        <v>6.6355748397002257E-2</v>
      </c>
    </row>
    <row r="76" spans="1:22">
      <c r="A76" s="58" t="s">
        <v>34</v>
      </c>
      <c r="B76" s="63">
        <f>B70/B48</f>
        <v>8.40973823094954E-2</v>
      </c>
      <c r="C76" s="63">
        <f t="shared" ref="C76:V76" si="211">C70/C48</f>
        <v>7.9435665914221243E-2</v>
      </c>
      <c r="D76" s="63">
        <f t="shared" si="211"/>
        <v>7.7285705057812806E-2</v>
      </c>
      <c r="E76" s="63">
        <f t="shared" si="211"/>
        <v>7.1490200764818365E-2</v>
      </c>
      <c r="F76" s="63">
        <f t="shared" si="211"/>
        <v>7.1490200764818365E-2</v>
      </c>
      <c r="G76" s="63">
        <f t="shared" si="211"/>
        <v>7.1490200764818365E-2</v>
      </c>
      <c r="H76" s="63">
        <f t="shared" si="211"/>
        <v>7.1490200764818351E-2</v>
      </c>
      <c r="I76" s="63">
        <f t="shared" si="211"/>
        <v>7.1490200764818351E-2</v>
      </c>
      <c r="J76" s="63">
        <f t="shared" si="211"/>
        <v>6.6503251625812887E-2</v>
      </c>
      <c r="K76" s="63">
        <f t="shared" si="211"/>
        <v>6.6503251625812901E-2</v>
      </c>
      <c r="L76" s="63">
        <f t="shared" si="211"/>
        <v>6.6503251625812901E-2</v>
      </c>
      <c r="M76" s="63">
        <f t="shared" si="211"/>
        <v>6.6503251625812901E-2</v>
      </c>
      <c r="N76" s="63">
        <f t="shared" si="211"/>
        <v>6.6503251625812901E-2</v>
      </c>
      <c r="O76" s="63">
        <f t="shared" si="211"/>
        <v>6.2166683986282861E-2</v>
      </c>
      <c r="P76" s="63">
        <f t="shared" si="211"/>
        <v>6.2166683986282875E-2</v>
      </c>
      <c r="Q76" s="63">
        <f t="shared" si="211"/>
        <v>6.2166683986282861E-2</v>
      </c>
      <c r="R76" s="63">
        <f t="shared" si="211"/>
        <v>6.2166683986282861E-2</v>
      </c>
      <c r="S76" s="63">
        <f t="shared" si="211"/>
        <v>6.2166683986282875E-2</v>
      </c>
      <c r="T76" s="63">
        <f t="shared" si="211"/>
        <v>5.9575760593536836E-2</v>
      </c>
      <c r="U76" s="63">
        <f t="shared" si="211"/>
        <v>5.9575760593536836E-2</v>
      </c>
      <c r="V76" s="63">
        <f t="shared" si="211"/>
        <v>6.7443989034907587E-2</v>
      </c>
    </row>
    <row r="78" spans="1:22">
      <c r="A78" s="58" t="s">
        <v>42</v>
      </c>
      <c r="B78" s="63">
        <f>B61/B18</f>
        <v>1.4775570847281986E-2</v>
      </c>
      <c r="C78" s="63">
        <f t="shared" ref="C78:V78" si="212">C61/C18</f>
        <v>2.873528171174192E-2</v>
      </c>
      <c r="D78" s="63">
        <f t="shared" si="212"/>
        <v>4.0266099223805363E-2</v>
      </c>
      <c r="E78" s="63">
        <f t="shared" si="212"/>
        <v>5.2392150150411688E-2</v>
      </c>
      <c r="F78" s="63">
        <f t="shared" si="212"/>
        <v>5.2950217617914214E-2</v>
      </c>
      <c r="G78" s="63">
        <f t="shared" si="212"/>
        <v>5.4920746768450532E-2</v>
      </c>
      <c r="H78" s="63">
        <f t="shared" si="212"/>
        <v>5.7060068471593166E-2</v>
      </c>
      <c r="I78" s="63">
        <f t="shared" si="212"/>
        <v>6.0258075152738413E-2</v>
      </c>
      <c r="J78" s="63">
        <f t="shared" si="212"/>
        <v>6.6788698909400673E-2</v>
      </c>
      <c r="K78" s="63">
        <f t="shared" si="212"/>
        <v>6.7501698437679308E-2</v>
      </c>
      <c r="L78" s="63">
        <f t="shared" si="212"/>
        <v>7.0484049801854562E-2</v>
      </c>
      <c r="M78" s="63">
        <f t="shared" si="212"/>
        <v>7.3676730290537645E-2</v>
      </c>
      <c r="N78" s="63">
        <f t="shared" si="212"/>
        <v>7.706635367663868E-2</v>
      </c>
      <c r="O78" s="63">
        <f t="shared" si="212"/>
        <v>8.5970108936977777E-2</v>
      </c>
      <c r="P78" s="63">
        <f t="shared" si="212"/>
        <v>8.7349762815184903E-2</v>
      </c>
      <c r="Q78" s="63">
        <f t="shared" si="212"/>
        <v>9.1108303591614662E-2</v>
      </c>
      <c r="R78" s="63">
        <f t="shared" si="212"/>
        <v>9.5033715037294769E-2</v>
      </c>
      <c r="S78" s="63">
        <f t="shared" si="212"/>
        <v>9.9145095672366387E-2</v>
      </c>
      <c r="T78" s="63">
        <f t="shared" si="212"/>
        <v>0.10768244605698664</v>
      </c>
      <c r="U78" s="63">
        <f t="shared" si="212"/>
        <v>0.11012383427122807</v>
      </c>
      <c r="V78" s="63">
        <f t="shared" si="212"/>
        <v>6.7415853090680725E-2</v>
      </c>
    </row>
    <row r="79" spans="1:22">
      <c r="A79" s="58" t="s">
        <v>43</v>
      </c>
      <c r="B79" s="63">
        <f>B66/B36</f>
        <v>2.5060181737831335E-2</v>
      </c>
      <c r="C79" s="63">
        <f t="shared" ref="C79:V79" si="213">C66/C36</f>
        <v>4.7370670291416686E-2</v>
      </c>
      <c r="D79" s="63">
        <f t="shared" si="213"/>
        <v>6.4923163602451678E-2</v>
      </c>
      <c r="E79" s="63">
        <f t="shared" si="213"/>
        <v>8.3978518035493013E-2</v>
      </c>
      <c r="F79" s="63">
        <f t="shared" si="213"/>
        <v>8.3454137712182241E-2</v>
      </c>
      <c r="G79" s="63">
        <f t="shared" si="213"/>
        <v>8.6536387475447632E-2</v>
      </c>
      <c r="H79" s="63">
        <f t="shared" si="213"/>
        <v>8.9392035477378382E-2</v>
      </c>
      <c r="I79" s="63">
        <f t="shared" si="213"/>
        <v>9.2099722093564207E-2</v>
      </c>
      <c r="J79" s="63">
        <f t="shared" si="213"/>
        <v>0.10048335098451154</v>
      </c>
      <c r="K79" s="63">
        <f t="shared" si="213"/>
        <v>0.10105933141939626</v>
      </c>
      <c r="L79" s="63">
        <f t="shared" si="213"/>
        <v>0.10531860822455415</v>
      </c>
      <c r="M79" s="63">
        <f t="shared" si="213"/>
        <v>0.10985323734511521</v>
      </c>
      <c r="N79" s="63">
        <f t="shared" si="213"/>
        <v>0.11462332468950157</v>
      </c>
      <c r="O79" s="63">
        <f t="shared" si="213"/>
        <v>0.12509697160827629</v>
      </c>
      <c r="P79" s="63">
        <f t="shared" si="213"/>
        <v>0.12639248073375942</v>
      </c>
      <c r="Q79" s="63">
        <f t="shared" si="213"/>
        <v>0.13150688351723883</v>
      </c>
      <c r="R79" s="63">
        <f t="shared" si="213"/>
        <v>0.13682912789242291</v>
      </c>
      <c r="S79" s="63">
        <f t="shared" si="213"/>
        <v>0.142361132374552</v>
      </c>
      <c r="T79" s="63">
        <f t="shared" si="213"/>
        <v>0.15194375436311069</v>
      </c>
      <c r="U79" s="63">
        <f t="shared" si="213"/>
        <v>0.15469693649381425</v>
      </c>
      <c r="V79" s="63">
        <f t="shared" si="213"/>
        <v>0.10239667479259994</v>
      </c>
    </row>
    <row r="80" spans="1:22">
      <c r="A80" s="58" t="s">
        <v>44</v>
      </c>
      <c r="B80" s="63">
        <f>B71/B54</f>
        <v>1.9238103704159609E-2</v>
      </c>
      <c r="C80" s="63">
        <f t="shared" ref="C80:V80" si="214">C71/C54</f>
        <v>3.6951610520380221E-2</v>
      </c>
      <c r="D80" s="63">
        <f t="shared" si="214"/>
        <v>5.1272383254372556E-2</v>
      </c>
      <c r="E80" s="63">
        <f t="shared" si="214"/>
        <v>6.6537491116589312E-2</v>
      </c>
      <c r="F80" s="63">
        <f t="shared" si="214"/>
        <v>6.6738082598043633E-2</v>
      </c>
      <c r="G80" s="63">
        <f t="shared" si="214"/>
        <v>6.9213236974518089E-2</v>
      </c>
      <c r="H80" s="63">
        <f t="shared" si="214"/>
        <v>7.1722425268068213E-2</v>
      </c>
      <c r="I80" s="63">
        <f t="shared" si="214"/>
        <v>7.4893144498696912E-2</v>
      </c>
      <c r="J80" s="63">
        <f t="shared" si="214"/>
        <v>8.2407563358909933E-2</v>
      </c>
      <c r="K80" s="63">
        <f t="shared" si="214"/>
        <v>8.3097971832289785E-2</v>
      </c>
      <c r="L80" s="63">
        <f t="shared" si="214"/>
        <v>8.6690698433362787E-2</v>
      </c>
      <c r="M80" s="63">
        <f t="shared" si="214"/>
        <v>9.0527026705862573E-2</v>
      </c>
      <c r="N80" s="63">
        <f t="shared" si="214"/>
        <v>9.4582762284427913E-2</v>
      </c>
      <c r="O80" s="63">
        <f t="shared" si="214"/>
        <v>0.10443205976700486</v>
      </c>
      <c r="P80" s="63">
        <f t="shared" si="214"/>
        <v>0.10582667900710103</v>
      </c>
      <c r="Q80" s="63">
        <f t="shared" si="214"/>
        <v>0.11025166969372707</v>
      </c>
      <c r="R80" s="63">
        <f t="shared" si="214"/>
        <v>0.11486513459957536</v>
      </c>
      <c r="S80" s="63">
        <f t="shared" si="214"/>
        <v>0.11967988098686962</v>
      </c>
      <c r="T80" s="63">
        <f t="shared" si="214"/>
        <v>0.12890669809968849</v>
      </c>
      <c r="U80" s="63">
        <f t="shared" si="214"/>
        <v>0.13154723364342302</v>
      </c>
      <c r="V80" s="63">
        <f t="shared" si="214"/>
        <v>8.3548163847971715E-2</v>
      </c>
    </row>
  </sheetData>
  <pageMargins left="0.7" right="0.7" top="0.75" bottom="0.75" header="0.3" footer="0.3"/>
  <pageSetup orientation="portrait" r:id="rId1"/>
  <ignoredErrors>
    <ignoredError sqref="B67 B62" formulaRange="1"/>
  </ignoredErrors>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V96"/>
  <sheetViews>
    <sheetView workbookViewId="0">
      <pane ySplit="1" topLeftCell="A44" activePane="bottomLeft" state="frozen"/>
      <selection activeCell="B3" sqref="B3"/>
      <selection pane="bottomLeft" activeCell="A77" sqref="A77:V77"/>
    </sheetView>
  </sheetViews>
  <sheetFormatPr defaultRowHeight="15"/>
  <cols>
    <col min="1" max="1" width="37.85546875" customWidth="1"/>
    <col min="2" max="2" width="9.85546875" bestFit="1" customWidth="1"/>
  </cols>
  <sheetData>
    <row r="1" spans="1:22" ht="15.75">
      <c r="A1" s="7" t="s">
        <v>38</v>
      </c>
    </row>
    <row r="2" spans="1:22" ht="15.75">
      <c r="A2" s="7"/>
    </row>
    <row r="3" spans="1:22" ht="15.75">
      <c r="A3" s="7" t="s">
        <v>26</v>
      </c>
    </row>
    <row r="4" spans="1:22">
      <c r="A4" s="62" t="s">
        <v>27</v>
      </c>
      <c r="B4" s="6">
        <v>2015</v>
      </c>
      <c r="C4" s="6">
        <f>B4+1</f>
        <v>2016</v>
      </c>
      <c r="D4" s="6">
        <f t="shared" ref="D4:U4" si="0">C4+1</f>
        <v>2017</v>
      </c>
      <c r="E4" s="6">
        <f t="shared" si="0"/>
        <v>2018</v>
      </c>
      <c r="F4" s="6">
        <f t="shared" si="0"/>
        <v>2019</v>
      </c>
      <c r="G4" s="6">
        <f t="shared" si="0"/>
        <v>2020</v>
      </c>
      <c r="H4" s="6">
        <f t="shared" si="0"/>
        <v>2021</v>
      </c>
      <c r="I4" s="6">
        <f t="shared" si="0"/>
        <v>2022</v>
      </c>
      <c r="J4" s="6">
        <f t="shared" si="0"/>
        <v>2023</v>
      </c>
      <c r="K4" s="6">
        <f t="shared" si="0"/>
        <v>2024</v>
      </c>
      <c r="L4" s="6">
        <f t="shared" si="0"/>
        <v>2025</v>
      </c>
      <c r="M4" s="6">
        <f t="shared" si="0"/>
        <v>2026</v>
      </c>
      <c r="N4" s="6">
        <f t="shared" si="0"/>
        <v>2027</v>
      </c>
      <c r="O4" s="6">
        <f t="shared" si="0"/>
        <v>2028</v>
      </c>
      <c r="P4" s="6">
        <f t="shared" si="0"/>
        <v>2029</v>
      </c>
      <c r="Q4" s="6">
        <f t="shared" si="0"/>
        <v>2030</v>
      </c>
      <c r="R4" s="6">
        <f t="shared" si="0"/>
        <v>2031</v>
      </c>
      <c r="S4" s="6">
        <f t="shared" si="0"/>
        <v>2032</v>
      </c>
      <c r="T4" s="6">
        <f t="shared" si="0"/>
        <v>2033</v>
      </c>
      <c r="U4" s="6">
        <f t="shared" si="0"/>
        <v>2034</v>
      </c>
      <c r="V4" s="6" t="s">
        <v>14</v>
      </c>
    </row>
    <row r="5" spans="1:22">
      <c r="A5" s="50" t="s">
        <v>2</v>
      </c>
    </row>
    <row r="6" spans="1:22">
      <c r="A6" s="9" t="s">
        <v>8</v>
      </c>
      <c r="B6" s="54">
        <f>'Scen 1 Budgets'!B6/'Scen 1 MWh Savings'!B6</f>
        <v>272.26092594416957</v>
      </c>
      <c r="C6" s="54">
        <f>'Scen 1 Budgets'!C6/'Scen 1 MWh Savings'!C6</f>
        <v>262.60109408600584</v>
      </c>
      <c r="D6" s="54">
        <f>'Scen 1 Budgets'!D6/'Scen 1 MWh Savings'!D6</f>
        <v>240.56912460483758</v>
      </c>
      <c r="E6" s="54">
        <f>'Scen 1 Budgets'!E6/'Scen 1 MWh Savings'!E6</f>
        <v>261.47802109867422</v>
      </c>
      <c r="F6" s="54">
        <f>'Scen 1 Budgets'!F6/'Scen 1 MWh Savings'!F6</f>
        <v>268.83586752900771</v>
      </c>
      <c r="G6" s="54">
        <f>'Scen 1 Budgets'!G6/'Scen 1 MWh Savings'!G6</f>
        <v>300.27348598477698</v>
      </c>
      <c r="H6" s="54">
        <f>'Scen 1 Budgets'!H6/'Scen 1 MWh Savings'!H6</f>
        <v>288.64805113152215</v>
      </c>
      <c r="I6" s="54">
        <f>'Scen 1 Budgets'!I6/'Scen 1 MWh Savings'!I6</f>
        <v>283.97461064335096</v>
      </c>
      <c r="J6" s="54">
        <f>'Scen 1 Budgets'!J6/'Scen 1 MWh Savings'!J6</f>
        <v>282.36027115980494</v>
      </c>
      <c r="K6" s="54">
        <f>'Scen 1 Budgets'!K6/'Scen 1 MWh Savings'!K6</f>
        <v>271.29425518874143</v>
      </c>
      <c r="L6" s="54">
        <f>'Scen 1 Budgets'!L6/'Scen 1 MWh Savings'!L6</f>
        <v>271.4438921729178</v>
      </c>
      <c r="M6" s="54">
        <f>'Scen 1 Budgets'!M6/'Scen 1 MWh Savings'!M6</f>
        <v>271.59228323351351</v>
      </c>
      <c r="N6" s="54">
        <f>'Scen 1 Budgets'!N6/'Scen 1 MWh Savings'!N6</f>
        <v>264.27540171227002</v>
      </c>
      <c r="O6" s="54">
        <f>'Scen 1 Budgets'!O6/'Scen 1 MWh Savings'!O6</f>
        <v>266.84120849181841</v>
      </c>
      <c r="P6" s="54">
        <f>'Scen 1 Budgets'!P6/'Scen 1 MWh Savings'!P6</f>
        <v>266.96937693504867</v>
      </c>
      <c r="Q6" s="54">
        <f>'Scen 1 Budgets'!Q6/'Scen 1 MWh Savings'!Q6</f>
        <v>259.58601134110205</v>
      </c>
      <c r="R6" s="54">
        <f>'Scen 1 Budgets'!R6/'Scen 1 MWh Savings'!R6</f>
        <v>259.70510143217092</v>
      </c>
      <c r="S6" s="54">
        <f>'Scen 1 Budgets'!S6/'Scen 1 MWh Savings'!S6</f>
        <v>259.82321702841966</v>
      </c>
      <c r="T6" s="54">
        <f>'Scen 1 Budgets'!T6/'Scen 1 MWh Savings'!T6</f>
        <v>253.21638723796428</v>
      </c>
      <c r="U6" s="54">
        <f>'Scen 1 Budgets'!U6/'Scen 1 MWh Savings'!U6</f>
        <v>253.32101422215936</v>
      </c>
      <c r="V6" s="54">
        <f>'Scen 1 Budgets'!V6/'Scen 1 MWh Savings'!V6</f>
        <v>266.84798340504807</v>
      </c>
    </row>
    <row r="7" spans="1:22">
      <c r="A7" s="10" t="s">
        <v>9</v>
      </c>
      <c r="B7" s="54">
        <f>'Scen 1 Budgets'!B7/'Scen 1 MWh Savings'!B7</f>
        <v>205.5124925639258</v>
      </c>
      <c r="C7" s="54">
        <f>'Scen 1 Budgets'!C7/'Scen 1 MWh Savings'!C7</f>
        <v>205.5523974689431</v>
      </c>
      <c r="D7" s="54">
        <f>'Scen 1 Budgets'!D7/'Scen 1 MWh Savings'!D7</f>
        <v>201.63711327054349</v>
      </c>
      <c r="E7" s="54">
        <f>'Scen 1 Budgets'!E7/'Scen 1 MWh Savings'!E7</f>
        <v>219.93985712283805</v>
      </c>
      <c r="F7" s="54">
        <f>'Scen 1 Budgets'!F7/'Scen 1 MWh Savings'!F7</f>
        <v>196.75415257201516</v>
      </c>
      <c r="G7" s="54">
        <f>'Scen 1 Budgets'!G7/'Scen 1 MWh Savings'!G7</f>
        <v>267.70506098432287</v>
      </c>
      <c r="H7" s="54">
        <f>'Scen 1 Budgets'!H7/'Scen 1 MWh Savings'!H7</f>
        <v>300.57097276314909</v>
      </c>
      <c r="I7" s="54">
        <f>'Scen 1 Budgets'!I7/'Scen 1 MWh Savings'!I7</f>
        <v>299.69756659171151</v>
      </c>
      <c r="J7" s="54">
        <f>'Scen 1 Budgets'!J7/'Scen 1 MWh Savings'!J7</f>
        <v>291.92890585133199</v>
      </c>
      <c r="K7" s="54">
        <f>'Scen 1 Budgets'!K7/'Scen 1 MWh Savings'!K7</f>
        <v>284.83905984198896</v>
      </c>
      <c r="L7" s="54">
        <f>'Scen 1 Budgets'!L7/'Scen 1 MWh Savings'!L7</f>
        <v>277.90403023163674</v>
      </c>
      <c r="M7" s="54">
        <f>'Scen 1 Budgets'!M7/'Scen 1 MWh Savings'!M7</f>
        <v>276.63342241471372</v>
      </c>
      <c r="N7" s="54">
        <f>'Scen 1 Budgets'!N7/'Scen 1 MWh Savings'!N7</f>
        <v>276.245624188264</v>
      </c>
      <c r="O7" s="54">
        <f>'Scen 1 Budgets'!O7/'Scen 1 MWh Savings'!O7</f>
        <v>275.06518204610853</v>
      </c>
      <c r="P7" s="54">
        <f>'Scen 1 Budgets'!P7/'Scen 1 MWh Savings'!P7</f>
        <v>276.81879193885067</v>
      </c>
      <c r="Q7" s="54">
        <f>'Scen 1 Budgets'!Q7/'Scen 1 MWh Savings'!Q7</f>
        <v>274.79979192588416</v>
      </c>
      <c r="R7" s="54">
        <f>'Scen 1 Budgets'!R7/'Scen 1 MWh Savings'!R7</f>
        <v>272.85425120507341</v>
      </c>
      <c r="S7" s="54">
        <f>'Scen 1 Budgets'!S7/'Scen 1 MWh Savings'!S7</f>
        <v>269.88594496893427</v>
      </c>
      <c r="T7" s="54">
        <f>'Scen 1 Budgets'!T7/'Scen 1 MWh Savings'!T7</f>
        <v>273.90558081337326</v>
      </c>
      <c r="U7" s="54">
        <f>'Scen 1 Budgets'!U7/'Scen 1 MWh Savings'!U7</f>
        <v>270.99912235079228</v>
      </c>
      <c r="V7" s="54">
        <f>'Scen 1 Budgets'!V7/'Scen 1 MWh Savings'!V7</f>
        <v>247.65811035935192</v>
      </c>
    </row>
    <row r="8" spans="1:22">
      <c r="A8" s="10" t="s">
        <v>10</v>
      </c>
      <c r="B8" s="54">
        <f>'Scen 1 Budgets'!B8/'Scen 1 MWh Savings'!B8</f>
        <v>108.73781849098425</v>
      </c>
      <c r="C8" s="54">
        <f>'Scen 1 Budgets'!C8/'Scen 1 MWh Savings'!C8</f>
        <v>113.33053858936832</v>
      </c>
      <c r="D8" s="54">
        <f>'Scen 1 Budgets'!D8/'Scen 1 MWh Savings'!D8</f>
        <v>114.13579262375005</v>
      </c>
      <c r="E8" s="54">
        <f>'Scen 1 Budgets'!E8/'Scen 1 MWh Savings'!E8</f>
        <v>122.17674336785934</v>
      </c>
      <c r="F8" s="54">
        <f>'Scen 1 Budgets'!F8/'Scen 1 MWh Savings'!F8</f>
        <v>120.87580227197661</v>
      </c>
      <c r="G8" s="54">
        <f>'Scen 1 Budgets'!G8/'Scen 1 MWh Savings'!G8</f>
        <v>135.7210866239013</v>
      </c>
      <c r="H8" s="54">
        <f>'Scen 1 Budgets'!H8/'Scen 1 MWh Savings'!H8</f>
        <v>145.03620698875761</v>
      </c>
      <c r="I8" s="54">
        <f>'Scen 1 Budgets'!I8/'Scen 1 MWh Savings'!I8</f>
        <v>153.40962667778479</v>
      </c>
      <c r="J8" s="54">
        <f>'Scen 1 Budgets'!J8/'Scen 1 MWh Savings'!J8</f>
        <v>167.48623917963403</v>
      </c>
      <c r="K8" s="54">
        <f>'Scen 1 Budgets'!K8/'Scen 1 MWh Savings'!K8</f>
        <v>165.87802458344507</v>
      </c>
      <c r="L8" s="54">
        <f>'Scen 1 Budgets'!L8/'Scen 1 MWh Savings'!L8</f>
        <v>165.61187155271622</v>
      </c>
      <c r="M8" s="54">
        <f>'Scen 1 Budgets'!M8/'Scen 1 MWh Savings'!M8</f>
        <v>163.75980683754378</v>
      </c>
      <c r="N8" s="54">
        <f>'Scen 1 Budgets'!N8/'Scen 1 MWh Savings'!N8</f>
        <v>164.97877994274057</v>
      </c>
      <c r="O8" s="54">
        <f>'Scen 1 Budgets'!O8/'Scen 1 MWh Savings'!O8</f>
        <v>177.14942802125407</v>
      </c>
      <c r="P8" s="54">
        <f>'Scen 1 Budgets'!P8/'Scen 1 MWh Savings'!P8</f>
        <v>179.25516876359842</v>
      </c>
      <c r="Q8" s="54">
        <f>'Scen 1 Budgets'!Q8/'Scen 1 MWh Savings'!Q8</f>
        <v>180.50664687027276</v>
      </c>
      <c r="R8" s="54">
        <f>'Scen 1 Budgets'!R8/'Scen 1 MWh Savings'!R8</f>
        <v>181.22990500893536</v>
      </c>
      <c r="S8" s="54">
        <f>'Scen 1 Budgets'!S8/'Scen 1 MWh Savings'!S8</f>
        <v>182.75269226646</v>
      </c>
      <c r="T8" s="54">
        <f>'Scen 1 Budgets'!T8/'Scen 1 MWh Savings'!T8</f>
        <v>191.28788778160754</v>
      </c>
      <c r="U8" s="54">
        <f>'Scen 1 Budgets'!U8/'Scen 1 MWh Savings'!U8</f>
        <v>193.0627277118372</v>
      </c>
      <c r="V8" s="54">
        <f>'Scen 1 Budgets'!V8/'Scen 1 MWh Savings'!V8</f>
        <v>162.6423115958664</v>
      </c>
    </row>
    <row r="9" spans="1:22">
      <c r="A9" s="10" t="s">
        <v>11</v>
      </c>
      <c r="B9" s="54">
        <f>'Scen 1 Budgets'!B9/'Scen 1 MWh Savings'!B9</f>
        <v>350.98289360481749</v>
      </c>
      <c r="C9" s="54">
        <f>'Scen 1 Budgets'!C9/'Scen 1 MWh Savings'!C9</f>
        <v>350.75082993734287</v>
      </c>
      <c r="D9" s="54">
        <f>'Scen 1 Budgets'!D9/'Scen 1 MWh Savings'!D9</f>
        <v>349.51088975692824</v>
      </c>
      <c r="E9" s="54">
        <f>'Scen 1 Budgets'!E9/'Scen 1 MWh Savings'!E9</f>
        <v>351.54369805044593</v>
      </c>
      <c r="F9" s="54">
        <f>'Scen 1 Budgets'!F9/'Scen 1 MWh Savings'!F9</f>
        <v>343.19337682882605</v>
      </c>
      <c r="G9" s="54">
        <f>'Scen 1 Budgets'!G9/'Scen 1 MWh Savings'!G9</f>
        <v>340.68067817940556</v>
      </c>
      <c r="H9" s="54">
        <f>'Scen 1 Budgets'!H9/'Scen 1 MWh Savings'!H9</f>
        <v>333.97425180163697</v>
      </c>
      <c r="I9" s="54">
        <f>'Scen 1 Budgets'!I9/'Scen 1 MWh Savings'!I9</f>
        <v>328.64895127585174</v>
      </c>
      <c r="J9" s="54">
        <f>'Scen 1 Budgets'!J9/'Scen 1 MWh Savings'!J9</f>
        <v>319.27067306500572</v>
      </c>
      <c r="K9" s="54">
        <f>'Scen 1 Budgets'!K9/'Scen 1 MWh Savings'!K9</f>
        <v>317.56190881524378</v>
      </c>
      <c r="L9" s="54">
        <f>'Scen 1 Budgets'!L9/'Scen 1 MWh Savings'!L9</f>
        <v>315.24267234747271</v>
      </c>
      <c r="M9" s="54">
        <f>'Scen 1 Budgets'!M9/'Scen 1 MWh Savings'!M9</f>
        <v>313.5271292848106</v>
      </c>
      <c r="N9" s="54">
        <f>'Scen 1 Budgets'!N9/'Scen 1 MWh Savings'!N9</f>
        <v>311.19553653761108</v>
      </c>
      <c r="O9" s="54">
        <f>'Scen 1 Budgets'!O9/'Scen 1 MWh Savings'!O9</f>
        <v>309.68865877839562</v>
      </c>
      <c r="P9" s="54">
        <f>'Scen 1 Budgets'!P9/'Scen 1 MWh Savings'!P9</f>
        <v>307.46588381540545</v>
      </c>
      <c r="Q9" s="54">
        <f>'Scen 1 Budgets'!Q9/'Scen 1 MWh Savings'!Q9</f>
        <v>305.30063272088495</v>
      </c>
      <c r="R9" s="54">
        <f>'Scen 1 Budgets'!R9/'Scen 1 MWh Savings'!R9</f>
        <v>300.9487116801875</v>
      </c>
      <c r="S9" s="54">
        <f>'Scen 1 Budgets'!S9/'Scen 1 MWh Savings'!S9</f>
        <v>298.81180347986884</v>
      </c>
      <c r="T9" s="54">
        <f>'Scen 1 Budgets'!T9/'Scen 1 MWh Savings'!T9</f>
        <v>296.73079712574298</v>
      </c>
      <c r="U9" s="54">
        <f>'Scen 1 Budgets'!U9/'Scen 1 MWh Savings'!U9</f>
        <v>294.18054905437526</v>
      </c>
      <c r="V9" s="54">
        <f>'Scen 1 Budgets'!V9/'Scen 1 MWh Savings'!V9</f>
        <v>320.79323149655869</v>
      </c>
    </row>
    <row r="10" spans="1:22">
      <c r="A10" s="2" t="s">
        <v>12</v>
      </c>
      <c r="B10" s="54">
        <f>'Scen 1 Budgets'!B10/'Scen 1 MWh Savings'!B10</f>
        <v>253.28240711782456</v>
      </c>
      <c r="C10" s="54">
        <f>'Scen 1 Budgets'!C10/'Scen 1 MWh Savings'!C10</f>
        <v>253.38120388445648</v>
      </c>
      <c r="D10" s="54">
        <f>'Scen 1 Budgets'!D10/'Scen 1 MWh Savings'!D10</f>
        <v>252.55354613750887</v>
      </c>
      <c r="E10" s="54">
        <f>'Scen 1 Budgets'!E10/'Scen 1 MWh Savings'!E10</f>
        <v>255.77538277234086</v>
      </c>
      <c r="F10" s="54">
        <f>'Scen 1 Budgets'!F10/'Scen 1 MWh Savings'!F10</f>
        <v>255.80027158816279</v>
      </c>
      <c r="G10" s="54">
        <f>'Scen 1 Budgets'!G10/'Scen 1 MWh Savings'!G10</f>
        <v>259.66112671743298</v>
      </c>
      <c r="H10" s="54">
        <f>'Scen 1 Budgets'!H10/'Scen 1 MWh Savings'!H10</f>
        <v>257.83751411138229</v>
      </c>
      <c r="I10" s="54">
        <f>'Scen 1 Budgets'!I10/'Scen 1 MWh Savings'!I10</f>
        <v>253.73450941297358</v>
      </c>
      <c r="J10" s="54">
        <f>'Scen 1 Budgets'!J10/'Scen 1 MWh Savings'!J10</f>
        <v>251.41134510452366</v>
      </c>
      <c r="K10" s="54">
        <f>'Scen 1 Budgets'!K10/'Scen 1 MWh Savings'!K10</f>
        <v>250.97552882416005</v>
      </c>
      <c r="L10" s="54">
        <f>'Scen 1 Budgets'!L10/'Scen 1 MWh Savings'!L10</f>
        <v>249.18013720560188</v>
      </c>
      <c r="M10" s="54">
        <f>'Scen 1 Budgets'!M10/'Scen 1 MWh Savings'!M10</f>
        <v>248.46864464542963</v>
      </c>
      <c r="N10" s="54">
        <f>'Scen 1 Budgets'!N10/'Scen 1 MWh Savings'!N10</f>
        <v>246.72608305913377</v>
      </c>
      <c r="O10" s="54">
        <f>'Scen 1 Budgets'!O10/'Scen 1 MWh Savings'!O10</f>
        <v>245.99656905681255</v>
      </c>
      <c r="P10" s="54">
        <f>'Scen 1 Budgets'!P10/'Scen 1 MWh Savings'!P10</f>
        <v>245.14558943444968</v>
      </c>
      <c r="Q10" s="54">
        <f>'Scen 1 Budgets'!Q10/'Scen 1 MWh Savings'!Q10</f>
        <v>244.094322874715</v>
      </c>
      <c r="R10" s="54">
        <f>'Scen 1 Budgets'!R10/'Scen 1 MWh Savings'!R10</f>
        <v>242.00662802982458</v>
      </c>
      <c r="S10" s="54">
        <f>'Scen 1 Budgets'!S10/'Scen 1 MWh Savings'!S10</f>
        <v>241.17677592683569</v>
      </c>
      <c r="T10" s="54">
        <f>'Scen 1 Budgets'!T10/'Scen 1 MWh Savings'!T10</f>
        <v>240.14405611568134</v>
      </c>
      <c r="U10" s="54">
        <f>'Scen 1 Budgets'!U10/'Scen 1 MWh Savings'!U10</f>
        <v>238.87974617531913</v>
      </c>
      <c r="V10" s="54">
        <f>'Scen 1 Budgets'!V10/'Scen 1 MWh Savings'!V10</f>
        <v>249.15430352346115</v>
      </c>
    </row>
    <row r="11" spans="1:22">
      <c r="A11" s="2" t="s">
        <v>13</v>
      </c>
      <c r="B11" s="55">
        <f>'Scen 1 Budgets'!B11/'Scen 1 MWh Savings'!B11</f>
        <v>181.14569773314156</v>
      </c>
      <c r="C11" s="55">
        <f>'Scen 1 Budgets'!C11/'Scen 1 MWh Savings'!C11</f>
        <v>184.7075962559145</v>
      </c>
      <c r="D11" s="55">
        <f>'Scen 1 Budgets'!D11/'Scen 1 MWh Savings'!D11</f>
        <v>188.23628599624396</v>
      </c>
      <c r="E11" s="55">
        <f>'Scen 1 Budgets'!E11/'Scen 1 MWh Savings'!E11</f>
        <v>197.27473119596445</v>
      </c>
      <c r="F11" s="55">
        <f>'Scen 1 Budgets'!F11/'Scen 1 MWh Savings'!F11</f>
        <v>193.50260154179193</v>
      </c>
      <c r="G11" s="55">
        <f>'Scen 1 Budgets'!G11/'Scen 1 MWh Savings'!G11</f>
        <v>197.93550664774259</v>
      </c>
      <c r="H11" s="55">
        <f>'Scen 1 Budgets'!H11/'Scen 1 MWh Savings'!H11</f>
        <v>199.10709268291475</v>
      </c>
      <c r="I11" s="55">
        <f>'Scen 1 Budgets'!I11/'Scen 1 MWh Savings'!I11</f>
        <v>202.9488456255834</v>
      </c>
      <c r="J11" s="55">
        <f>'Scen 1 Budgets'!J11/'Scen 1 MWh Savings'!J11</f>
        <v>209.29711267737261</v>
      </c>
      <c r="K11" s="55">
        <f>'Scen 1 Budgets'!K11/'Scen 1 MWh Savings'!K11</f>
        <v>209.50280527051211</v>
      </c>
      <c r="L11" s="55">
        <f>'Scen 1 Budgets'!L11/'Scen 1 MWh Savings'!L11</f>
        <v>209.0019881537936</v>
      </c>
      <c r="M11" s="55">
        <f>'Scen 1 Budgets'!M11/'Scen 1 MWh Savings'!M11</f>
        <v>208.80134985863018</v>
      </c>
      <c r="N11" s="55">
        <f>'Scen 1 Budgets'!N11/'Scen 1 MWh Savings'!N11</f>
        <v>207.95876304203267</v>
      </c>
      <c r="O11" s="55">
        <f>'Scen 1 Budgets'!O11/'Scen 1 MWh Savings'!O11</f>
        <v>214.26903110488101</v>
      </c>
      <c r="P11" s="55">
        <f>'Scen 1 Budgets'!P11/'Scen 1 MWh Savings'!P11</f>
        <v>215.34575504312582</v>
      </c>
      <c r="Q11" s="55">
        <f>'Scen 1 Budgets'!Q11/'Scen 1 MWh Savings'!Q11</f>
        <v>215.13380295488926</v>
      </c>
      <c r="R11" s="55">
        <f>'Scen 1 Budgets'!R11/'Scen 1 MWh Savings'!R11</f>
        <v>214.62639141080385</v>
      </c>
      <c r="S11" s="55">
        <f>'Scen 1 Budgets'!S11/'Scen 1 MWh Savings'!S11</f>
        <v>216.31520802001378</v>
      </c>
      <c r="T11" s="55">
        <f>'Scen 1 Budgets'!T11/'Scen 1 MWh Savings'!T11</f>
        <v>219.411015531972</v>
      </c>
      <c r="U11" s="55">
        <f>'Scen 1 Budgets'!U11/'Scen 1 MWh Savings'!U11</f>
        <v>219.01031617774106</v>
      </c>
      <c r="V11" s="55">
        <f>'Scen 1 Budgets'!V11/'Scen 1 MWh Savings'!V11</f>
        <v>207.66267484034</v>
      </c>
    </row>
    <row r="12" spans="1:22">
      <c r="A12" s="8" t="s">
        <v>15</v>
      </c>
      <c r="B12" s="56">
        <f>'Scen 1 Budgets'!B12/'Scen 1 MWh Savings'!B12</f>
        <v>202.74921138895473</v>
      </c>
      <c r="C12" s="56">
        <f>'Scen 1 Budgets'!C12/'Scen 1 MWh Savings'!C12</f>
        <v>203.54551426001581</v>
      </c>
      <c r="D12" s="56">
        <f>'Scen 1 Budgets'!D12/'Scen 1 MWh Savings'!D12</f>
        <v>200.52424123457055</v>
      </c>
      <c r="E12" s="56">
        <f>'Scen 1 Budgets'!E12/'Scen 1 MWh Savings'!E12</f>
        <v>213.76757154009667</v>
      </c>
      <c r="F12" s="56">
        <f>'Scen 1 Budgets'!F12/'Scen 1 MWh Savings'!F12</f>
        <v>198.85000682133742</v>
      </c>
      <c r="G12" s="56">
        <f>'Scen 1 Budgets'!G12/'Scen 1 MWh Savings'!G12</f>
        <v>237.61223417836013</v>
      </c>
      <c r="H12" s="56">
        <f>'Scen 1 Budgets'!H12/'Scen 1 MWh Savings'!H12</f>
        <v>246.12352638545102</v>
      </c>
      <c r="I12" s="56">
        <f>'Scen 1 Budgets'!I12/'Scen 1 MWh Savings'!I12</f>
        <v>241.23896780424468</v>
      </c>
      <c r="J12" s="56">
        <f>'Scen 1 Budgets'!J12/'Scen 1 MWh Savings'!J12</f>
        <v>238.06645065677878</v>
      </c>
      <c r="K12" s="56">
        <f>'Scen 1 Budgets'!K12/'Scen 1 MWh Savings'!K12</f>
        <v>234.69020880657811</v>
      </c>
      <c r="L12" s="56">
        <f>'Scen 1 Budgets'!L12/'Scen 1 MWh Savings'!L12</f>
        <v>231.2243613096262</v>
      </c>
      <c r="M12" s="56">
        <f>'Scen 1 Budgets'!M12/'Scen 1 MWh Savings'!M12</f>
        <v>228.61446013440036</v>
      </c>
      <c r="N12" s="56">
        <f>'Scen 1 Budgets'!N12/'Scen 1 MWh Savings'!N12</f>
        <v>227.65833538666172</v>
      </c>
      <c r="O12" s="56">
        <f>'Scen 1 Budgets'!O12/'Scen 1 MWh Savings'!O12</f>
        <v>232.7558431787796</v>
      </c>
      <c r="P12" s="56">
        <f>'Scen 1 Budgets'!P12/'Scen 1 MWh Savings'!P12</f>
        <v>233.31070847235947</v>
      </c>
      <c r="Q12" s="56">
        <f>'Scen 1 Budgets'!Q12/'Scen 1 MWh Savings'!Q12</f>
        <v>232.1210954024211</v>
      </c>
      <c r="R12" s="56">
        <f>'Scen 1 Budgets'!R12/'Scen 1 MWh Savings'!R12</f>
        <v>230.74867266861546</v>
      </c>
      <c r="S12" s="56">
        <f>'Scen 1 Budgets'!S12/'Scen 1 MWh Savings'!S12</f>
        <v>229.84809573521326</v>
      </c>
      <c r="T12" s="56">
        <f>'Scen 1 Budgets'!T12/'Scen 1 MWh Savings'!T12</f>
        <v>234.03219416805248</v>
      </c>
      <c r="U12" s="56">
        <f>'Scen 1 Budgets'!U12/'Scen 1 MWh Savings'!U12</f>
        <v>233.2687551231524</v>
      </c>
      <c r="V12" s="56">
        <f>'Scen 1 Budgets'!V12/'Scen 1 MWh Savings'!V12</f>
        <v>225.30052370769329</v>
      </c>
    </row>
    <row r="14" spans="1:22">
      <c r="A14" s="50" t="s">
        <v>3</v>
      </c>
    </row>
    <row r="15" spans="1:22">
      <c r="A15" s="2" t="s">
        <v>7</v>
      </c>
      <c r="B15" s="54">
        <f>'Scen 1 Budgets'!B15/'Scen 1 MWh Savings'!B15</f>
        <v>125.127627395201</v>
      </c>
      <c r="C15" s="54">
        <f>'Scen 1 Budgets'!C15/'Scen 1 MWh Savings'!C15</f>
        <v>126.19477725900521</v>
      </c>
      <c r="D15" s="54">
        <f>'Scen 1 Budgets'!D15/'Scen 1 MWh Savings'!D15</f>
        <v>125.56964788094629</v>
      </c>
      <c r="E15" s="54">
        <f>'Scen 1 Budgets'!E15/'Scen 1 MWh Savings'!E15</f>
        <v>126.85642132827226</v>
      </c>
      <c r="F15" s="54">
        <f>'Scen 1 Budgets'!F15/'Scen 1 MWh Savings'!F15</f>
        <v>123.84694629459257</v>
      </c>
      <c r="G15" s="54">
        <f>'Scen 1 Budgets'!G15/'Scen 1 MWh Savings'!G15</f>
        <v>125.082636155605</v>
      </c>
      <c r="H15" s="54">
        <f>'Scen 1 Budgets'!H15/'Scen 1 MWh Savings'!H15</f>
        <v>120.04125770129026</v>
      </c>
      <c r="I15" s="54">
        <f>'Scen 1 Budgets'!I15/'Scen 1 MWh Savings'!I15</f>
        <v>121.85092496984389</v>
      </c>
      <c r="J15" s="54">
        <f>'Scen 1 Budgets'!J15/'Scen 1 MWh Savings'!J15</f>
        <v>123.68787266632931</v>
      </c>
      <c r="K15" s="54">
        <f>'Scen 1 Budgets'!K15/'Scen 1 MWh Savings'!K15</f>
        <v>121.93430228247615</v>
      </c>
      <c r="L15" s="54">
        <f>'Scen 1 Budgets'!L15/'Scen 1 MWh Savings'!L15</f>
        <v>123.77250845095091</v>
      </c>
      <c r="M15" s="54">
        <f>'Scen 1 Budgets'!M15/'Scen 1 MWh Savings'!M15</f>
        <v>125.63842438003037</v>
      </c>
      <c r="N15" s="54">
        <f>'Scen 1 Budgets'!N15/'Scen 1 MWh Savings'!N15</f>
        <v>127.53246989340192</v>
      </c>
      <c r="O15" s="54">
        <f>'Scen 1 Budgets'!O15/'Scen 1 MWh Savings'!O15</f>
        <v>129.45507080282397</v>
      </c>
      <c r="P15" s="54">
        <f>'Scen 1 Budgets'!P15/'Scen 1 MWh Savings'!P15</f>
        <v>127.50114987765875</v>
      </c>
      <c r="Q15" s="54">
        <f>'Scen 1 Budgets'!Q15/'Scen 1 MWh Savings'!Q15</f>
        <v>129.42327420342269</v>
      </c>
      <c r="R15" s="54">
        <f>'Scen 1 Budgets'!R15/'Scen 1 MWh Savings'!R15</f>
        <v>131.37438003529098</v>
      </c>
      <c r="S15" s="54">
        <f>'Scen 1 Budgets'!S15/'Scen 1 MWh Savings'!S15</f>
        <v>133.35489753404499</v>
      </c>
      <c r="T15" s="54">
        <f>'Scen 1 Budgets'!T15/'Scen 1 MWh Savings'!T15</f>
        <v>135.36527248199806</v>
      </c>
      <c r="U15" s="54">
        <f>'Scen 1 Budgets'!U15/'Scen 1 MWh Savings'!U15</f>
        <v>134.60448922283516</v>
      </c>
      <c r="V15" s="54">
        <f>'Scen 1 Budgets'!V15/'Scen 1 MWh Savings'!V15</f>
        <v>126.57226945817321</v>
      </c>
    </row>
    <row r="16" spans="1:22">
      <c r="A16" s="2" t="s">
        <v>6</v>
      </c>
      <c r="B16" s="54">
        <f>'Scen 1 Budgets'!B16/'Scen 1 MWh Savings'!B16</f>
        <v>277.03387446115806</v>
      </c>
      <c r="C16" s="54">
        <f>'Scen 1 Budgets'!C16/'Scen 1 MWh Savings'!C16</f>
        <v>298.26485473291564</v>
      </c>
      <c r="D16" s="54">
        <f>'Scen 1 Budgets'!D16/'Scen 1 MWh Savings'!D16</f>
        <v>311.79019775306898</v>
      </c>
      <c r="E16" s="54">
        <f>'Scen 1 Budgets'!E16/'Scen 1 MWh Savings'!E16</f>
        <v>333.93659046497089</v>
      </c>
      <c r="F16" s="54">
        <f>'Scen 1 Budgets'!F16/'Scen 1 MWh Savings'!F16</f>
        <v>330.42101451839301</v>
      </c>
      <c r="G16" s="54">
        <f>'Scen 1 Budgets'!G16/'Scen 1 MWh Savings'!G16</f>
        <v>338.84662945430517</v>
      </c>
      <c r="H16" s="54">
        <f>'Scen 1 Budgets'!H16/'Scen 1 MWh Savings'!H16</f>
        <v>325.18961796024774</v>
      </c>
      <c r="I16" s="54">
        <f>'Scen 1 Budgets'!I16/'Scen 1 MWh Savings'!I16</f>
        <v>330.09196893409688</v>
      </c>
      <c r="J16" s="54">
        <f>'Scen 1 Budgets'!J16/'Scen 1 MWh Savings'!J16</f>
        <v>335.068235640137</v>
      </c>
      <c r="K16" s="54">
        <f>'Scen 1 Budgets'!K16/'Scen 1 MWh Savings'!K16</f>
        <v>330.31784849591332</v>
      </c>
      <c r="L16" s="54">
        <f>'Scen 1 Budgets'!L16/'Scen 1 MWh Savings'!L16</f>
        <v>335.29751364531057</v>
      </c>
      <c r="M16" s="54">
        <f>'Scen 1 Budgets'!M16/'Scen 1 MWh Savings'!M16</f>
        <v>340.35224496122044</v>
      </c>
      <c r="N16" s="54">
        <f>'Scen 1 Budgets'!N16/'Scen 1 MWh Savings'!N16</f>
        <v>345.48319273876763</v>
      </c>
      <c r="O16" s="54">
        <f>'Scen 1 Budgets'!O16/'Scen 1 MWh Savings'!O16</f>
        <v>350.69147195555388</v>
      </c>
      <c r="P16" s="54">
        <f>'Scen 1 Budgets'!P16/'Scen 1 MWh Savings'!P16</f>
        <v>345.39831790140221</v>
      </c>
      <c r="Q16" s="54">
        <f>'Scen 1 Budgets'!Q16/'Scen 1 MWh Savings'!Q16</f>
        <v>350.60533783541541</v>
      </c>
      <c r="R16" s="54">
        <f>'Scen 1 Budgets'!R16/'Scen 1 MWh Savings'!R16</f>
        <v>355.89084723576599</v>
      </c>
      <c r="S16" s="54">
        <f>'Scen 1 Budgets'!S16/'Scen 1 MWh Savings'!S16</f>
        <v>361.25602777194359</v>
      </c>
      <c r="T16" s="54">
        <f>'Scen 1 Budgets'!T16/'Scen 1 MWh Savings'!T16</f>
        <v>366.70211274486263</v>
      </c>
      <c r="U16" s="54">
        <f>'Scen 1 Budgets'!U16/'Scen 1 MWh Savings'!U16</f>
        <v>364.64115926612322</v>
      </c>
      <c r="V16" s="54">
        <f>'Scen 1 Budgets'!V16/'Scen 1 MWh Savings'!V16</f>
        <v>331.33245922206453</v>
      </c>
    </row>
    <row r="17" spans="1:22">
      <c r="A17" s="2" t="s">
        <v>5</v>
      </c>
      <c r="B17" s="55">
        <f>'Scen 1 Budgets'!B17/'Scen 1 MWh Savings'!B17</f>
        <v>252.41088479271909</v>
      </c>
      <c r="C17" s="55">
        <f>'Scen 1 Budgets'!C17/'Scen 1 MWh Savings'!C17</f>
        <v>257.53703248591307</v>
      </c>
      <c r="D17" s="55">
        <f>'Scen 1 Budgets'!D17/'Scen 1 MWh Savings'!D17</f>
        <v>260.03218173639209</v>
      </c>
      <c r="E17" s="55">
        <f>'Scen 1 Budgets'!E17/'Scen 1 MWh Savings'!E17</f>
        <v>248.02305927190864</v>
      </c>
      <c r="F17" s="55">
        <f>'Scen 1 Budgets'!F17/'Scen 1 MWh Savings'!F17</f>
        <v>251.35096910261751</v>
      </c>
      <c r="G17" s="55">
        <f>'Scen 1 Budgets'!G17/'Scen 1 MWh Savings'!G17</f>
        <v>253.11405710069991</v>
      </c>
      <c r="H17" s="55">
        <f>'Scen 1 Budgets'!H17/'Scen 1 MWh Savings'!H17</f>
        <v>245.75462605746779</v>
      </c>
      <c r="I17" s="55">
        <f>'Scen 1 Budgets'!I17/'Scen 1 MWh Savings'!I17</f>
        <v>249.89110881660613</v>
      </c>
      <c r="J17" s="55">
        <f>'Scen 1 Budgets'!J17/'Scen 1 MWh Savings'!J17</f>
        <v>251.66164359664876</v>
      </c>
      <c r="K17" s="55">
        <f>'Scen 1 Budgets'!K17/'Scen 1 MWh Savings'!K17</f>
        <v>249.02456229727221</v>
      </c>
      <c r="L17" s="55">
        <f>'Scen 1 Budgets'!L17/'Scen 1 MWh Savings'!L17</f>
        <v>252.32082016406619</v>
      </c>
      <c r="M17" s="55">
        <f>'Scen 1 Budgets'!M17/'Scen 1 MWh Savings'!M17</f>
        <v>255.55150254548315</v>
      </c>
      <c r="N17" s="55">
        <f>'Scen 1 Budgets'!N17/'Scen 1 MWh Savings'!N17</f>
        <v>258.71660454529439</v>
      </c>
      <c r="O17" s="55">
        <f>'Scen 1 Budgets'!O17/'Scen 1 MWh Savings'!O17</f>
        <v>259.18487059547266</v>
      </c>
      <c r="P17" s="55">
        <f>'Scen 1 Budgets'!P17/'Scen 1 MWh Savings'!P17</f>
        <v>255.94810438363569</v>
      </c>
      <c r="Q17" s="55">
        <f>'Scen 1 Budgets'!Q17/'Scen 1 MWh Savings'!Q17</f>
        <v>258.96915862199148</v>
      </c>
      <c r="R17" s="55">
        <f>'Scen 1 Budgets'!R17/'Scen 1 MWh Savings'!R17</f>
        <v>261.9560472485872</v>
      </c>
      <c r="S17" s="55">
        <f>'Scen 1 Budgets'!S17/'Scen 1 MWh Savings'!S17</f>
        <v>264.88491961759883</v>
      </c>
      <c r="T17" s="55">
        <f>'Scen 1 Budgets'!T17/'Scen 1 MWh Savings'!T17</f>
        <v>265.80013631928807</v>
      </c>
      <c r="U17" s="55">
        <f>'Scen 1 Budgets'!U17/'Scen 1 MWh Savings'!U17</f>
        <v>264.41691521419551</v>
      </c>
      <c r="V17" s="55">
        <f>'Scen 1 Budgets'!V17/'Scen 1 MWh Savings'!V17</f>
        <v>255.52708834783516</v>
      </c>
    </row>
    <row r="18" spans="1:22">
      <c r="A18" s="8" t="s">
        <v>16</v>
      </c>
      <c r="B18" s="56">
        <f>'Scen 1 Budgets'!B18/'Scen 1 MWh Savings'!B18</f>
        <v>237.61310344828934</v>
      </c>
      <c r="C18" s="56">
        <f>'Scen 1 Budgets'!C18/'Scen 1 MWh Savings'!C18</f>
        <v>247.32556460601342</v>
      </c>
      <c r="D18" s="56">
        <f>'Scen 1 Budgets'!D18/'Scen 1 MWh Savings'!D18</f>
        <v>252.90574333976326</v>
      </c>
      <c r="E18" s="56">
        <f>'Scen 1 Budgets'!E18/'Scen 1 MWh Savings'!E18</f>
        <v>253.55086630311459</v>
      </c>
      <c r="F18" s="56">
        <f>'Scen 1 Budgets'!F18/'Scen 1 MWh Savings'!F18</f>
        <v>253.58526025940574</v>
      </c>
      <c r="G18" s="56">
        <f>'Scen 1 Budgets'!G18/'Scen 1 MWh Savings'!G18</f>
        <v>257.04871500029986</v>
      </c>
      <c r="H18" s="56">
        <f>'Scen 1 Budgets'!H18/'Scen 1 MWh Savings'!H18</f>
        <v>247.97134190825352</v>
      </c>
      <c r="I18" s="56">
        <f>'Scen 1 Budgets'!I18/'Scen 1 MWh Savings'!I18</f>
        <v>251.37069563801361</v>
      </c>
      <c r="J18" s="56">
        <f>'Scen 1 Budgets'!J18/'Scen 1 MWh Savings'!J18</f>
        <v>254.26248288576917</v>
      </c>
      <c r="K18" s="56">
        <f>'Scen 1 Budgets'!K18/'Scen 1 MWh Savings'!K18</f>
        <v>251.18529104481203</v>
      </c>
      <c r="L18" s="56">
        <f>'Scen 1 Budgets'!L18/'Scen 1 MWh Savings'!L18</f>
        <v>254.58757752650513</v>
      </c>
      <c r="M18" s="56">
        <f>'Scen 1 Budgets'!M18/'Scen 1 MWh Savings'!M18</f>
        <v>257.94321849167358</v>
      </c>
      <c r="N18" s="56">
        <f>'Scen 1 Budgets'!N18/'Scen 1 MWh Savings'!N18</f>
        <v>261.20665017091403</v>
      </c>
      <c r="O18" s="56">
        <f>'Scen 1 Budgets'!O18/'Scen 1 MWh Savings'!O18</f>
        <v>261.58143039809335</v>
      </c>
      <c r="P18" s="56">
        <f>'Scen 1 Budgets'!P18/'Scen 1 MWh Savings'!P18</f>
        <v>257.97132814457325</v>
      </c>
      <c r="Q18" s="56">
        <f>'Scen 1 Budgets'!Q18/'Scen 1 MWh Savings'!Q18</f>
        <v>261.19673773397511</v>
      </c>
      <c r="R18" s="56">
        <f>'Scen 1 Budgets'!R18/'Scen 1 MWh Savings'!R18</f>
        <v>264.44639260723983</v>
      </c>
      <c r="S18" s="56">
        <f>'Scen 1 Budgets'!S18/'Scen 1 MWh Savings'!S18</f>
        <v>267.63823294715741</v>
      </c>
      <c r="T18" s="56">
        <f>'Scen 1 Budgets'!T18/'Scen 1 MWh Savings'!T18</f>
        <v>268.56632808112863</v>
      </c>
      <c r="U18" s="56">
        <f>'Scen 1 Budgets'!U18/'Scen 1 MWh Savings'!U18</f>
        <v>267.0194843237752</v>
      </c>
      <c r="V18" s="56">
        <f>'Scen 1 Budgets'!V18/'Scen 1 MWh Savings'!V18</f>
        <v>255.6074472783796</v>
      </c>
    </row>
    <row r="19" spans="1:22">
      <c r="A19" s="8"/>
    </row>
    <row r="20" spans="1:22" s="4" customFormat="1">
      <c r="A20" s="3" t="s">
        <v>4</v>
      </c>
      <c r="B20" s="56">
        <f>'Scen 1 Budgets'!B20/'Scen 1 MWh Savings'!B20</f>
        <v>224.14401591386311</v>
      </c>
      <c r="C20" s="56">
        <f>'Scen 1 Budgets'!C20/'Scen 1 MWh Savings'!C20</f>
        <v>228.94054731717671</v>
      </c>
      <c r="D20" s="56">
        <f>'Scen 1 Budgets'!D20/'Scen 1 MWh Savings'!D20</f>
        <v>229.75568446000725</v>
      </c>
      <c r="E20" s="56">
        <f>'Scen 1 Budgets'!E20/'Scen 1 MWh Savings'!E20</f>
        <v>235.62761011553437</v>
      </c>
      <c r="F20" s="56">
        <f>'Scen 1 Budgets'!F20/'Scen 1 MWh Savings'!F20</f>
        <v>228.07494379907422</v>
      </c>
      <c r="G20" s="56">
        <f>'Scen 1 Budgets'!G20/'Scen 1 MWh Savings'!G20</f>
        <v>249.02554972652277</v>
      </c>
      <c r="H20" s="56">
        <f>'Scen 1 Budgets'!H20/'Scen 1 MWh Savings'!H20</f>
        <v>247.26288510112593</v>
      </c>
      <c r="I20" s="56">
        <f>'Scen 1 Budgets'!I20/'Scen 1 MWh Savings'!I20</f>
        <v>247.48883657585668</v>
      </c>
      <c r="J20" s="56">
        <f>'Scen 1 Budgets'!J20/'Scen 1 MWh Savings'!J20</f>
        <v>247.62512702743621</v>
      </c>
      <c r="K20" s="56">
        <f>'Scen 1 Budgets'!K20/'Scen 1 MWh Savings'!K20</f>
        <v>244.42164408185522</v>
      </c>
      <c r="L20" s="56">
        <f>'Scen 1 Budgets'!L20/'Scen 1 MWh Savings'!L20</f>
        <v>244.84816053463823</v>
      </c>
      <c r="M20" s="56">
        <f>'Scen 1 Budgets'!M20/'Scen 1 MWh Savings'!M20</f>
        <v>245.53589078215393</v>
      </c>
      <c r="N20" s="56">
        <f>'Scen 1 Budgets'!N20/'Scen 1 MWh Savings'!N20</f>
        <v>246.86456510128596</v>
      </c>
      <c r="O20" s="56">
        <f>'Scen 1 Budgets'!O20/'Scen 1 MWh Savings'!O20</f>
        <v>248.49978070088486</v>
      </c>
      <c r="P20" s="56">
        <f>'Scen 1 Budgets'!P20/'Scen 1 MWh Savings'!P20</f>
        <v>246.85558847193232</v>
      </c>
      <c r="Q20" s="56">
        <f>'Scen 1 Budgets'!Q20/'Scen 1 MWh Savings'!Q20</f>
        <v>247.96869157607199</v>
      </c>
      <c r="R20" s="56">
        <f>'Scen 1 Budgets'!R20/'Scen 1 MWh Savings'!R20</f>
        <v>248.95245053861601</v>
      </c>
      <c r="S20" s="56">
        <f>'Scen 1 Budgets'!S20/'Scen 1 MWh Savings'!S20</f>
        <v>250.07502421120546</v>
      </c>
      <c r="T20" s="56">
        <f>'Scen 1 Budgets'!T20/'Scen 1 MWh Savings'!T20</f>
        <v>251.96869110389096</v>
      </c>
      <c r="U20" s="56">
        <f>'Scen 1 Budgets'!U20/'Scen 1 MWh Savings'!U20</f>
        <v>250.78126124423252</v>
      </c>
      <c r="V20" s="56">
        <f>'Scen 1 Budgets'!V20/'Scen 1 MWh Savings'!V20</f>
        <v>242.48375891406911</v>
      </c>
    </row>
    <row r="21" spans="1:22">
      <c r="A21" s="1"/>
    </row>
    <row r="22" spans="1:22">
      <c r="A22" s="62" t="s">
        <v>28</v>
      </c>
      <c r="B22" s="6">
        <v>2015</v>
      </c>
      <c r="C22" s="6">
        <f>B22+1</f>
        <v>2016</v>
      </c>
      <c r="D22" s="6">
        <f t="shared" ref="D22" si="1">C22+1</f>
        <v>2017</v>
      </c>
      <c r="E22" s="6">
        <f t="shared" ref="E22" si="2">D22+1</f>
        <v>2018</v>
      </c>
      <c r="F22" s="6">
        <f t="shared" ref="F22" si="3">E22+1</f>
        <v>2019</v>
      </c>
      <c r="G22" s="6">
        <f t="shared" ref="G22" si="4">F22+1</f>
        <v>2020</v>
      </c>
      <c r="H22" s="6">
        <f t="shared" ref="H22" si="5">G22+1</f>
        <v>2021</v>
      </c>
      <c r="I22" s="6">
        <f t="shared" ref="I22" si="6">H22+1</f>
        <v>2022</v>
      </c>
      <c r="J22" s="6">
        <f t="shared" ref="J22" si="7">I22+1</f>
        <v>2023</v>
      </c>
      <c r="K22" s="6">
        <f t="shared" ref="K22" si="8">J22+1</f>
        <v>2024</v>
      </c>
      <c r="L22" s="6">
        <f t="shared" ref="L22" si="9">K22+1</f>
        <v>2025</v>
      </c>
      <c r="M22" s="6">
        <f t="shared" ref="M22" si="10">L22+1</f>
        <v>2026</v>
      </c>
      <c r="N22" s="6">
        <f t="shared" ref="N22" si="11">M22+1</f>
        <v>2027</v>
      </c>
      <c r="O22" s="6">
        <f t="shared" ref="O22" si="12">N22+1</f>
        <v>2028</v>
      </c>
      <c r="P22" s="6">
        <f t="shared" ref="P22" si="13">O22+1</f>
        <v>2029</v>
      </c>
      <c r="Q22" s="6">
        <f t="shared" ref="Q22" si="14">P22+1</f>
        <v>2030</v>
      </c>
      <c r="R22" s="6">
        <f t="shared" ref="R22" si="15">Q22+1</f>
        <v>2031</v>
      </c>
      <c r="S22" s="6">
        <f t="shared" ref="S22" si="16">R22+1</f>
        <v>2032</v>
      </c>
      <c r="T22" s="6">
        <f t="shared" ref="T22" si="17">S22+1</f>
        <v>2033</v>
      </c>
      <c r="U22" s="6">
        <f t="shared" ref="U22" si="18">T22+1</f>
        <v>2034</v>
      </c>
      <c r="V22" s="6" t="s">
        <v>14</v>
      </c>
    </row>
    <row r="23" spans="1:22">
      <c r="A23" s="50" t="s">
        <v>2</v>
      </c>
    </row>
    <row r="24" spans="1:22">
      <c r="A24" s="9" t="s">
        <v>8</v>
      </c>
      <c r="B24" s="54">
        <f>'Scen 1 Budgets'!B42/'Scen 1 MWh Savings'!B6</f>
        <v>2267.452378764473</v>
      </c>
      <c r="C24" s="54">
        <f>'Scen 1 Budgets'!C42/'Scen 1 MWh Savings'!C6</f>
        <v>2186.416181972038</v>
      </c>
      <c r="D24" s="54">
        <f>'Scen 1 Budgets'!D42/'Scen 1 MWh Savings'!D6</f>
        <v>2003.145317284127</v>
      </c>
      <c r="E24" s="54">
        <f>'Scen 1 Budgets'!E42/'Scen 1 MWh Savings'!E6</f>
        <v>2181.9175470254222</v>
      </c>
      <c r="F24" s="54">
        <f>'Scen 1 Budgets'!F42/'Scen 1 MWh Savings'!F6</f>
        <v>2245.5958530862322</v>
      </c>
      <c r="G24" s="54">
        <f>'Scen 1 Budgets'!G42/'Scen 1 MWh Savings'!G6</f>
        <v>2515.3129417586561</v>
      </c>
      <c r="H24" s="54">
        <f>'Scen 1 Budgets'!H42/'Scen 1 MWh Savings'!H6</f>
        <v>2423.3366001319896</v>
      </c>
      <c r="I24" s="54">
        <f>'Scen 1 Budgets'!I42/'Scen 1 MWh Savings'!I6</f>
        <v>2388.3159722920404</v>
      </c>
      <c r="J24" s="54">
        <f>'Scen 1 Budgets'!J42/'Scen 1 MWh Savings'!J6</f>
        <v>2378.4239257429635</v>
      </c>
      <c r="K24" s="54">
        <f>'Scen 1 Budgets'!K42/'Scen 1 MWh Savings'!K6</f>
        <v>2285.2108223551459</v>
      </c>
      <c r="L24" s="54">
        <f>'Scen 1 Budgets'!L42/'Scen 1 MWh Savings'!L6</f>
        <v>2286.5054938409285</v>
      </c>
      <c r="M24" s="54">
        <f>'Scen 1 Budgets'!M42/'Scen 1 MWh Savings'!M6</f>
        <v>2287.7896808039031</v>
      </c>
      <c r="N24" s="54">
        <f>'Scen 1 Budgets'!N42/'Scen 1 MWh Savings'!N6</f>
        <v>2226.1883328874897</v>
      </c>
      <c r="O24" s="54">
        <f>'Scen 1 Budgets'!O42/'Scen 1 MWh Savings'!O6</f>
        <v>2247.9616510901196</v>
      </c>
      <c r="P24" s="54">
        <f>'Scen 1 Budgets'!P42/'Scen 1 MWh Savings'!P6</f>
        <v>2249.0753421484328</v>
      </c>
      <c r="Q24" s="54">
        <f>'Scen 1 Budgets'!Q42/'Scen 1 MWh Savings'!Q6</f>
        <v>2186.9073954803475</v>
      </c>
      <c r="R24" s="54">
        <f>'Scen 1 Budgets'!R42/'Scen 1 MWh Savings'!R6</f>
        <v>2187.9436609041454</v>
      </c>
      <c r="S24" s="54">
        <f>'Scen 1 Budgets'!S42/'Scen 1 MWh Savings'!S6</f>
        <v>2188.9717202275356</v>
      </c>
      <c r="T24" s="54">
        <f>'Scen 1 Budgets'!T42/'Scen 1 MWh Savings'!T6</f>
        <v>2133.5835681159733</v>
      </c>
      <c r="U24" s="54">
        <f>'Scen 1 Budgets'!U42/'Scen 1 MWh Savings'!U6</f>
        <v>2134.49739533914</v>
      </c>
      <c r="V24" s="54">
        <f>'Scen 1 Budgets'!V42/'Scen 1 MWh Savings'!V6</f>
        <v>2242.107427195695</v>
      </c>
    </row>
    <row r="25" spans="1:22">
      <c r="A25" s="10" t="s">
        <v>9</v>
      </c>
      <c r="B25" s="54">
        <f>'Scen 1 Budgets'!B43/'Scen 1 MWh Savings'!B7</f>
        <v>267.14990544383994</v>
      </c>
      <c r="C25" s="54">
        <f>'Scen 1 Budgets'!C43/'Scen 1 MWh Savings'!C7</f>
        <v>266.96621488017166</v>
      </c>
      <c r="D25" s="54">
        <f>'Scen 1 Budgets'!D43/'Scen 1 MWh Savings'!D7</f>
        <v>261.8467644313871</v>
      </c>
      <c r="E25" s="54">
        <f>'Scen 1 Budgets'!E43/'Scen 1 MWh Savings'!E7</f>
        <v>301.14996684645831</v>
      </c>
      <c r="F25" s="54">
        <f>'Scen 1 Budgets'!F43/'Scen 1 MWh Savings'!F7</f>
        <v>276.88250210150903</v>
      </c>
      <c r="G25" s="54">
        <f>'Scen 1 Budgets'!G43/'Scen 1 MWh Savings'!G7</f>
        <v>404.65210220974967</v>
      </c>
      <c r="H25" s="54">
        <f>'Scen 1 Budgets'!H43/'Scen 1 MWh Savings'!H7</f>
        <v>491.94633729458332</v>
      </c>
      <c r="I25" s="54">
        <f>'Scen 1 Budgets'!I43/'Scen 1 MWh Savings'!I7</f>
        <v>534.11502656713458</v>
      </c>
      <c r="J25" s="54">
        <f>'Scen 1 Budgets'!J43/'Scen 1 MWh Savings'!J7</f>
        <v>571.97701542323762</v>
      </c>
      <c r="K25" s="54">
        <f>'Scen 1 Budgets'!K43/'Scen 1 MWh Savings'!K7</f>
        <v>558.35220147046596</v>
      </c>
      <c r="L25" s="54">
        <f>'Scen 1 Budgets'!L43/'Scen 1 MWh Savings'!L7</f>
        <v>545.36495463727363</v>
      </c>
      <c r="M25" s="54">
        <f>'Scen 1 Budgets'!M43/'Scen 1 MWh Savings'!M7</f>
        <v>542.19319665495868</v>
      </c>
      <c r="N25" s="54">
        <f>'Scen 1 Budgets'!N43/'Scen 1 MWh Savings'!N7</f>
        <v>541.00130412840213</v>
      </c>
      <c r="O25" s="54">
        <f>'Scen 1 Budgets'!O43/'Scen 1 MWh Savings'!O7</f>
        <v>539.58639476989617</v>
      </c>
      <c r="P25" s="54">
        <f>'Scen 1 Budgets'!P43/'Scen 1 MWh Savings'!P7</f>
        <v>541.91989196100235</v>
      </c>
      <c r="Q25" s="54">
        <f>'Scen 1 Budgets'!Q43/'Scen 1 MWh Savings'!Q7</f>
        <v>539.31158504165103</v>
      </c>
      <c r="R25" s="54">
        <f>'Scen 1 Budgets'!R43/'Scen 1 MWh Savings'!R7</f>
        <v>534.11895998920033</v>
      </c>
      <c r="S25" s="54">
        <f>'Scen 1 Budgets'!S43/'Scen 1 MWh Savings'!S7</f>
        <v>527.11604073991373</v>
      </c>
      <c r="T25" s="54">
        <f>'Scen 1 Budgets'!T43/'Scen 1 MWh Savings'!T7</f>
        <v>538.03778165558833</v>
      </c>
      <c r="U25" s="54">
        <f>'Scen 1 Budgets'!U43/'Scen 1 MWh Savings'!U7</f>
        <v>529.91874813771983</v>
      </c>
      <c r="V25" s="54">
        <f>'Scen 1 Budgets'!V43/'Scen 1 MWh Savings'!V7</f>
        <v>416.65569192064117</v>
      </c>
    </row>
    <row r="26" spans="1:22">
      <c r="A26" s="10" t="s">
        <v>10</v>
      </c>
      <c r="B26" s="54">
        <f>'Scen 1 Budgets'!B44/'Scen 1 MWh Savings'!B8</f>
        <v>182.86411415808431</v>
      </c>
      <c r="C26" s="54">
        <f>'Scen 1 Budgets'!C44/'Scen 1 MWh Savings'!C8</f>
        <v>193.93290128856285</v>
      </c>
      <c r="D26" s="54">
        <f>'Scen 1 Budgets'!D44/'Scen 1 MWh Savings'!D8</f>
        <v>196.04866916912599</v>
      </c>
      <c r="E26" s="54">
        <f>'Scen 1 Budgets'!E44/'Scen 1 MWh Savings'!E8</f>
        <v>212.7955859269693</v>
      </c>
      <c r="F26" s="54">
        <f>'Scen 1 Budgets'!F44/'Scen 1 MWh Savings'!F8</f>
        <v>209.910902096581</v>
      </c>
      <c r="G26" s="54">
        <f>'Scen 1 Budgets'!G44/'Scen 1 MWh Savings'!G8</f>
        <v>239.98100631187847</v>
      </c>
      <c r="H26" s="54">
        <f>'Scen 1 Budgets'!H44/'Scen 1 MWh Savings'!H8</f>
        <v>261.98696927702713</v>
      </c>
      <c r="I26" s="54">
        <f>'Scen 1 Budgets'!I44/'Scen 1 MWh Savings'!I8</f>
        <v>280.32851422505689</v>
      </c>
      <c r="J26" s="54">
        <f>'Scen 1 Budgets'!J44/'Scen 1 MWh Savings'!J8</f>
        <v>310.42407700318262</v>
      </c>
      <c r="K26" s="54">
        <f>'Scen 1 Budgets'!K44/'Scen 1 MWh Savings'!K8</f>
        <v>307.38829863693996</v>
      </c>
      <c r="L26" s="54">
        <f>'Scen 1 Budgets'!L44/'Scen 1 MWh Savings'!L8</f>
        <v>307.12289018866892</v>
      </c>
      <c r="M26" s="54">
        <f>'Scen 1 Budgets'!M44/'Scen 1 MWh Savings'!M8</f>
        <v>304.51445649567268</v>
      </c>
      <c r="N26" s="54">
        <f>'Scen 1 Budgets'!N44/'Scen 1 MWh Savings'!N8</f>
        <v>307.06384711285187</v>
      </c>
      <c r="O26" s="54">
        <f>'Scen 1 Budgets'!O44/'Scen 1 MWh Savings'!O8</f>
        <v>331.50066836162108</v>
      </c>
      <c r="P26" s="54">
        <f>'Scen 1 Budgets'!P44/'Scen 1 MWh Savings'!P8</f>
        <v>335.56209656945725</v>
      </c>
      <c r="Q26" s="54">
        <f>'Scen 1 Budgets'!Q44/'Scen 1 MWh Savings'!Q8</f>
        <v>338.82767071201982</v>
      </c>
      <c r="R26" s="54">
        <f>'Scen 1 Budgets'!R44/'Scen 1 MWh Savings'!R8</f>
        <v>341.25857864536766</v>
      </c>
      <c r="S26" s="54">
        <f>'Scen 1 Budgets'!S44/'Scen 1 MWh Savings'!S8</f>
        <v>342.98974564790848</v>
      </c>
      <c r="T26" s="54">
        <f>'Scen 1 Budgets'!T44/'Scen 1 MWh Savings'!T8</f>
        <v>361.3067314714034</v>
      </c>
      <c r="U26" s="54">
        <f>'Scen 1 Budgets'!U44/'Scen 1 MWh Savings'!U8</f>
        <v>363.90215186880522</v>
      </c>
      <c r="V26" s="54">
        <f>'Scen 1 Budgets'!V44/'Scen 1 MWh Savings'!V8</f>
        <v>300.15508829635513</v>
      </c>
    </row>
    <row r="27" spans="1:22">
      <c r="A27" s="10" t="s">
        <v>11</v>
      </c>
      <c r="B27" s="54">
        <f>'Scen 1 Budgets'!B45/'Scen 1 MWh Savings'!B9</f>
        <v>606.44609410203293</v>
      </c>
      <c r="C27" s="54">
        <f>'Scen 1 Budgets'!C45/'Scen 1 MWh Savings'!C9</f>
        <v>604.40846103590798</v>
      </c>
      <c r="D27" s="54">
        <f>'Scen 1 Budgets'!D45/'Scen 1 MWh Savings'!D9</f>
        <v>600.1844561571105</v>
      </c>
      <c r="E27" s="54">
        <f>'Scen 1 Budgets'!E45/'Scen 1 MWh Savings'!E9</f>
        <v>607.08000318991094</v>
      </c>
      <c r="F27" s="54">
        <f>'Scen 1 Budgets'!F45/'Scen 1 MWh Savings'!F9</f>
        <v>592.78234283487302</v>
      </c>
      <c r="G27" s="54">
        <f>'Scen 1 Budgets'!G45/'Scen 1 MWh Savings'!G9</f>
        <v>589.19305931068607</v>
      </c>
      <c r="H27" s="54">
        <f>'Scen 1 Budgets'!H45/'Scen 1 MWh Savings'!H9</f>
        <v>577.9904879542629</v>
      </c>
      <c r="I27" s="54">
        <f>'Scen 1 Budgets'!I45/'Scen 1 MWh Savings'!I9</f>
        <v>570.02400271601869</v>
      </c>
      <c r="J27" s="54">
        <f>'Scen 1 Budgets'!J45/'Scen 1 MWh Savings'!J9</f>
        <v>552.25556347826739</v>
      </c>
      <c r="K27" s="54">
        <f>'Scen 1 Budgets'!K45/'Scen 1 MWh Savings'!K9</f>
        <v>550.99238506065251</v>
      </c>
      <c r="L27" s="54">
        <f>'Scen 1 Budgets'!L45/'Scen 1 MWh Savings'!L9</f>
        <v>546.97227691145997</v>
      </c>
      <c r="M27" s="54">
        <f>'Scen 1 Budgets'!M45/'Scen 1 MWh Savings'!M9</f>
        <v>544.62047907228384</v>
      </c>
      <c r="N27" s="54">
        <f>'Scen 1 Budgets'!N45/'Scen 1 MWh Savings'!N9</f>
        <v>539.30982568765887</v>
      </c>
      <c r="O27" s="54">
        <f>'Scen 1 Budgets'!O45/'Scen 1 MWh Savings'!O9</f>
        <v>536.15564902743017</v>
      </c>
      <c r="P27" s="54">
        <f>'Scen 1 Budgets'!P45/'Scen 1 MWh Savings'!P9</f>
        <v>532.31127779948974</v>
      </c>
      <c r="Q27" s="54">
        <f>'Scen 1 Budgets'!Q45/'Scen 1 MWh Savings'!Q9</f>
        <v>528.56643867655134</v>
      </c>
      <c r="R27" s="54">
        <f>'Scen 1 Budgets'!R45/'Scen 1 MWh Savings'!R9</f>
        <v>521.03573703558982</v>
      </c>
      <c r="S27" s="54">
        <f>'Scen 1 Budgets'!S45/'Scen 1 MWh Savings'!S9</f>
        <v>517.33982660606137</v>
      </c>
      <c r="T27" s="54">
        <f>'Scen 1 Budgets'!T45/'Scen 1 MWh Savings'!T9</f>
        <v>513.76854912571946</v>
      </c>
      <c r="U27" s="54">
        <f>'Scen 1 Budgets'!U45/'Scen 1 MWh Savings'!U9</f>
        <v>509.35666925697461</v>
      </c>
      <c r="V27" s="54">
        <f>'Scen 1 Budgets'!V45/'Scen 1 MWh Savings'!V9</f>
        <v>555.0724621811903</v>
      </c>
    </row>
    <row r="28" spans="1:22">
      <c r="A28" s="2" t="s">
        <v>12</v>
      </c>
      <c r="B28" s="54">
        <f>'Scen 1 Budgets'!B46/'Scen 1 MWh Savings'!B10</f>
        <v>530.45694318670894</v>
      </c>
      <c r="C28" s="54">
        <f>'Scen 1 Budgets'!C46/'Scen 1 MWh Savings'!C10</f>
        <v>528.14118900895994</v>
      </c>
      <c r="D28" s="54">
        <f>'Scen 1 Budgets'!D46/'Scen 1 MWh Savings'!D10</f>
        <v>527.02213358406595</v>
      </c>
      <c r="E28" s="54">
        <f>'Scen 1 Budgets'!E46/'Scen 1 MWh Savings'!E10</f>
        <v>534.8359163972118</v>
      </c>
      <c r="F28" s="54">
        <f>'Scen 1 Budgets'!F46/'Scen 1 MWh Savings'!F10</f>
        <v>534.82265869920559</v>
      </c>
      <c r="G28" s="54">
        <f>'Scen 1 Budgets'!G46/'Scen 1 MWh Savings'!G10</f>
        <v>543.8301381792761</v>
      </c>
      <c r="H28" s="54">
        <f>'Scen 1 Budgets'!H46/'Scen 1 MWh Savings'!H10</f>
        <v>539.96401699609544</v>
      </c>
      <c r="I28" s="54">
        <f>'Scen 1 Budgets'!I46/'Scen 1 MWh Savings'!I10</f>
        <v>533.69644152406033</v>
      </c>
      <c r="J28" s="54">
        <f>'Scen 1 Budgets'!J46/'Scen 1 MWh Savings'!J10</f>
        <v>529.01657781358665</v>
      </c>
      <c r="K28" s="54">
        <f>'Scen 1 Budgets'!K46/'Scen 1 MWh Savings'!K10</f>
        <v>525.08559344994626</v>
      </c>
      <c r="L28" s="54">
        <f>'Scen 1 Budgets'!L46/'Scen 1 MWh Savings'!L10</f>
        <v>524.15212031766328</v>
      </c>
      <c r="M28" s="54">
        <f>'Scen 1 Budgets'!M46/'Scen 1 MWh Savings'!M10</f>
        <v>521.88923563962555</v>
      </c>
      <c r="N28" s="54">
        <f>'Scen 1 Budgets'!N46/'Scen 1 MWh Savings'!N10</f>
        <v>518.233722293803</v>
      </c>
      <c r="O28" s="54">
        <f>'Scen 1 Budgets'!O46/'Scen 1 MWh Savings'!O10</f>
        <v>515.96220652355908</v>
      </c>
      <c r="P28" s="54">
        <f>'Scen 1 Budgets'!P46/'Scen 1 MWh Savings'!P10</f>
        <v>512.82286662092304</v>
      </c>
      <c r="Q28" s="54">
        <f>'Scen 1 Budgets'!Q46/'Scen 1 MWh Savings'!Q10</f>
        <v>510.62828864095604</v>
      </c>
      <c r="R28" s="54">
        <f>'Scen 1 Budgets'!R46/'Scen 1 MWh Savings'!R10</f>
        <v>506.26551250979685</v>
      </c>
      <c r="S28" s="54">
        <f>'Scen 1 Budgets'!S46/'Scen 1 MWh Savings'!S10</f>
        <v>503.20395946991306</v>
      </c>
      <c r="T28" s="54">
        <f>'Scen 1 Budgets'!T46/'Scen 1 MWh Savings'!T10</f>
        <v>501.08740592537168</v>
      </c>
      <c r="U28" s="54">
        <f>'Scen 1 Budgets'!U46/'Scen 1 MWh Savings'!U10</f>
        <v>498.45375828593609</v>
      </c>
      <c r="V28" s="54">
        <f>'Scen 1 Budgets'!V46/'Scen 1 MWh Savings'!V10</f>
        <v>521.6379808728459</v>
      </c>
    </row>
    <row r="29" spans="1:22">
      <c r="A29" s="2" t="s">
        <v>13</v>
      </c>
      <c r="B29" s="55">
        <f>'Scen 1 Budgets'!B47/'Scen 1 MWh Savings'!B11</f>
        <v>312.38645660765502</v>
      </c>
      <c r="C29" s="55">
        <f>'Scen 1 Budgets'!C47/'Scen 1 MWh Savings'!C11</f>
        <v>322.66346790972312</v>
      </c>
      <c r="D29" s="55">
        <f>'Scen 1 Budgets'!D47/'Scen 1 MWh Savings'!D11</f>
        <v>328.97901503145306</v>
      </c>
      <c r="E29" s="55">
        <f>'Scen 1 Budgets'!E47/'Scen 1 MWh Savings'!E11</f>
        <v>342.77460247430719</v>
      </c>
      <c r="F29" s="55">
        <f>'Scen 1 Budgets'!F47/'Scen 1 MWh Savings'!F11</f>
        <v>336.30447532033099</v>
      </c>
      <c r="G29" s="55">
        <f>'Scen 1 Budgets'!G47/'Scen 1 MWh Savings'!G11</f>
        <v>343.75495480352441</v>
      </c>
      <c r="H29" s="55">
        <f>'Scen 1 Budgets'!H47/'Scen 1 MWh Savings'!H11</f>
        <v>344.27862577785947</v>
      </c>
      <c r="I29" s="55">
        <f>'Scen 1 Budgets'!I47/'Scen 1 MWh Savings'!I11</f>
        <v>351.09904212475635</v>
      </c>
      <c r="J29" s="55">
        <f>'Scen 1 Budgets'!J47/'Scen 1 MWh Savings'!J11</f>
        <v>361.28488622146716</v>
      </c>
      <c r="K29" s="55">
        <f>'Scen 1 Budgets'!K47/'Scen 1 MWh Savings'!K11</f>
        <v>359.46871109290601</v>
      </c>
      <c r="L29" s="55">
        <f>'Scen 1 Budgets'!L47/'Scen 1 MWh Savings'!L11</f>
        <v>358.81414601476325</v>
      </c>
      <c r="M29" s="55">
        <f>'Scen 1 Budgets'!M47/'Scen 1 MWh Savings'!M11</f>
        <v>355.56288908631598</v>
      </c>
      <c r="N29" s="55">
        <f>'Scen 1 Budgets'!N47/'Scen 1 MWh Savings'!N11</f>
        <v>355.37431374244676</v>
      </c>
      <c r="O29" s="55">
        <f>'Scen 1 Budgets'!O47/'Scen 1 MWh Savings'!O11</f>
        <v>365.04207687123073</v>
      </c>
      <c r="P29" s="55">
        <f>'Scen 1 Budgets'!P47/'Scen 1 MWh Savings'!P11</f>
        <v>363.58553235373847</v>
      </c>
      <c r="Q29" s="55">
        <f>'Scen 1 Budgets'!Q47/'Scen 1 MWh Savings'!Q11</f>
        <v>363.66135784197638</v>
      </c>
      <c r="R29" s="55">
        <f>'Scen 1 Budgets'!R47/'Scen 1 MWh Savings'!R11</f>
        <v>361.78730321049284</v>
      </c>
      <c r="S29" s="55">
        <f>'Scen 1 Budgets'!S47/'Scen 1 MWh Savings'!S11</f>
        <v>359.59327026087828</v>
      </c>
      <c r="T29" s="55">
        <f>'Scen 1 Budgets'!T47/'Scen 1 MWh Savings'!T11</f>
        <v>365.02058966037168</v>
      </c>
      <c r="U29" s="55">
        <f>'Scen 1 Budgets'!U47/'Scen 1 MWh Savings'!U11</f>
        <v>364.91962951184314</v>
      </c>
      <c r="V29" s="55">
        <f>'Scen 1 Budgets'!V47/'Scen 1 MWh Savings'!V11</f>
        <v>353.91786065750136</v>
      </c>
    </row>
    <row r="30" spans="1:22">
      <c r="A30" s="8" t="s">
        <v>15</v>
      </c>
      <c r="B30" s="56">
        <f>'Scen 1 Budgets'!B48/'Scen 1 MWh Savings'!B12</f>
        <v>343.56311144701891</v>
      </c>
      <c r="C30" s="56">
        <f>'Scen 1 Budgets'!C48/'Scen 1 MWh Savings'!C12</f>
        <v>344.6443654024286</v>
      </c>
      <c r="D30" s="56">
        <f>'Scen 1 Budgets'!D48/'Scen 1 MWh Savings'!D12</f>
        <v>339.26368991525828</v>
      </c>
      <c r="E30" s="56">
        <f>'Scen 1 Budgets'!E48/'Scen 1 MWh Savings'!E12</f>
        <v>374.27750932435873</v>
      </c>
      <c r="F30" s="56">
        <f>'Scen 1 Budgets'!F48/'Scen 1 MWh Savings'!F12</f>
        <v>354.06250400456628</v>
      </c>
      <c r="G30" s="56">
        <f>'Scen 1 Budgets'!G48/'Scen 1 MWh Savings'!G12</f>
        <v>446.17127746261195</v>
      </c>
      <c r="H30" s="56">
        <f>'Scen 1 Budgets'!H48/'Scen 1 MWh Savings'!H12</f>
        <v>486.9167553896994</v>
      </c>
      <c r="I30" s="56">
        <f>'Scen 1 Budgets'!I48/'Scen 1 MWh Savings'!I12</f>
        <v>500.27568294786863</v>
      </c>
      <c r="J30" s="56">
        <f>'Scen 1 Budgets'!J48/'Scen 1 MWh Savings'!J12</f>
        <v>517.13918084761815</v>
      </c>
      <c r="K30" s="56">
        <f>'Scen 1 Budgets'!K48/'Scen 1 MWh Savings'!K12</f>
        <v>509.80121298152358</v>
      </c>
      <c r="L30" s="56">
        <f>'Scen 1 Budgets'!L48/'Scen 1 MWh Savings'!L12</f>
        <v>502.91241938713051</v>
      </c>
      <c r="M30" s="56">
        <f>'Scen 1 Budgets'!M48/'Scen 1 MWh Savings'!M12</f>
        <v>497.39709379227872</v>
      </c>
      <c r="N30" s="56">
        <f>'Scen 1 Budgets'!N48/'Scen 1 MWh Savings'!N12</f>
        <v>495.27899578266857</v>
      </c>
      <c r="O30" s="56">
        <f>'Scen 1 Budgets'!O48/'Scen 1 MWh Savings'!O12</f>
        <v>509.00337061181017</v>
      </c>
      <c r="P30" s="56">
        <f>'Scen 1 Budgets'!P48/'Scen 1 MWh Savings'!P12</f>
        <v>509.76606858208891</v>
      </c>
      <c r="Q30" s="56">
        <f>'Scen 1 Budgets'!Q48/'Scen 1 MWh Savings'!Q12</f>
        <v>508.23529665430385</v>
      </c>
      <c r="R30" s="56">
        <f>'Scen 1 Budgets'!R48/'Scen 1 MWh Savings'!R12</f>
        <v>505.4195415249194</v>
      </c>
      <c r="S30" s="56">
        <f>'Scen 1 Budgets'!S48/'Scen 1 MWh Savings'!S12</f>
        <v>502.27359161536896</v>
      </c>
      <c r="T30" s="56">
        <f>'Scen 1 Budgets'!T48/'Scen 1 MWh Savings'!T12</f>
        <v>514.6999306253183</v>
      </c>
      <c r="U30" s="56">
        <f>'Scen 1 Budgets'!U48/'Scen 1 MWh Savings'!U12</f>
        <v>512.06564797906753</v>
      </c>
      <c r="V30" s="56">
        <f>'Scen 1 Budgets'!V48/'Scen 1 MWh Savings'!V12</f>
        <v>458.11416363686175</v>
      </c>
    </row>
    <row r="32" spans="1:22">
      <c r="A32" s="50" t="s">
        <v>3</v>
      </c>
    </row>
    <row r="33" spans="1:22">
      <c r="A33" s="2" t="s">
        <v>7</v>
      </c>
      <c r="B33" s="54">
        <f>'Scen 1 Budgets'!B51/'Scen 1 MWh Savings'!B15</f>
        <v>286.54226673501029</v>
      </c>
      <c r="C33" s="54">
        <f>'Scen 1 Budgets'!C51/'Scen 1 MWh Savings'!C15</f>
        <v>288.98603992312189</v>
      </c>
      <c r="D33" s="54">
        <f>'Scen 1 Budgets'!D51/'Scen 1 MWh Savings'!D15</f>
        <v>287.554493647367</v>
      </c>
      <c r="E33" s="54">
        <f>'Scen 1 Budgets'!E51/'Scen 1 MWh Savings'!E15</f>
        <v>290.50120484174346</v>
      </c>
      <c r="F33" s="54">
        <f>'Scen 1 Budgets'!F51/'Scen 1 MWh Savings'!F15</f>
        <v>283.60950701461701</v>
      </c>
      <c r="G33" s="54">
        <f>'Scen 1 Budgets'!G51/'Scen 1 MWh Savings'!G15</f>
        <v>286.43923679633548</v>
      </c>
      <c r="H33" s="54">
        <f>'Scen 1 Budgets'!H51/'Scen 1 MWh Savings'!H15</f>
        <v>274.89448013595472</v>
      </c>
      <c r="I33" s="54">
        <f>'Scen 1 Budgets'!I51/'Scen 1 MWh Savings'!I15</f>
        <v>279.03861818094248</v>
      </c>
      <c r="J33" s="54">
        <f>'Scen 1 Budgets'!J51/'Scen 1 MWh Savings'!J15</f>
        <v>283.24522840589412</v>
      </c>
      <c r="K33" s="54">
        <f>'Scen 1 Budgets'!K51/'Scen 1 MWh Savings'!K15</f>
        <v>279.2295522268704</v>
      </c>
      <c r="L33" s="54">
        <f>'Scen 1 Budgets'!L51/'Scen 1 MWh Savings'!L15</f>
        <v>283.43904435267763</v>
      </c>
      <c r="M33" s="54">
        <f>'Scen 1 Budgets'!M51/'Scen 1 MWh Savings'!M15</f>
        <v>287.71199183026954</v>
      </c>
      <c r="N33" s="54">
        <f>'Scen 1 Budgets'!N51/'Scen 1 MWh Savings'!N15</f>
        <v>292.04935605589043</v>
      </c>
      <c r="O33" s="54">
        <f>'Scen 1 Budgets'!O51/'Scen 1 MWh Savings'!O15</f>
        <v>296.45211213846687</v>
      </c>
      <c r="P33" s="54">
        <f>'Scen 1 Budgets'!P51/'Scen 1 MWh Savings'!P15</f>
        <v>291.97763321983854</v>
      </c>
      <c r="Q33" s="54">
        <f>'Scen 1 Budgets'!Q51/'Scen 1 MWh Savings'!Q15</f>
        <v>296.37929792583805</v>
      </c>
      <c r="R33" s="54">
        <f>'Scen 1 Budgets'!R51/'Scen 1 MWh Savings'!R15</f>
        <v>300.84733028081632</v>
      </c>
      <c r="S33" s="54">
        <f>'Scen 1 Budgets'!S51/'Scen 1 MWh Savings'!S15</f>
        <v>305.38271535296303</v>
      </c>
      <c r="T33" s="54">
        <f>'Scen 1 Budgets'!T51/'Scen 1 MWh Savings'!T15</f>
        <v>309.98647398377562</v>
      </c>
      <c r="U33" s="54">
        <f>'Scen 1 Budgets'!U51/'Scen 1 MWh Savings'!U15</f>
        <v>308.24428032029249</v>
      </c>
      <c r="V33" s="54">
        <f>'Scen 1 Budgets'!V51/'Scen 1 MWh Savings'!V15</f>
        <v>289.85049705921659</v>
      </c>
    </row>
    <row r="34" spans="1:22">
      <c r="A34" s="2" t="s">
        <v>6</v>
      </c>
      <c r="B34" s="54">
        <f>'Scen 1 Budgets'!B52/'Scen 1 MWh Savings'!B16</f>
        <v>329.6703106087781</v>
      </c>
      <c r="C34" s="54">
        <f>'Scen 1 Budgets'!C52/'Scen 1 MWh Savings'!C16</f>
        <v>359.78979216533634</v>
      </c>
      <c r="D34" s="54">
        <f>'Scen 1 Budgets'!D52/'Scen 1 MWh Savings'!D16</f>
        <v>380.02782554134842</v>
      </c>
      <c r="E34" s="54">
        <f>'Scen 1 Budgets'!E52/'Scen 1 MWh Savings'!E16</f>
        <v>410.08537945434045</v>
      </c>
      <c r="F34" s="54">
        <f>'Scen 1 Budgets'!F52/'Scen 1 MWh Savings'!F16</f>
        <v>409.15512653208401</v>
      </c>
      <c r="G34" s="54">
        <f>'Scen 1 Budgets'!G52/'Scen 1 MWh Savings'!G16</f>
        <v>419.63548764358347</v>
      </c>
      <c r="H34" s="54">
        <f>'Scen 1 Budgets'!H52/'Scen 1 MWh Savings'!H16</f>
        <v>403.62664405720335</v>
      </c>
      <c r="I34" s="54">
        <f>'Scen 1 Budgets'!I52/'Scen 1 MWh Savings'!I16</f>
        <v>415.23288686757479</v>
      </c>
      <c r="J34" s="54">
        <f>'Scen 1 Budgets'!J52/'Scen 1 MWh Savings'!J16</f>
        <v>427.79746411026764</v>
      </c>
      <c r="K34" s="54">
        <f>'Scen 1 Budgets'!K52/'Scen 1 MWh Savings'!K16</f>
        <v>422.88545826378856</v>
      </c>
      <c r="L34" s="54">
        <f>'Scen 1 Budgets'!L52/'Scen 1 MWh Savings'!L16</f>
        <v>429.52813166240753</v>
      </c>
      <c r="M34" s="54">
        <f>'Scen 1 Budgets'!M52/'Scen 1 MWh Savings'!M16</f>
        <v>436.30800463969132</v>
      </c>
      <c r="N34" s="54">
        <f>'Scen 1 Budgets'!N52/'Scen 1 MWh Savings'!N16</f>
        <v>443.25676986536581</v>
      </c>
      <c r="O34" s="54">
        <f>'Scen 1 Budgets'!O52/'Scen 1 MWh Savings'!O16</f>
        <v>458.38248148271452</v>
      </c>
      <c r="P34" s="54">
        <f>'Scen 1 Budgets'!P52/'Scen 1 MWh Savings'!P16</f>
        <v>453.26987444789398</v>
      </c>
      <c r="Q34" s="54">
        <f>'Scen 1 Budgets'!Q52/'Scen 1 MWh Savings'!Q16</f>
        <v>460.5312578430653</v>
      </c>
      <c r="R34" s="54">
        <f>'Scen 1 Budgets'!R52/'Scen 1 MWh Savings'!R16</f>
        <v>467.92432692969061</v>
      </c>
      <c r="S34" s="54">
        <f>'Scen 1 Budgets'!S52/'Scen 1 MWh Savings'!S16</f>
        <v>475.48431843552521</v>
      </c>
      <c r="T34" s="54">
        <f>'Scen 1 Budgets'!T52/'Scen 1 MWh Savings'!T16</f>
        <v>489.82035564034766</v>
      </c>
      <c r="U34" s="54">
        <f>'Scen 1 Budgets'!U52/'Scen 1 MWh Savings'!U16</f>
        <v>488.64293191426788</v>
      </c>
      <c r="V34" s="54">
        <f>'Scen 1 Budgets'!V52/'Scen 1 MWh Savings'!V16</f>
        <v>419.44576457239702</v>
      </c>
    </row>
    <row r="35" spans="1:22">
      <c r="A35" s="2" t="s">
        <v>5</v>
      </c>
      <c r="B35" s="55">
        <f>'Scen 1 Budgets'!B53/'Scen 1 MWh Savings'!B17</f>
        <v>531.51094840683891</v>
      </c>
      <c r="C35" s="55">
        <f>'Scen 1 Budgets'!C53/'Scen 1 MWh Savings'!C17</f>
        <v>544.41830016957465</v>
      </c>
      <c r="D35" s="55">
        <f>'Scen 1 Budgets'!D53/'Scen 1 MWh Savings'!D17</f>
        <v>550.88761301291231</v>
      </c>
      <c r="E35" s="55">
        <f>'Scen 1 Budgets'!E53/'Scen 1 MWh Savings'!E17</f>
        <v>528.22425172175861</v>
      </c>
      <c r="F35" s="55">
        <f>'Scen 1 Budgets'!F53/'Scen 1 MWh Savings'!F17</f>
        <v>534.66413909557491</v>
      </c>
      <c r="G35" s="55">
        <f>'Scen 1 Budgets'!G53/'Scen 1 MWh Savings'!G17</f>
        <v>538.65231145687403</v>
      </c>
      <c r="H35" s="55">
        <f>'Scen 1 Budgets'!H53/'Scen 1 MWh Savings'!H17</f>
        <v>523.10228228377593</v>
      </c>
      <c r="I35" s="55">
        <f>'Scen 1 Budgets'!I53/'Scen 1 MWh Savings'!I17</f>
        <v>531.49059650990671</v>
      </c>
      <c r="J35" s="55">
        <f>'Scen 1 Budgets'!J53/'Scen 1 MWh Savings'!J17</f>
        <v>537.32066309303525</v>
      </c>
      <c r="K35" s="55">
        <f>'Scen 1 Budgets'!K53/'Scen 1 MWh Savings'!K17</f>
        <v>531.45182312195163</v>
      </c>
      <c r="L35" s="55">
        <f>'Scen 1 Budgets'!L53/'Scen 1 MWh Savings'!L17</f>
        <v>538.86789693203866</v>
      </c>
      <c r="M35" s="55">
        <f>'Scen 1 Budgets'!M53/'Scen 1 MWh Savings'!M17</f>
        <v>546.18328886845245</v>
      </c>
      <c r="N35" s="55">
        <f>'Scen 1 Budgets'!N53/'Scen 1 MWh Savings'!N17</f>
        <v>553.40388417543579</v>
      </c>
      <c r="O35" s="55">
        <f>'Scen 1 Budgets'!O53/'Scen 1 MWh Savings'!O17</f>
        <v>557.22937813416854</v>
      </c>
      <c r="P35" s="55">
        <f>'Scen 1 Budgets'!P53/'Scen 1 MWh Savings'!P17</f>
        <v>550.20161713341179</v>
      </c>
      <c r="Q35" s="55">
        <f>'Scen 1 Budgets'!Q53/'Scen 1 MWh Savings'!Q17</f>
        <v>557.18732148825802</v>
      </c>
      <c r="R35" s="55">
        <f>'Scen 1 Budgets'!R53/'Scen 1 MWh Savings'!R17</f>
        <v>564.12385680385103</v>
      </c>
      <c r="S35" s="55">
        <f>'Scen 1 Budgets'!S53/'Scen 1 MWh Savings'!S17</f>
        <v>570.97748358715853</v>
      </c>
      <c r="T35" s="55">
        <f>'Scen 1 Budgets'!T53/'Scen 1 MWh Savings'!T17</f>
        <v>575.0910212146664</v>
      </c>
      <c r="U35" s="55">
        <f>'Scen 1 Budgets'!U53/'Scen 1 MWh Savings'!U17</f>
        <v>572.24305836393944</v>
      </c>
      <c r="V35" s="55">
        <f>'Scen 1 Budgets'!V53/'Scen 1 MWh Savings'!V17</f>
        <v>545.99360940022552</v>
      </c>
    </row>
    <row r="36" spans="1:22">
      <c r="A36" s="8" t="s">
        <v>16</v>
      </c>
      <c r="B36" s="56">
        <f>'Scen 1 Budgets'!B54/'Scen 1 MWh Savings'!B18</f>
        <v>419.73987592198876</v>
      </c>
      <c r="C36" s="56">
        <f>'Scen 1 Budgets'!C54/'Scen 1 MWh Savings'!C18</f>
        <v>442.36314057175434</v>
      </c>
      <c r="D36" s="56">
        <f>'Scen 1 Budgets'!D54/'Scen 1 MWh Savings'!D18</f>
        <v>456.817342030958</v>
      </c>
      <c r="E36" s="56">
        <f>'Scen 1 Budgets'!E54/'Scen 1 MWh Savings'!E18</f>
        <v>459.19033196094983</v>
      </c>
      <c r="F36" s="56">
        <f>'Scen 1 Budgets'!F54/'Scen 1 MWh Savings'!F18</f>
        <v>462.74940248877471</v>
      </c>
      <c r="G36" s="56">
        <f>'Scen 1 Budgets'!G54/'Scen 1 MWh Savings'!G18</f>
        <v>469.12712657023314</v>
      </c>
      <c r="H36" s="56">
        <f>'Scen 1 Budgets'!H54/'Scen 1 MWh Savings'!H18</f>
        <v>453.73956470944415</v>
      </c>
      <c r="I36" s="56">
        <f>'Scen 1 Budgets'!I54/'Scen 1 MWh Savings'!I18</f>
        <v>465.17425662631564</v>
      </c>
      <c r="J36" s="56">
        <f>'Scen 1 Budgets'!J54/'Scen 1 MWh Savings'!J18</f>
        <v>473.96473526030843</v>
      </c>
      <c r="K36" s="56">
        <f>'Scen 1 Budgets'!K54/'Scen 1 MWh Savings'!K18</f>
        <v>469.29542089555611</v>
      </c>
      <c r="L36" s="56">
        <f>'Scen 1 Budgets'!L54/'Scen 1 MWh Savings'!L18</f>
        <v>476.08378730899022</v>
      </c>
      <c r="M36" s="56">
        <f>'Scen 1 Budgets'!M54/'Scen 1 MWh Savings'!M18</f>
        <v>482.84088576017592</v>
      </c>
      <c r="N36" s="56">
        <f>'Scen 1 Budgets'!N54/'Scen 1 MWh Savings'!N18</f>
        <v>489.5137367179077</v>
      </c>
      <c r="O36" s="56">
        <f>'Scen 1 Budgets'!O54/'Scen 1 MWh Savings'!O18</f>
        <v>495.27724982146918</v>
      </c>
      <c r="P36" s="56">
        <f>'Scen 1 Budgets'!P54/'Scen 1 MWh Savings'!P18</f>
        <v>489.74029457713357</v>
      </c>
      <c r="Q36" s="56">
        <f>'Scen 1 Budgets'!Q54/'Scen 1 MWh Savings'!Q18</f>
        <v>496.44183179122194</v>
      </c>
      <c r="R36" s="56">
        <f>'Scen 1 Budgets'!R54/'Scen 1 MWh Savings'!R18</f>
        <v>503.2166059105528</v>
      </c>
      <c r="S36" s="56">
        <f>'Scen 1 Budgets'!S54/'Scen 1 MWh Savings'!S18</f>
        <v>509.94821671231881</v>
      </c>
      <c r="T36" s="56">
        <f>'Scen 1 Budgets'!T54/'Scen 1 MWh Savings'!T18</f>
        <v>515.99895889114146</v>
      </c>
      <c r="U36" s="56">
        <f>'Scen 1 Budgets'!U54/'Scen 1 MWh Savings'!U18</f>
        <v>514.12697809141559</v>
      </c>
      <c r="V36" s="56">
        <f>'Scen 1 Budgets'!V54/'Scen 1 MWh Savings'!V18</f>
        <v>474.38010170644151</v>
      </c>
    </row>
    <row r="37" spans="1:22">
      <c r="A37" s="8"/>
    </row>
    <row r="38" spans="1:22">
      <c r="A38" s="3" t="s">
        <v>4</v>
      </c>
      <c r="B38" s="56">
        <f>'Scen 1 Budgets'!B56/'Scen 1 MWh Savings'!B20</f>
        <v>390.31024405367805</v>
      </c>
      <c r="C38" s="56">
        <f>'Scen 1 Budgets'!C56/'Scen 1 MWh Savings'!C20</f>
        <v>401.32706690958133</v>
      </c>
      <c r="D38" s="56">
        <f>'Scen 1 Budgets'!D56/'Scen 1 MWh Savings'!D20</f>
        <v>404.86438423788576</v>
      </c>
      <c r="E38" s="56">
        <f>'Scen 1 Budgets'!E56/'Scen 1 MWh Savings'!E20</f>
        <v>420.93522305677396</v>
      </c>
      <c r="F38" s="56">
        <f>'Scen 1 Budgets'!F56/'Scen 1 MWh Savings'!F20</f>
        <v>412.093983882533</v>
      </c>
      <c r="G38" s="56">
        <f>'Scen 1 Budgets'!G56/'Scen 1 MWh Savings'!G20</f>
        <v>459.65120481888226</v>
      </c>
      <c r="H38" s="56">
        <f>'Scen 1 Budgets'!H56/'Scen 1 MWh Savings'!H20</f>
        <v>466.45977746268954</v>
      </c>
      <c r="I38" s="56">
        <f>'Scen 1 Budgets'!I56/'Scen 1 MWh Savings'!I20</f>
        <v>478.62297851231079</v>
      </c>
      <c r="J38" s="56">
        <f>'Scen 1 Budgets'!J56/'Scen 1 MWh Savings'!J20</f>
        <v>491.65821445926105</v>
      </c>
      <c r="K38" s="56">
        <f>'Scen 1 Budgets'!K56/'Scen 1 MWh Savings'!K20</f>
        <v>485.90442433473794</v>
      </c>
      <c r="L38" s="56">
        <f>'Scen 1 Budgets'!L56/'Scen 1 MWh Savings'!L20</f>
        <v>487.26783117969705</v>
      </c>
      <c r="M38" s="56">
        <f>'Scen 1 Budgets'!M56/'Scen 1 MWh Savings'!M20</f>
        <v>488.99878856199882</v>
      </c>
      <c r="N38" s="56">
        <f>'Scen 1 Budgets'!N56/'Scen 1 MWh Savings'!N20</f>
        <v>491.97841598680674</v>
      </c>
      <c r="O38" s="56">
        <f>'Scen 1 Budgets'!O56/'Scen 1 MWh Savings'!O20</f>
        <v>501.50644829415472</v>
      </c>
      <c r="P38" s="56">
        <f>'Scen 1 Budgets'!P56/'Scen 1 MWh Savings'!P20</f>
        <v>498.76688407654655</v>
      </c>
      <c r="Q38" s="56">
        <f>'Scen 1 Budgets'!Q56/'Scen 1 MWh Savings'!Q20</f>
        <v>501.8073021664423</v>
      </c>
      <c r="R38" s="56">
        <f>'Scen 1 Budgets'!R56/'Scen 1 MWh Savings'!R20</f>
        <v>504.22949808403132</v>
      </c>
      <c r="S38" s="56">
        <f>'Scen 1 Budgets'!S56/'Scen 1 MWh Savings'!S20</f>
        <v>506.3813854570646</v>
      </c>
      <c r="T38" s="56">
        <f>'Scen 1 Budgets'!T56/'Scen 1 MWh Savings'!T20</f>
        <v>515.37462588677033</v>
      </c>
      <c r="U38" s="56">
        <f>'Scen 1 Budgets'!U56/'Scen 1 MWh Savings'!U20</f>
        <v>513.13522653529617</v>
      </c>
      <c r="V38" s="56">
        <f>'Scen 1 Budgets'!V56/'Scen 1 MWh Savings'!V20</f>
        <v>467.33652627786148</v>
      </c>
    </row>
    <row r="39" spans="1:22">
      <c r="A39" s="1"/>
    </row>
    <row r="40" spans="1:22">
      <c r="A40" s="62" t="s">
        <v>29</v>
      </c>
      <c r="B40" s="6">
        <v>2015</v>
      </c>
      <c r="C40" s="6">
        <f>B40+1</f>
        <v>2016</v>
      </c>
      <c r="D40" s="6">
        <f t="shared" ref="D40" si="19">C40+1</f>
        <v>2017</v>
      </c>
      <c r="E40" s="6">
        <f t="shared" ref="E40" si="20">D40+1</f>
        <v>2018</v>
      </c>
      <c r="F40" s="6">
        <f t="shared" ref="F40" si="21">E40+1</f>
        <v>2019</v>
      </c>
      <c r="G40" s="6">
        <f t="shared" ref="G40" si="22">F40+1</f>
        <v>2020</v>
      </c>
      <c r="H40" s="6">
        <f t="shared" ref="H40" si="23">G40+1</f>
        <v>2021</v>
      </c>
      <c r="I40" s="6">
        <f t="shared" ref="I40" si="24">H40+1</f>
        <v>2022</v>
      </c>
      <c r="J40" s="6">
        <f t="shared" ref="J40" si="25">I40+1</f>
        <v>2023</v>
      </c>
      <c r="K40" s="6">
        <f t="shared" ref="K40" si="26">J40+1</f>
        <v>2024</v>
      </c>
      <c r="L40" s="6">
        <f t="shared" ref="L40" si="27">K40+1</f>
        <v>2025</v>
      </c>
      <c r="M40" s="6">
        <f t="shared" ref="M40" si="28">L40+1</f>
        <v>2026</v>
      </c>
      <c r="N40" s="6">
        <f t="shared" ref="N40" si="29">M40+1</f>
        <v>2027</v>
      </c>
      <c r="O40" s="6">
        <f t="shared" ref="O40" si="30">N40+1</f>
        <v>2028</v>
      </c>
      <c r="P40" s="6">
        <f t="shared" ref="P40" si="31">O40+1</f>
        <v>2029</v>
      </c>
      <c r="Q40" s="6">
        <f t="shared" ref="Q40" si="32">P40+1</f>
        <v>2030</v>
      </c>
      <c r="R40" s="6">
        <f t="shared" ref="R40" si="33">Q40+1</f>
        <v>2031</v>
      </c>
      <c r="S40" s="6">
        <f t="shared" ref="S40" si="34">R40+1</f>
        <v>2032</v>
      </c>
      <c r="T40" s="6">
        <f t="shared" ref="T40" si="35">S40+1</f>
        <v>2033</v>
      </c>
      <c r="U40" s="6">
        <f t="shared" ref="U40" si="36">T40+1</f>
        <v>2034</v>
      </c>
      <c r="V40" s="6" t="s">
        <v>14</v>
      </c>
    </row>
    <row r="41" spans="1:22">
      <c r="A41" s="50" t="s">
        <v>2</v>
      </c>
    </row>
    <row r="42" spans="1:22">
      <c r="A42" s="9" t="s">
        <v>8</v>
      </c>
      <c r="B42" s="59">
        <f>'Scen 1 MWh Savings'!B6/('Scen 1 Summer &amp; Winter MW'!B6*1000)</f>
        <v>7.9431382144851392</v>
      </c>
      <c r="C42" s="59">
        <f>'Scen 1 MWh Savings'!C6/('Scen 1 Summer &amp; Winter MW'!C6*1000)</f>
        <v>7.9130448944096665</v>
      </c>
      <c r="D42" s="59">
        <f>'Scen 1 MWh Savings'!D6/('Scen 1 Summer &amp; Winter MW'!D6*1000)</f>
        <v>7.9999877632140741</v>
      </c>
      <c r="E42" s="59">
        <f>'Scen 1 MWh Savings'!E6/('Scen 1 Summer &amp; Winter MW'!E6*1000)</f>
        <v>7.8932148484515707</v>
      </c>
      <c r="F42" s="59">
        <f>'Scen 1 MWh Savings'!F6/('Scen 1 Summer &amp; Winter MW'!F6*1000)</f>
        <v>7.8923867119238684</v>
      </c>
      <c r="G42" s="59">
        <f>'Scen 1 MWh Savings'!G6/('Scen 1 Summer &amp; Winter MW'!G6*1000)</f>
        <v>7.7232598945160449</v>
      </c>
      <c r="H42" s="59">
        <f>'Scen 1 MWh Savings'!H6/('Scen 1 Summer &amp; Winter MW'!H6*1000)</f>
        <v>7.9647239020727572</v>
      </c>
      <c r="I42" s="59">
        <f>'Scen 1 MWh Savings'!I6/('Scen 1 Summer &amp; Winter MW'!I6*1000)</f>
        <v>7.9673410106158373</v>
      </c>
      <c r="J42" s="59">
        <f>'Scen 1 MWh Savings'!J6/('Scen 1 Summer &amp; Winter MW'!J6*1000)</f>
        <v>7.9973056934998574</v>
      </c>
      <c r="K42" s="59">
        <f>'Scen 1 MWh Savings'!K6/('Scen 1 Summer &amp; Winter MW'!K6*1000)</f>
        <v>8.24091533510056</v>
      </c>
      <c r="L42" s="59">
        <f>'Scen 1 MWh Savings'!L6/('Scen 1 Summer &amp; Winter MW'!L6*1000)</f>
        <v>8.241321427117871</v>
      </c>
      <c r="M42" s="59">
        <f>'Scen 1 MWh Savings'!M6/('Scen 1 Summer &amp; Winter MW'!M6*1000)</f>
        <v>8.2417245915101756</v>
      </c>
      <c r="N42" s="59">
        <f>'Scen 1 MWh Savings'!N6/('Scen 1 Summer &amp; Winter MW'!N6*1000)</f>
        <v>8.4750635332771136</v>
      </c>
      <c r="O42" s="59">
        <f>'Scen 1 MWh Savings'!O6/('Scen 1 Summer &amp; Winter MW'!O6*1000)</f>
        <v>8.4849804725042137</v>
      </c>
      <c r="P42" s="59">
        <f>'Scen 1 MWh Savings'!P6/('Scen 1 Summer &amp; Winter MW'!P6*1000)</f>
        <v>8.4854765421406952</v>
      </c>
      <c r="Q42" s="59">
        <f>'Scen 1 MWh Savings'!Q6/('Scen 1 Summer &amp; Winter MW'!Q6*1000)</f>
        <v>9.0291810936180994</v>
      </c>
      <c r="R42" s="59">
        <f>'Scen 1 MWh Savings'!R6/('Scen 1 Summer &amp; Winter MW'!R6*1000)</f>
        <v>9.0299832957709576</v>
      </c>
      <c r="S42" s="59">
        <f>'Scen 1 MWh Savings'!S6/('Scen 1 Summer &amp; Winter MW'!S6*1000)</f>
        <v>9.0307785542770223</v>
      </c>
      <c r="T42" s="59">
        <f>'Scen 1 MWh Savings'!T6/('Scen 1 Summer &amp; Winter MW'!T6*1000)</f>
        <v>9.6256004962729591</v>
      </c>
      <c r="U42" s="59">
        <f>'Scen 1 MWh Savings'!U6/('Scen 1 Summer &amp; Winter MW'!U6*1000)</f>
        <v>9.6266843564210252</v>
      </c>
      <c r="V42" s="59">
        <f>'Scen 1 MWh Savings'!V6/('Scen 1 Summer &amp; Winter MW'!V6*1000)</f>
        <v>8.4338795451645208</v>
      </c>
    </row>
    <row r="43" spans="1:22">
      <c r="A43" s="10" t="s">
        <v>9</v>
      </c>
      <c r="B43" s="59">
        <f>'Scen 1 MWh Savings'!B7/('Scen 1 Summer &amp; Winter MW'!B7*1000)</f>
        <v>10.550449967746454</v>
      </c>
      <c r="C43" s="59">
        <f>'Scen 1 MWh Savings'!C7/('Scen 1 Summer &amp; Winter MW'!C7*1000)</f>
        <v>10.841477365056079</v>
      </c>
      <c r="D43" s="59">
        <f>'Scen 1 MWh Savings'!D7/('Scen 1 Summer &amp; Winter MW'!D7*1000)</f>
        <v>11.377476145330759</v>
      </c>
      <c r="E43" s="59">
        <f>'Scen 1 MWh Savings'!E7/('Scen 1 Summer &amp; Winter MW'!E7*1000)</f>
        <v>8.6893855445100758</v>
      </c>
      <c r="F43" s="59">
        <f>'Scen 1 MWh Savings'!F7/('Scen 1 Summer &amp; Winter MW'!F7*1000)</f>
        <v>8.5129141732553411</v>
      </c>
      <c r="G43" s="59">
        <f>'Scen 1 MWh Savings'!G7/('Scen 1 Summer &amp; Winter MW'!G7*1000)</f>
        <v>10.261545062131319</v>
      </c>
      <c r="H43" s="59">
        <f>'Scen 1 MWh Savings'!H7/('Scen 1 Summer &amp; Winter MW'!H7*1000)</f>
        <v>8.8073682455938869</v>
      </c>
      <c r="I43" s="59">
        <f>'Scen 1 MWh Savings'!I7/('Scen 1 Summer &amp; Winter MW'!I7*1000)</f>
        <v>8.780422275404451</v>
      </c>
      <c r="J43" s="59">
        <f>'Scen 1 MWh Savings'!J7/('Scen 1 Summer &amp; Winter MW'!J7*1000)</f>
        <v>8.9608477535106577</v>
      </c>
      <c r="K43" s="59">
        <f>'Scen 1 MWh Savings'!K7/('Scen 1 Summer &amp; Winter MW'!K7*1000)</f>
        <v>9.4028668363204151</v>
      </c>
      <c r="L43" s="59">
        <f>'Scen 1 MWh Savings'!L7/('Scen 1 Summer &amp; Winter MW'!L7*1000)</f>
        <v>9.5593252037783465</v>
      </c>
      <c r="M43" s="59">
        <f>'Scen 1 MWh Savings'!M7/('Scen 1 Summer &amp; Winter MW'!M7*1000)</f>
        <v>9.5862524145498309</v>
      </c>
      <c r="N43" s="59">
        <f>'Scen 1 MWh Savings'!N7/('Scen 1 Summer &amp; Winter MW'!N7*1000)</f>
        <v>9.5206773740642863</v>
      </c>
      <c r="O43" s="59">
        <f>'Scen 1 MWh Savings'!O7/('Scen 1 Summer &amp; Winter MW'!O7*1000)</f>
        <v>9.6407774486221225</v>
      </c>
      <c r="P43" s="59">
        <f>'Scen 1 MWh Savings'!P7/('Scen 1 Summer &amp; Winter MW'!P7*1000)</f>
        <v>9.5522330000875879</v>
      </c>
      <c r="Q43" s="59">
        <f>'Scen 1 MWh Savings'!Q7/('Scen 1 Summer &amp; Winter MW'!Q7*1000)</f>
        <v>9.6261642241488747</v>
      </c>
      <c r="R43" s="59">
        <f>'Scen 1 MWh Savings'!R7/('Scen 1 Summer &amp; Winter MW'!R7*1000)</f>
        <v>9.7063144276901365</v>
      </c>
      <c r="S43" s="59">
        <f>'Scen 1 MWh Savings'!S7/('Scen 1 Summer &amp; Winter MW'!S7*1000)</f>
        <v>9.7057319493519874</v>
      </c>
      <c r="T43" s="59">
        <f>'Scen 1 MWh Savings'!T7/('Scen 1 Summer &amp; Winter MW'!T7*1000)</f>
        <v>9.709608202548031</v>
      </c>
      <c r="U43" s="59">
        <f>'Scen 1 MWh Savings'!U7/('Scen 1 Summer &amp; Winter MW'!U7*1000)</f>
        <v>9.661737957458552</v>
      </c>
      <c r="V43" s="59">
        <f>'Scen 1 MWh Savings'!V7/('Scen 1 Summer &amp; Winter MW'!V7*1000)</f>
        <v>9.6345816759899705</v>
      </c>
    </row>
    <row r="44" spans="1:22">
      <c r="A44" s="10" t="s">
        <v>10</v>
      </c>
      <c r="B44" s="59">
        <f>'Scen 1 MWh Savings'!B8/('Scen 1 Summer &amp; Winter MW'!B8*1000)</f>
        <v>8.8837743256489308</v>
      </c>
      <c r="C44" s="59">
        <f>'Scen 1 MWh Savings'!C8/('Scen 1 Summer &amp; Winter MW'!C8*1000)</f>
        <v>8.6730067748463231</v>
      </c>
      <c r="D44" s="59">
        <f>'Scen 1 MWh Savings'!D8/('Scen 1 Summer &amp; Winter MW'!D8*1000)</f>
        <v>8.4542283013172828</v>
      </c>
      <c r="E44" s="59">
        <f>'Scen 1 MWh Savings'!E8/('Scen 1 Summer &amp; Winter MW'!E8*1000)</f>
        <v>8.2779930435122484</v>
      </c>
      <c r="F44" s="59">
        <f>'Scen 1 MWh Savings'!F8/('Scen 1 Summer &amp; Winter MW'!F8*1000)</f>
        <v>8.1211650466283274</v>
      </c>
      <c r="G44" s="59">
        <f>'Scen 1 MWh Savings'!G8/('Scen 1 Summer &amp; Winter MW'!G8*1000)</f>
        <v>7.7928575433933673</v>
      </c>
      <c r="H44" s="59">
        <f>'Scen 1 MWh Savings'!H8/('Scen 1 Summer &amp; Winter MW'!H8*1000)</f>
        <v>7.7223780611711232</v>
      </c>
      <c r="I44" s="59">
        <f>'Scen 1 MWh Savings'!I8/('Scen 1 Summer &amp; Winter MW'!I8*1000)</f>
        <v>7.7379667977858269</v>
      </c>
      <c r="J44" s="59">
        <f>'Scen 1 MWh Savings'!J8/('Scen 1 Summer &amp; Winter MW'!J8*1000)</f>
        <v>7.7108303237518818</v>
      </c>
      <c r="K44" s="59">
        <f>'Scen 1 MWh Savings'!K8/('Scen 1 Summer &amp; Winter MW'!K8*1000)</f>
        <v>7.7564592573056039</v>
      </c>
      <c r="L44" s="59">
        <f>'Scen 1 MWh Savings'!L8/('Scen 1 Summer &amp; Winter MW'!L8*1000)</f>
        <v>7.7331631379792691</v>
      </c>
      <c r="M44" s="59">
        <f>'Scen 1 MWh Savings'!M8/('Scen 1 Summer &amp; Winter MW'!M8*1000)</f>
        <v>7.813111592923998</v>
      </c>
      <c r="N44" s="59">
        <f>'Scen 1 MWh Savings'!N8/('Scen 1 Summer &amp; Winter MW'!N8*1000)</f>
        <v>7.7247493135141871</v>
      </c>
      <c r="O44" s="59">
        <f>'Scen 1 MWh Savings'!O8/('Scen 1 Summer &amp; Winter MW'!O8*1000)</f>
        <v>7.3519722012107795</v>
      </c>
      <c r="P44" s="59">
        <f>'Scen 1 MWh Savings'!P8/('Scen 1 Summer &amp; Winter MW'!P8*1000)</f>
        <v>7.2270097630088248</v>
      </c>
      <c r="Q44" s="59">
        <f>'Scen 1 MWh Savings'!Q8/('Scen 1 Summer &amp; Winter MW'!Q8*1000)</f>
        <v>7.1668975757260744</v>
      </c>
      <c r="R44" s="59">
        <f>'Scen 1 MWh Savings'!R8/('Scen 1 Summer &amp; Winter MW'!R8*1000)</f>
        <v>7.1011798207551609</v>
      </c>
      <c r="S44" s="59">
        <f>'Scen 1 MWh Savings'!S8/('Scen 1 Summer &amp; Winter MW'!S8*1000)</f>
        <v>7.0762923219941847</v>
      </c>
      <c r="T44" s="59">
        <f>'Scen 1 MWh Savings'!T8/('Scen 1 Summer &amp; Winter MW'!T8*1000)</f>
        <v>6.8666371771435148</v>
      </c>
      <c r="U44" s="59">
        <f>'Scen 1 MWh Savings'!U8/('Scen 1 Summer &amp; Winter MW'!U8*1000)</f>
        <v>6.9243157752984148</v>
      </c>
      <c r="V44" s="59">
        <f>'Scen 1 MWh Savings'!V8/('Scen 1 Summer &amp; Winter MW'!V8*1000)</f>
        <v>7.5522983873998699</v>
      </c>
    </row>
    <row r="45" spans="1:22">
      <c r="A45" s="10" t="s">
        <v>11</v>
      </c>
      <c r="B45" s="59">
        <f>'Scen 1 MWh Savings'!B9/('Scen 1 Summer &amp; Winter MW'!B9*1000)</f>
        <v>9.3122863540195464</v>
      </c>
      <c r="C45" s="59">
        <f>'Scen 1 MWh Savings'!C9/('Scen 1 Summer &amp; Winter MW'!C9*1000)</f>
        <v>9.3284062782025856</v>
      </c>
      <c r="D45" s="59">
        <f>'Scen 1 MWh Savings'!D9/('Scen 1 Summer &amp; Winter MW'!D9*1000)</f>
        <v>9.3929481073849423</v>
      </c>
      <c r="E45" s="59">
        <f>'Scen 1 MWh Savings'!E9/('Scen 1 Summer &amp; Winter MW'!E9*1000)</f>
        <v>9.2881808498375236</v>
      </c>
      <c r="F45" s="59">
        <f>'Scen 1 MWh Savings'!F9/('Scen 1 Summer &amp; Winter MW'!F9*1000)</f>
        <v>9.3283824175044288</v>
      </c>
      <c r="G45" s="59">
        <f>'Scen 1 MWh Savings'!G9/('Scen 1 Summer &amp; Winter MW'!G9*1000)</f>
        <v>9.3326555391081065</v>
      </c>
      <c r="H45" s="59">
        <f>'Scen 1 MWh Savings'!H9/('Scen 1 Summer &amp; Winter MW'!H9*1000)</f>
        <v>9.3549291819451259</v>
      </c>
      <c r="I45" s="59">
        <f>'Scen 1 MWh Savings'!I9/('Scen 1 Summer &amp; Winter MW'!I9*1000)</f>
        <v>9.3449374268705867</v>
      </c>
      <c r="J45" s="59">
        <f>'Scen 1 MWh Savings'!J9/('Scen 1 Summer &amp; Winter MW'!J9*1000)</f>
        <v>9.3265950466459717</v>
      </c>
      <c r="K45" s="59">
        <f>'Scen 1 MWh Savings'!K9/('Scen 1 Summer &amp; Winter MW'!K9*1000)</f>
        <v>9.3306830373585701</v>
      </c>
      <c r="L45" s="59">
        <f>'Scen 1 MWh Savings'!L9/('Scen 1 Summer &amp; Winter MW'!L9*1000)</f>
        <v>9.3252979006386685</v>
      </c>
      <c r="M45" s="59">
        <f>'Scen 1 MWh Savings'!M9/('Scen 1 Summer &amp; Winter MW'!M9*1000)</f>
        <v>9.3201096575793585</v>
      </c>
      <c r="N45" s="59">
        <f>'Scen 1 MWh Savings'!N9/('Scen 1 Summer &amp; Winter MW'!N9*1000)</f>
        <v>9.3147398165608131</v>
      </c>
      <c r="O45" s="59">
        <f>'Scen 1 MWh Savings'!O9/('Scen 1 Summer &amp; Winter MW'!O9*1000)</f>
        <v>9.3228500081569177</v>
      </c>
      <c r="P45" s="59">
        <f>'Scen 1 MWh Savings'!P9/('Scen 1 Summer &amp; Winter MW'!P9*1000)</f>
        <v>9.3175462696669822</v>
      </c>
      <c r="Q45" s="59">
        <f>'Scen 1 MWh Savings'!Q9/('Scen 1 Summer &amp; Winter MW'!Q9*1000)</f>
        <v>9.3123824291545034</v>
      </c>
      <c r="R45" s="59">
        <f>'Scen 1 MWh Savings'!R9/('Scen 1 Summer &amp; Winter MW'!R9*1000)</f>
        <v>9.3049268942990349</v>
      </c>
      <c r="S45" s="59">
        <f>'Scen 1 MWh Savings'!S9/('Scen 1 Summer &amp; Winter MW'!S9*1000)</f>
        <v>9.2998171983904143</v>
      </c>
      <c r="T45" s="59">
        <f>'Scen 1 MWh Savings'!T9/('Scen 1 Summer &amp; Winter MW'!T9*1000)</f>
        <v>9.2948432164456456</v>
      </c>
      <c r="U45" s="59">
        <f>'Scen 1 MWh Savings'!U9/('Scen 1 Summer &amp; Winter MW'!U9*1000)</f>
        <v>9.2893589185945853</v>
      </c>
      <c r="V45" s="59">
        <f>'Scen 1 MWh Savings'!V9/('Scen 1 Summer &amp; Winter MW'!V9*1000)</f>
        <v>9.3213360688078559</v>
      </c>
    </row>
    <row r="46" spans="1:22">
      <c r="A46" s="2" t="s">
        <v>12</v>
      </c>
      <c r="B46" s="59">
        <f>'Scen 1 MWh Savings'!B10/('Scen 1 Summer &amp; Winter MW'!B10*1000)</f>
        <v>8.6847857069694623</v>
      </c>
      <c r="C46" s="59">
        <f>'Scen 1 MWh Savings'!C10/('Scen 1 Summer &amp; Winter MW'!C10*1000)</f>
        <v>8.7157039881765446</v>
      </c>
      <c r="D46" s="59">
        <f>'Scen 1 MWh Savings'!D10/('Scen 1 Summer &amp; Winter MW'!D10*1000)</f>
        <v>8.767672245908928</v>
      </c>
      <c r="E46" s="59">
        <f>'Scen 1 MWh Savings'!E10/('Scen 1 Summer &amp; Winter MW'!E10*1000)</f>
        <v>8.6693041773910302</v>
      </c>
      <c r="F46" s="59">
        <f>'Scen 1 MWh Savings'!F10/('Scen 1 Summer &amp; Winter MW'!F10*1000)</f>
        <v>8.6887419118054137</v>
      </c>
      <c r="G46" s="59">
        <f>'Scen 1 MWh Savings'!G10/('Scen 1 Summer &amp; Winter MW'!G10*1000)</f>
        <v>8.6716581072032728</v>
      </c>
      <c r="H46" s="59">
        <f>'Scen 1 MWh Savings'!H10/('Scen 1 Summer &amp; Winter MW'!H10*1000)</f>
        <v>8.6739612217078914</v>
      </c>
      <c r="I46" s="59">
        <f>'Scen 1 MWh Savings'!I10/('Scen 1 Summer &amp; Winter MW'!I10*1000)</f>
        <v>8.6836797865008215</v>
      </c>
      <c r="J46" s="59">
        <f>'Scen 1 MWh Savings'!J10/('Scen 1 Summer &amp; Winter MW'!J10*1000)</f>
        <v>8.688972294235894</v>
      </c>
      <c r="K46" s="59">
        <f>'Scen 1 MWh Savings'!K10/('Scen 1 Summer &amp; Winter MW'!K10*1000)</f>
        <v>8.6880636310572665</v>
      </c>
      <c r="L46" s="59">
        <f>'Scen 1 MWh Savings'!L10/('Scen 1 Summer &amp; Winter MW'!L10*1000)</f>
        <v>8.6832474327282796</v>
      </c>
      <c r="M46" s="59">
        <f>'Scen 1 MWh Savings'!M10/('Scen 1 Summer &amp; Winter MW'!M10*1000)</f>
        <v>8.6846801852160329</v>
      </c>
      <c r="N46" s="59">
        <f>'Scen 1 MWh Savings'!N10/('Scen 1 Summer &amp; Winter MW'!N10*1000)</f>
        <v>8.6847892526412878</v>
      </c>
      <c r="O46" s="59">
        <f>'Scen 1 MWh Savings'!O10/('Scen 1 Summer &amp; Winter MW'!O10*1000)</f>
        <v>8.6861973684111042</v>
      </c>
      <c r="P46" s="59">
        <f>'Scen 1 MWh Savings'!P10/('Scen 1 Summer &amp; Winter MW'!P10*1000)</f>
        <v>8.685575835045924</v>
      </c>
      <c r="Q46" s="59">
        <f>'Scen 1 MWh Savings'!Q10/('Scen 1 Summer &amp; Winter MW'!Q10*1000)</f>
        <v>8.6855090479776624</v>
      </c>
      <c r="R46" s="59">
        <f>'Scen 1 MWh Savings'!R10/('Scen 1 Summer &amp; Winter MW'!R10*1000)</f>
        <v>8.6853764195633243</v>
      </c>
      <c r="S46" s="59">
        <f>'Scen 1 MWh Savings'!S10/('Scen 1 Summer &amp; Winter MW'!S10*1000)</f>
        <v>8.6847703936633156</v>
      </c>
      <c r="T46" s="59">
        <f>'Scen 1 MWh Savings'!T10/('Scen 1 Summer &amp; Winter MW'!T10*1000)</f>
        <v>8.6847071661097832</v>
      </c>
      <c r="U46" s="59">
        <f>'Scen 1 MWh Savings'!U10/('Scen 1 Summer &amp; Winter MW'!U10*1000)</f>
        <v>8.6846297608647998</v>
      </c>
      <c r="V46" s="59">
        <f>'Scen 1 MWh Savings'!V10/('Scen 1 Summer &amp; Winter MW'!V10*1000)</f>
        <v>8.6890300765448849</v>
      </c>
    </row>
    <row r="47" spans="1:22">
      <c r="A47" s="2" t="s">
        <v>13</v>
      </c>
      <c r="B47" s="61">
        <f>'Scen 1 MWh Savings'!B11/('Scen 1 Summer &amp; Winter MW'!B11*1000)</f>
        <v>7.3908507647436039</v>
      </c>
      <c r="C47" s="61">
        <f>'Scen 1 MWh Savings'!C11/('Scen 1 Summer &amp; Winter MW'!C11*1000)</f>
        <v>7.359478855011206</v>
      </c>
      <c r="D47" s="61">
        <f>'Scen 1 MWh Savings'!D11/('Scen 1 Summer &amp; Winter MW'!D11*1000)</f>
        <v>7.3406087935924909</v>
      </c>
      <c r="E47" s="61">
        <f>'Scen 1 MWh Savings'!E11/('Scen 1 Summer &amp; Winter MW'!E11*1000)</f>
        <v>7.2490965809382342</v>
      </c>
      <c r="F47" s="61">
        <f>'Scen 1 MWh Savings'!F11/('Scen 1 Summer &amp; Winter MW'!F11*1000)</f>
        <v>7.2813512966110538</v>
      </c>
      <c r="G47" s="61">
        <f>'Scen 1 MWh Savings'!G11/('Scen 1 Summer &amp; Winter MW'!G11*1000)</f>
        <v>7.251851882528312</v>
      </c>
      <c r="H47" s="61">
        <f>'Scen 1 MWh Savings'!H11/('Scen 1 Summer &amp; Winter MW'!H11*1000)</f>
        <v>7.2907546076642653</v>
      </c>
      <c r="I47" s="61">
        <f>'Scen 1 MWh Savings'!I11/('Scen 1 Summer &amp; Winter MW'!I11*1000)</f>
        <v>7.2704248515120433</v>
      </c>
      <c r="J47" s="61">
        <f>'Scen 1 MWh Savings'!J11/('Scen 1 Summer &amp; Winter MW'!J11*1000)</f>
        <v>7.2387520890453692</v>
      </c>
      <c r="K47" s="61">
        <f>'Scen 1 MWh Savings'!K11/('Scen 1 Summer &amp; Winter MW'!K11*1000)</f>
        <v>7.2467493111563046</v>
      </c>
      <c r="L47" s="61">
        <f>'Scen 1 MWh Savings'!L11/('Scen 1 Summer &amp; Winter MW'!L11*1000)</f>
        <v>7.2915566982228706</v>
      </c>
      <c r="M47" s="61">
        <f>'Scen 1 MWh Savings'!M11/('Scen 1 Summer &amp; Winter MW'!M11*1000)</f>
        <v>7.3423606240789914</v>
      </c>
      <c r="N47" s="61">
        <f>'Scen 1 MWh Savings'!N11/('Scen 1 Summer &amp; Winter MW'!N11*1000)</f>
        <v>7.3818678210268507</v>
      </c>
      <c r="O47" s="61">
        <f>'Scen 1 MWh Savings'!O11/('Scen 1 Summer &amp; Winter MW'!O11*1000)</f>
        <v>7.3911512261368344</v>
      </c>
      <c r="P47" s="61">
        <f>'Scen 1 MWh Savings'!P11/('Scen 1 Summer &amp; Winter MW'!P11*1000)</f>
        <v>7.4377197415628773</v>
      </c>
      <c r="Q47" s="61">
        <f>'Scen 1 MWh Savings'!Q11/('Scen 1 Summer &amp; Winter MW'!Q11*1000)</f>
        <v>7.4741310925276183</v>
      </c>
      <c r="R47" s="61">
        <f>'Scen 1 MWh Savings'!R11/('Scen 1 Summer &amp; Winter MW'!R11*1000)</f>
        <v>7.5305968749946022</v>
      </c>
      <c r="S47" s="61">
        <f>'Scen 1 MWh Savings'!S11/('Scen 1 Summer &amp; Winter MW'!S11*1000)</f>
        <v>7.5794870441368536</v>
      </c>
      <c r="T47" s="61">
        <f>'Scen 1 MWh Savings'!T11/('Scen 1 Summer &amp; Winter MW'!T11*1000)</f>
        <v>7.6098723105875505</v>
      </c>
      <c r="U47" s="61">
        <f>'Scen 1 MWh Savings'!U11/('Scen 1 Summer &amp; Winter MW'!U11*1000)</f>
        <v>7.6439673107586588</v>
      </c>
      <c r="V47" s="61">
        <f>'Scen 1 MWh Savings'!V11/('Scen 1 Summer &amp; Winter MW'!V11*1000)</f>
        <v>7.3979708906259196</v>
      </c>
    </row>
    <row r="48" spans="1:22">
      <c r="A48" s="8" t="s">
        <v>15</v>
      </c>
      <c r="B48" s="60">
        <f>'Scen 1 MWh Savings'!B12/('Scen 1 Summer &amp; Winter MW'!B12*1000)</f>
        <v>9.7626544036360361</v>
      </c>
      <c r="C48" s="60">
        <f>'Scen 1 MWh Savings'!C12/('Scen 1 Summer &amp; Winter MW'!C12*1000)</f>
        <v>9.8812700934806816</v>
      </c>
      <c r="D48" s="60">
        <f>'Scen 1 MWh Savings'!D12/('Scen 1 Summer &amp; Winter MW'!D12*1000)</f>
        <v>10.115619731358992</v>
      </c>
      <c r="E48" s="60">
        <f>'Scen 1 MWh Savings'!E12/('Scen 1 Summer &amp; Winter MW'!E12*1000)</f>
        <v>8.5905900167768579</v>
      </c>
      <c r="F48" s="60">
        <f>'Scen 1 MWh Savings'!F12/('Scen 1 Summer &amp; Winter MW'!F12*1000)</f>
        <v>8.4592668305496819</v>
      </c>
      <c r="G48" s="60">
        <f>'Scen 1 MWh Savings'!G12/('Scen 1 Summer &amp; Winter MW'!G12*1000)</f>
        <v>9.0794545672697655</v>
      </c>
      <c r="H48" s="60">
        <f>'Scen 1 MWh Savings'!H12/('Scen 1 Summer &amp; Winter MW'!H12*1000)</f>
        <v>8.3828245707515663</v>
      </c>
      <c r="I48" s="60">
        <f>'Scen 1 MWh Savings'!I12/('Scen 1 Summer &amp; Winter MW'!I12*1000)</f>
        <v>8.3300712820492535</v>
      </c>
      <c r="J48" s="60">
        <f>'Scen 1 MWh Savings'!J12/('Scen 1 Summer &amp; Winter MW'!J12*1000)</f>
        <v>8.3231209731017284</v>
      </c>
      <c r="K48" s="60">
        <f>'Scen 1 MWh Savings'!K12/('Scen 1 Summer &amp; Winter MW'!K12*1000)</f>
        <v>8.4775308262625622</v>
      </c>
      <c r="L48" s="60">
        <f>'Scen 1 MWh Savings'!L12/('Scen 1 Summer &amp; Winter MW'!L12*1000)</f>
        <v>8.4985804622145267</v>
      </c>
      <c r="M48" s="60">
        <f>'Scen 1 MWh Savings'!M12/('Scen 1 Summer &amp; Winter MW'!M12*1000)</f>
        <v>8.529600810442588</v>
      </c>
      <c r="N48" s="60">
        <f>'Scen 1 MWh Savings'!N12/('Scen 1 Summer &amp; Winter MW'!N12*1000)</f>
        <v>8.4668100445411536</v>
      </c>
      <c r="O48" s="60">
        <f>'Scen 1 MWh Savings'!O12/('Scen 1 Summer &amp; Winter MW'!O12*1000)</f>
        <v>8.3047137462876268</v>
      </c>
      <c r="P48" s="60">
        <f>'Scen 1 MWh Savings'!P12/('Scen 1 Summer &amp; Winter MW'!P12*1000)</f>
        <v>8.2019179880049258</v>
      </c>
      <c r="Q48" s="60">
        <f>'Scen 1 MWh Savings'!Q12/('Scen 1 Summer &amp; Winter MW'!Q12*1000)</f>
        <v>8.191248693895897</v>
      </c>
      <c r="R48" s="60">
        <f>'Scen 1 MWh Savings'!R12/('Scen 1 Summer &amp; Winter MW'!R12*1000)</f>
        <v>8.1591456720182904</v>
      </c>
      <c r="S48" s="60">
        <f>'Scen 1 MWh Savings'!S12/('Scen 1 Summer &amp; Winter MW'!S12*1000)</f>
        <v>8.1322543439737149</v>
      </c>
      <c r="T48" s="60">
        <f>'Scen 1 MWh Savings'!T12/('Scen 1 Summer &amp; Winter MW'!T12*1000)</f>
        <v>8.0191076395012164</v>
      </c>
      <c r="U48" s="60">
        <f>'Scen 1 MWh Savings'!U12/('Scen 1 Summer &amp; Winter MW'!U12*1000)</f>
        <v>8.0339026677545053</v>
      </c>
      <c r="V48" s="60">
        <f>'Scen 1 MWh Savings'!V12/('Scen 1 Summer &amp; Winter MW'!V12*1000)</f>
        <v>8.5858579086601452</v>
      </c>
    </row>
    <row r="50" spans="1:22">
      <c r="A50" s="50" t="s">
        <v>3</v>
      </c>
    </row>
    <row r="51" spans="1:22">
      <c r="A51" s="2" t="s">
        <v>7</v>
      </c>
      <c r="B51" s="59">
        <f>'Scen 1 MWh Savings'!B15/('Scen 1 Summer &amp; Winter MW'!B15*1000)</f>
        <v>4.9080056108687717</v>
      </c>
      <c r="C51" s="59">
        <f>'Scen 1 MWh Savings'!C15/('Scen 1 Summer &amp; Winter MW'!C15*1000)</f>
        <v>5.080228220115897</v>
      </c>
      <c r="D51" s="59">
        <f>'Scen 1 MWh Savings'!D15/('Scen 1 Summer &amp; Winter MW'!D15*1000)</f>
        <v>5.2485370084326606</v>
      </c>
      <c r="E51" s="59">
        <f>'Scen 1 MWh Savings'!E15/('Scen 1 Summer &amp; Winter MW'!E15*1000)</f>
        <v>5.2582948484554315</v>
      </c>
      <c r="F51" s="59">
        <f>'Scen 1 MWh Savings'!F15/('Scen 1 Summer &amp; Winter MW'!F15*1000)</f>
        <v>5.3698834295684765</v>
      </c>
      <c r="G51" s="59">
        <f>'Scen 1 MWh Savings'!G15/('Scen 1 Summer &amp; Winter MW'!G15*1000)</f>
        <v>5.4450693010304621</v>
      </c>
      <c r="H51" s="59">
        <f>'Scen 1 MWh Savings'!H15/('Scen 1 Summer &amp; Winter MW'!H15*1000)</f>
        <v>5.4450692728168608</v>
      </c>
      <c r="I51" s="59">
        <f>'Scen 1 MWh Savings'!I15/('Scen 1 Summer &amp; Winter MW'!I15*1000)</f>
        <v>5.4450692962624903</v>
      </c>
      <c r="J51" s="59">
        <f>'Scen 1 MWh Savings'!J15/('Scen 1 Summer &amp; Winter MW'!J15*1000)</f>
        <v>5.4450693042191007</v>
      </c>
      <c r="K51" s="59">
        <f>'Scen 1 MWh Savings'!K15/('Scen 1 Summer &amp; Winter MW'!K15*1000)</f>
        <v>5.4450692833077197</v>
      </c>
      <c r="L51" s="59">
        <f>'Scen 1 MWh Savings'!L15/('Scen 1 Summer &amp; Winter MW'!L15*1000)</f>
        <v>5.4450692820934457</v>
      </c>
      <c r="M51" s="59">
        <f>'Scen 1 MWh Savings'!M15/('Scen 1 Summer &amp; Winter MW'!M15*1000)</f>
        <v>5.4450692865510328</v>
      </c>
      <c r="N51" s="59">
        <f>'Scen 1 MWh Savings'!N15/('Scen 1 Summer &amp; Winter MW'!N15*1000)</f>
        <v>5.4450692904938007</v>
      </c>
      <c r="O51" s="59">
        <f>'Scen 1 MWh Savings'!O15/('Scen 1 Summer &amp; Winter MW'!O15*1000)</f>
        <v>5.4450692703787364</v>
      </c>
      <c r="P51" s="59">
        <f>'Scen 1 MWh Savings'!P15/('Scen 1 Summer &amp; Winter MW'!P15*1000)</f>
        <v>5.4450692941164904</v>
      </c>
      <c r="Q51" s="59">
        <f>'Scen 1 MWh Savings'!Q15/('Scen 1 Summer &amp; Winter MW'!Q15*1000)</f>
        <v>5.4450692820277231</v>
      </c>
      <c r="R51" s="59">
        <f>'Scen 1 MWh Savings'!R15/('Scen 1 Summer &amp; Winter MW'!R15*1000)</f>
        <v>5.4450692786095427</v>
      </c>
      <c r="S51" s="59">
        <f>'Scen 1 MWh Savings'!S15/('Scen 1 Summer &amp; Winter MW'!S15*1000)</f>
        <v>5.4450692828207412</v>
      </c>
      <c r="T51" s="59">
        <f>'Scen 1 MWh Savings'!T15/('Scen 1 Summer &amp; Winter MW'!T15*1000)</f>
        <v>5.4450692789928219</v>
      </c>
      <c r="U51" s="59">
        <f>'Scen 1 MWh Savings'!U15/('Scen 1 Summer &amp; Winter MW'!U15*1000)</f>
        <v>5.4450692934727023</v>
      </c>
      <c r="V51" s="59">
        <f>'Scen 1 MWh Savings'!V15/('Scen 1 Summer &amp; Winter MW'!V15*1000)</f>
        <v>5.3468173612827732</v>
      </c>
    </row>
    <row r="52" spans="1:22">
      <c r="A52" s="2" t="s">
        <v>6</v>
      </c>
      <c r="B52" s="59">
        <f>'Scen 1 MWh Savings'!B16/('Scen 1 Summer &amp; Winter MW'!B16*1000)</f>
        <v>5.0005685698746971</v>
      </c>
      <c r="C52" s="59">
        <f>'Scen 1 MWh Savings'!C16/('Scen 1 Summer &amp; Winter MW'!C16*1000)</f>
        <v>5.0612652827793472</v>
      </c>
      <c r="D52" s="59">
        <f>'Scen 1 MWh Savings'!D16/('Scen 1 Summer &amp; Winter MW'!D16*1000)</f>
        <v>5.1451918563082328</v>
      </c>
      <c r="E52" s="59">
        <f>'Scen 1 MWh Savings'!E16/('Scen 1 Summer &amp; Winter MW'!E16*1000)</f>
        <v>5.0245276731857054</v>
      </c>
      <c r="F52" s="59">
        <f>'Scen 1 MWh Savings'!F16/('Scen 1 Summer &amp; Winter MW'!F16*1000)</f>
        <v>5.0426039972809367</v>
      </c>
      <c r="G52" s="59">
        <f>'Scen 1 MWh Savings'!G16/('Scen 1 Summer &amp; Winter MW'!G16*1000)</f>
        <v>5.0642983039801077</v>
      </c>
      <c r="H52" s="59">
        <f>'Scen 1 MWh Savings'!H16/('Scen 1 Summer &amp; Winter MW'!H16*1000)</f>
        <v>5.0642982842538515</v>
      </c>
      <c r="I52" s="59">
        <f>'Scen 1 MWh Savings'!I16/('Scen 1 Summer &amp; Winter MW'!I16*1000)</f>
        <v>5.064298297063015</v>
      </c>
      <c r="J52" s="59">
        <f>'Scen 1 MWh Savings'!J16/('Scen 1 Summer &amp; Winter MW'!J16*1000)</f>
        <v>5.0642982869993558</v>
      </c>
      <c r="K52" s="59">
        <f>'Scen 1 MWh Savings'!K16/('Scen 1 Summer &amp; Winter MW'!K16*1000)</f>
        <v>5.0642983018360344</v>
      </c>
      <c r="L52" s="59">
        <f>'Scen 1 MWh Savings'!L16/('Scen 1 Summer &amp; Winter MW'!L16*1000)</f>
        <v>5.0642982851247345</v>
      </c>
      <c r="M52" s="59">
        <f>'Scen 1 MWh Savings'!M16/('Scen 1 Summer &amp; Winter MW'!M16*1000)</f>
        <v>5.0642983042002543</v>
      </c>
      <c r="N52" s="59">
        <f>'Scen 1 MWh Savings'!N16/('Scen 1 Summer &amp; Winter MW'!N16*1000)</f>
        <v>5.0642982987844736</v>
      </c>
      <c r="O52" s="59">
        <f>'Scen 1 MWh Savings'!O16/('Scen 1 Summer &amp; Winter MW'!O16*1000)</f>
        <v>5.0642982973139095</v>
      </c>
      <c r="P52" s="59">
        <f>'Scen 1 MWh Savings'!P16/('Scen 1 Summer &amp; Winter MW'!P16*1000)</f>
        <v>5.0642982835758774</v>
      </c>
      <c r="Q52" s="59">
        <f>'Scen 1 MWh Savings'!Q16/('Scen 1 Summer &amp; Winter MW'!Q16*1000)</f>
        <v>5.0642982839146926</v>
      </c>
      <c r="R52" s="59">
        <f>'Scen 1 MWh Savings'!R16/('Scen 1 Summer &amp; Winter MW'!R16*1000)</f>
        <v>5.0642983199983673</v>
      </c>
      <c r="S52" s="59">
        <f>'Scen 1 MWh Savings'!S16/('Scen 1 Summer &amp; Winter MW'!S16*1000)</f>
        <v>5.0642982908231371</v>
      </c>
      <c r="T52" s="59">
        <f>'Scen 1 MWh Savings'!T16/('Scen 1 Summer &amp; Winter MW'!T16*1000)</f>
        <v>5.0642983024244312</v>
      </c>
      <c r="U52" s="59">
        <f>'Scen 1 MWh Savings'!U16/('Scen 1 Summer &amp; Winter MW'!U16*1000)</f>
        <v>5.0642983132752439</v>
      </c>
      <c r="V52" s="59">
        <f>'Scen 1 MWh Savings'!V16/('Scen 1 Summer &amp; Winter MW'!V16*1000)</f>
        <v>5.0602843362989782</v>
      </c>
    </row>
    <row r="53" spans="1:22">
      <c r="A53" s="2" t="s">
        <v>5</v>
      </c>
      <c r="B53" s="61">
        <f>'Scen 1 MWh Savings'!B17/('Scen 1 Summer &amp; Winter MW'!B17*1000)</f>
        <v>5.5453820508670306</v>
      </c>
      <c r="C53" s="61">
        <f>'Scen 1 MWh Savings'!C17/('Scen 1 Summer &amp; Winter MW'!C17*1000)</f>
        <v>5.2433655309466127</v>
      </c>
      <c r="D53" s="61">
        <f>'Scen 1 MWh Savings'!D17/('Scen 1 Summer &amp; Winter MW'!D17*1000)</f>
        <v>5.196436381808307</v>
      </c>
      <c r="E53" s="61">
        <f>'Scen 1 MWh Savings'!E17/('Scen 1 Summer &amp; Winter MW'!E17*1000)</f>
        <v>5.4089644628838833</v>
      </c>
      <c r="F53" s="61">
        <f>'Scen 1 MWh Savings'!F17/('Scen 1 Summer &amp; Winter MW'!F17*1000)</f>
        <v>5.2419868388735553</v>
      </c>
      <c r="G53" s="61">
        <f>'Scen 1 MWh Savings'!G17/('Scen 1 Summer &amp; Winter MW'!G17*1000)</f>
        <v>5.2931185914893515</v>
      </c>
      <c r="H53" s="61">
        <f>'Scen 1 MWh Savings'!H17/('Scen 1 Summer &amp; Winter MW'!H17*1000)</f>
        <v>5.2938771119664798</v>
      </c>
      <c r="I53" s="61">
        <f>'Scen 1 MWh Savings'!I17/('Scen 1 Summer &amp; Winter MW'!I17*1000)</f>
        <v>5.3010593983532157</v>
      </c>
      <c r="J53" s="61">
        <f>'Scen 1 MWh Savings'!J17/('Scen 1 Summer &amp; Winter MW'!J17*1000)</f>
        <v>5.3227196362716285</v>
      </c>
      <c r="K53" s="61">
        <f>'Scen 1 MWh Savings'!K17/('Scen 1 Summer &amp; Winter MW'!K17*1000)</f>
        <v>5.3270200241693422</v>
      </c>
      <c r="L53" s="61">
        <f>'Scen 1 MWh Savings'!L17/('Scen 1 Summer &amp; Winter MW'!L17*1000)</f>
        <v>5.3397639813919415</v>
      </c>
      <c r="M53" s="61">
        <f>'Scen 1 MWh Savings'!M17/('Scen 1 Summer &amp; Winter MW'!M17*1000)</f>
        <v>5.3532657095228968</v>
      </c>
      <c r="N53" s="61">
        <f>'Scen 1 MWh Savings'!N17/('Scen 1 Summer &amp; Winter MW'!N17*1000)</f>
        <v>5.3675000145726539</v>
      </c>
      <c r="O53" s="61">
        <f>'Scen 1 MWh Savings'!O17/('Scen 1 Summer &amp; Winter MW'!O17*1000)</f>
        <v>5.3981482007758013</v>
      </c>
      <c r="P53" s="61">
        <f>'Scen 1 MWh Savings'!P17/('Scen 1 Summer &amp; Winter MW'!P17*1000)</f>
        <v>5.4043932034383468</v>
      </c>
      <c r="Q53" s="61">
        <f>'Scen 1 MWh Savings'!Q17/('Scen 1 Summer &amp; Winter MW'!Q17*1000)</f>
        <v>5.4198054734427092</v>
      </c>
      <c r="R53" s="61">
        <f>'Scen 1 MWh Savings'!R17/('Scen 1 Summer &amp; Winter MW'!R17*1000)</f>
        <v>5.4357185377302057</v>
      </c>
      <c r="S53" s="61">
        <f>'Scen 1 MWh Savings'!S17/('Scen 1 Summer &amp; Winter MW'!S17*1000)</f>
        <v>5.4522615964523329</v>
      </c>
      <c r="T53" s="61">
        <f>'Scen 1 MWh Savings'!T17/('Scen 1 Summer &amp; Winter MW'!T17*1000)</f>
        <v>5.4810512588857545</v>
      </c>
      <c r="U53" s="61">
        <f>'Scen 1 MWh Savings'!U17/('Scen 1 Summer &amp; Winter MW'!U17*1000)</f>
        <v>5.4910001085912956</v>
      </c>
      <c r="V53" s="61">
        <f>'Scen 1 MWh Savings'!V17/('Scen 1 Summer &amp; Winter MW'!V17*1000)</f>
        <v>5.3610267506414617</v>
      </c>
    </row>
    <row r="54" spans="1:22">
      <c r="A54" s="8" t="s">
        <v>16</v>
      </c>
      <c r="B54" s="60">
        <f>'Scen 1 MWh Savings'!B18/('Scen 1 Summer &amp; Winter MW'!B18*1000)</f>
        <v>5.2319649598418119</v>
      </c>
      <c r="C54" s="60">
        <f>'Scen 1 MWh Savings'!C18/('Scen 1 Summer &amp; Winter MW'!C18*1000)</f>
        <v>5.156692192378789</v>
      </c>
      <c r="D54" s="60">
        <f>'Scen 1 MWh Savings'!D18/('Scen 1 Summer &amp; Winter MW'!D18*1000)</f>
        <v>5.1897910504409843</v>
      </c>
      <c r="E54" s="60">
        <f>'Scen 1 MWh Savings'!E18/('Scen 1 Summer &amp; Winter MW'!E18*1000)</f>
        <v>5.2735853834238666</v>
      </c>
      <c r="F54" s="60">
        <f>'Scen 1 MWh Savings'!F18/('Scen 1 Summer &amp; Winter MW'!F18*1000)</f>
        <v>5.2048266177654083</v>
      </c>
      <c r="G54" s="60">
        <f>'Scen 1 MWh Savings'!G18/('Scen 1 Summer &amp; Winter MW'!G18*1000)</f>
        <v>5.2512685035492837</v>
      </c>
      <c r="H54" s="60">
        <f>'Scen 1 MWh Savings'!H18/('Scen 1 Summer &amp; Winter MW'!H18*1000)</f>
        <v>5.2523555407175859</v>
      </c>
      <c r="I54" s="60">
        <f>'Scen 1 MWh Savings'!I18/('Scen 1 Summer &amp; Winter MW'!I18*1000)</f>
        <v>5.2593949838231007</v>
      </c>
      <c r="J54" s="60">
        <f>'Scen 1 MWh Savings'!J18/('Scen 1 Summer &amp; Winter MW'!J18*1000)</f>
        <v>5.2725346165589277</v>
      </c>
      <c r="K54" s="60">
        <f>'Scen 1 MWh Savings'!K18/('Scen 1 Summer &amp; Winter MW'!K18*1000)</f>
        <v>5.2757091887960978</v>
      </c>
      <c r="L54" s="60">
        <f>'Scen 1 MWh Savings'!L18/('Scen 1 Summer &amp; Winter MW'!L18*1000)</f>
        <v>5.2836250387388279</v>
      </c>
      <c r="M54" s="60">
        <f>'Scen 1 MWh Savings'!M18/('Scen 1 Summer &amp; Winter MW'!M18*1000)</f>
        <v>5.2920461550623967</v>
      </c>
      <c r="N54" s="60">
        <f>'Scen 1 MWh Savings'!N18/('Scen 1 Summer &amp; Winter MW'!N18*1000)</f>
        <v>5.3010068976817966</v>
      </c>
      <c r="O54" s="60">
        <f>'Scen 1 MWh Savings'!O18/('Scen 1 Summer &amp; Winter MW'!O18*1000)</f>
        <v>5.3221007499260571</v>
      </c>
      <c r="P54" s="60">
        <f>'Scen 1 MWh Savings'!P18/('Scen 1 Summer &amp; Winter MW'!P18*1000)</f>
        <v>5.3268208760604336</v>
      </c>
      <c r="Q54" s="60">
        <f>'Scen 1 MWh Savings'!Q18/('Scen 1 Summer &amp; Winter MW'!Q18*1000)</f>
        <v>5.3365253942554558</v>
      </c>
      <c r="R54" s="60">
        <f>'Scen 1 MWh Savings'!R18/('Scen 1 Summer &amp; Winter MW'!R18*1000)</f>
        <v>5.3465471679190326</v>
      </c>
      <c r="S54" s="60">
        <f>'Scen 1 MWh Savings'!S18/('Scen 1 Summer &amp; Winter MW'!S18*1000)</f>
        <v>5.3570176546515569</v>
      </c>
      <c r="T54" s="60">
        <f>'Scen 1 MWh Savings'!T18/('Scen 1 Summer &amp; Winter MW'!T18*1000)</f>
        <v>5.3770547001398636</v>
      </c>
      <c r="U54" s="60">
        <f>'Scen 1 MWh Savings'!U18/('Scen 1 Summer &amp; Winter MW'!U18*1000)</f>
        <v>5.3840960591736016</v>
      </c>
      <c r="V54" s="60">
        <f>'Scen 1 MWh Savings'!V18/('Scen 1 Summer &amp; Winter MW'!V18*1000)</f>
        <v>5.2776628570562822</v>
      </c>
    </row>
    <row r="55" spans="1:22">
      <c r="A55" s="8"/>
    </row>
    <row r="56" spans="1:22">
      <c r="A56" s="3" t="s">
        <v>4</v>
      </c>
      <c r="B56" s="60">
        <f>'Scen 1 MWh Savings'!B20/('Scen 1 Summer &amp; Winter MW'!B20*1000)</f>
        <v>6.3749337179313113</v>
      </c>
      <c r="C56" s="60">
        <f>'Scen 1 MWh Savings'!C20/('Scen 1 Summer &amp; Winter MW'!C20*1000)</f>
        <v>6.452221707750522</v>
      </c>
      <c r="D56" s="60">
        <f>'Scen 1 MWh Savings'!D20/('Scen 1 Summer &amp; Winter MW'!D20*1000)</f>
        <v>6.6129616532111006</v>
      </c>
      <c r="E56" s="60">
        <f>'Scen 1 MWh Savings'!E20/('Scen 1 Summer &amp; Winter MW'!E20*1000)</f>
        <v>6.384145357084182</v>
      </c>
      <c r="F56" s="60">
        <f>'Scen 1 MWh Savings'!F20/('Scen 1 Summer &amp; Winter MW'!F20*1000)</f>
        <v>6.341973960281698</v>
      </c>
      <c r="G56" s="60">
        <f>'Scen 1 MWh Savings'!G20/('Scen 1 Summer &amp; Winter MW'!G20*1000)</f>
        <v>6.3578137713549019</v>
      </c>
      <c r="H56" s="60">
        <f>'Scen 1 MWh Savings'!H20/('Scen 1 Summer &amp; Winter MW'!H20*1000)</f>
        <v>6.1300369341440994</v>
      </c>
      <c r="I56" s="60">
        <f>'Scen 1 MWh Savings'!I20/('Scen 1 Summer &amp; Winter MW'!I20*1000)</f>
        <v>6.1243686653067408</v>
      </c>
      <c r="J56" s="60">
        <f>'Scen 1 MWh Savings'!J20/('Scen 1 Summer &amp; Winter MW'!J20*1000)</f>
        <v>6.2044762493252845</v>
      </c>
      <c r="K56" s="60">
        <f>'Scen 1 MWh Savings'!K20/('Scen 1 Summer &amp; Winter MW'!K20*1000)</f>
        <v>6.2424479536052528</v>
      </c>
      <c r="L56" s="60">
        <f>'Scen 1 MWh Savings'!L20/('Scen 1 Summer &amp; Winter MW'!L20*1000)</f>
        <v>6.2728465750988125</v>
      </c>
      <c r="M56" s="60">
        <f>'Scen 1 MWh Savings'!M20/('Scen 1 Summer &amp; Winter MW'!M20*1000)</f>
        <v>6.3043566858718121</v>
      </c>
      <c r="N56" s="60">
        <f>'Scen 1 MWh Savings'!N20/('Scen 1 Summer &amp; Winter MW'!N20*1000)</f>
        <v>6.309576529222106</v>
      </c>
      <c r="O56" s="60">
        <f>'Scen 1 MWh Savings'!O20/('Scen 1 Summer &amp; Winter MW'!O20*1000)</f>
        <v>6.3584548854520229</v>
      </c>
      <c r="P56" s="60">
        <f>'Scen 1 MWh Savings'!P20/('Scen 1 Summer &amp; Winter MW'!P20*1000)</f>
        <v>6.3264299272595457</v>
      </c>
      <c r="Q56" s="60">
        <f>'Scen 1 MWh Savings'!Q20/('Scen 1 Summer &amp; Winter MW'!Q20*1000)</f>
        <v>6.3420974683489471</v>
      </c>
      <c r="R56" s="60">
        <f>'Scen 1 MWh Savings'!R20/('Scen 1 Summer &amp; Winter MW'!R20*1000)</f>
        <v>6.3535781767591484</v>
      </c>
      <c r="S56" s="60">
        <f>'Scen 1 MWh Savings'!S20/('Scen 1 Summer &amp; Winter MW'!S20*1000)</f>
        <v>6.3668218407141417</v>
      </c>
      <c r="T56" s="60">
        <f>'Scen 1 MWh Savings'!T20/('Scen 1 Summer &amp; Winter MW'!T20*1000)</f>
        <v>6.3886927822401036</v>
      </c>
      <c r="U56" s="60">
        <f>'Scen 1 MWh Savings'!U20/('Scen 1 Summer &amp; Winter MW'!U20*1000)</f>
        <v>6.3996393911349507</v>
      </c>
      <c r="V56" s="60">
        <f>'Scen 1 MWh Savings'!V20/('Scen 1 Summer &amp; Winter MW'!V20*1000)</f>
        <v>6.3345751782738287</v>
      </c>
    </row>
    <row r="57" spans="1:22">
      <c r="A57" s="1"/>
    </row>
    <row r="58" spans="1:22">
      <c r="A58" s="62" t="s">
        <v>30</v>
      </c>
      <c r="B58" s="6">
        <v>2015</v>
      </c>
      <c r="C58" s="6">
        <f>B58+1</f>
        <v>2016</v>
      </c>
      <c r="D58" s="6">
        <f t="shared" ref="D58" si="37">C58+1</f>
        <v>2017</v>
      </c>
      <c r="E58" s="6">
        <f t="shared" ref="E58" si="38">D58+1</f>
        <v>2018</v>
      </c>
      <c r="F58" s="6">
        <f t="shared" ref="F58" si="39">E58+1</f>
        <v>2019</v>
      </c>
      <c r="G58" s="6">
        <f t="shared" ref="G58" si="40">F58+1</f>
        <v>2020</v>
      </c>
      <c r="H58" s="6">
        <f t="shared" ref="H58" si="41">G58+1</f>
        <v>2021</v>
      </c>
      <c r="I58" s="6">
        <f t="shared" ref="I58" si="42">H58+1</f>
        <v>2022</v>
      </c>
      <c r="J58" s="6">
        <f t="shared" ref="J58" si="43">I58+1</f>
        <v>2023</v>
      </c>
      <c r="K58" s="6">
        <f t="shared" ref="K58" si="44">J58+1</f>
        <v>2024</v>
      </c>
      <c r="L58" s="6">
        <f t="shared" ref="L58" si="45">K58+1</f>
        <v>2025</v>
      </c>
      <c r="M58" s="6">
        <f t="shared" ref="M58" si="46">L58+1</f>
        <v>2026</v>
      </c>
      <c r="N58" s="6">
        <f t="shared" ref="N58" si="47">M58+1</f>
        <v>2027</v>
      </c>
      <c r="O58" s="6">
        <f t="shared" ref="O58" si="48">N58+1</f>
        <v>2028</v>
      </c>
      <c r="P58" s="6">
        <f t="shared" ref="P58" si="49">O58+1</f>
        <v>2029</v>
      </c>
      <c r="Q58" s="6">
        <f t="shared" ref="Q58" si="50">P58+1</f>
        <v>2030</v>
      </c>
      <c r="R58" s="6">
        <f t="shared" ref="R58" si="51">Q58+1</f>
        <v>2031</v>
      </c>
      <c r="S58" s="6">
        <f t="shared" ref="S58" si="52">R58+1</f>
        <v>2032</v>
      </c>
      <c r="T58" s="6">
        <f t="shared" ref="T58" si="53">S58+1</f>
        <v>2033</v>
      </c>
      <c r="U58" s="6">
        <f t="shared" ref="U58" si="54">T58+1</f>
        <v>2034</v>
      </c>
      <c r="V58" s="6" t="s">
        <v>14</v>
      </c>
    </row>
    <row r="59" spans="1:22">
      <c r="A59" s="50" t="s">
        <v>2</v>
      </c>
    </row>
    <row r="60" spans="1:22">
      <c r="A60" s="9" t="s">
        <v>8</v>
      </c>
      <c r="B60" s="59">
        <f>'Scen 1 MWh Savings'!B6/('Scen 1 Summer &amp; Winter MW'!B24*1000)</f>
        <v>4.0125842556617783</v>
      </c>
      <c r="C60" s="59">
        <f>'Scen 1 MWh Savings'!C6/('Scen 1 Summer &amp; Winter MW'!C24*1000)</f>
        <v>3.8643461329838855</v>
      </c>
      <c r="D60" s="59">
        <f>'Scen 1 MWh Savings'!D6/('Scen 1 Summer &amp; Winter MW'!D24*1000)</f>
        <v>3.7251178173037114</v>
      </c>
      <c r="E60" s="59">
        <f>'Scen 1 MWh Savings'!E6/('Scen 1 Summer &amp; Winter MW'!E24*1000)</f>
        <v>3.8756098956945637</v>
      </c>
      <c r="F60" s="59">
        <f>'Scen 1 MWh Savings'!F6/('Scen 1 Summer &amp; Winter MW'!F24*1000)</f>
        <v>4.0310870303392656</v>
      </c>
      <c r="G60" s="59">
        <f>'Scen 1 MWh Savings'!G6/('Scen 1 Summer &amp; Winter MW'!G24*1000)</f>
        <v>4.4230336662979743</v>
      </c>
      <c r="H60" s="59">
        <f>'Scen 1 MWh Savings'!H6/('Scen 1 Summer &amp; Winter MW'!H24*1000)</f>
        <v>4.3976789725011312</v>
      </c>
      <c r="I60" s="59">
        <f>'Scen 1 MWh Savings'!I6/('Scen 1 Summer &amp; Winter MW'!I24*1000)</f>
        <v>4.3721995135298046</v>
      </c>
      <c r="J60" s="59">
        <f>'Scen 1 MWh Savings'!J6/('Scen 1 Summer &amp; Winter MW'!J24*1000)</f>
        <v>4.3303184359810123</v>
      </c>
      <c r="K60" s="59">
        <f>'Scen 1 MWh Savings'!K6/('Scen 1 Summer &amp; Winter MW'!K24*1000)</f>
        <v>4.3120873011839489</v>
      </c>
      <c r="L60" s="59">
        <f>'Scen 1 MWh Savings'!L6/('Scen 1 Summer &amp; Winter MW'!L24*1000)</f>
        <v>4.3113515976963521</v>
      </c>
      <c r="M60" s="59">
        <f>'Scen 1 MWh Savings'!M6/('Scen 1 Summer &amp; Winter MW'!M24*1000)</f>
        <v>4.3106222249871236</v>
      </c>
      <c r="N60" s="59">
        <f>'Scen 1 MWh Savings'!N6/('Scen 1 Summer &amp; Winter MW'!N24*1000)</f>
        <v>4.3240709011852374</v>
      </c>
      <c r="O60" s="59">
        <f>'Scen 1 MWh Savings'!O6/('Scen 1 Summer &amp; Winter MW'!O24*1000)</f>
        <v>4.3112010168136647</v>
      </c>
      <c r="P60" s="59">
        <f>'Scen 1 MWh Savings'!P6/('Scen 1 Summer &amp; Winter MW'!P24*1000)</f>
        <v>4.3105601144137662</v>
      </c>
      <c r="Q60" s="59">
        <f>'Scen 1 MWh Savings'!Q6/('Scen 1 Summer &amp; Winter MW'!Q24*1000)</f>
        <v>4.3127229055419303</v>
      </c>
      <c r="R60" s="59">
        <f>'Scen 1 MWh Savings'!R6/('Scen 1 Summer &amp; Winter MW'!R24*1000)</f>
        <v>4.3121110594942396</v>
      </c>
      <c r="S60" s="59">
        <f>'Scen 1 MWh Savings'!S6/('Scen 1 Summer &amp; Winter MW'!S24*1000)</f>
        <v>4.3115044025548706</v>
      </c>
      <c r="T60" s="59">
        <f>'Scen 1 MWh Savings'!T6/('Scen 1 Summer &amp; Winter MW'!T24*1000)</f>
        <v>4.3058620158033376</v>
      </c>
      <c r="U60" s="59">
        <f>'Scen 1 MWh Savings'!U6/('Scen 1 Summer &amp; Winter MW'!U24*1000)</f>
        <v>4.3053098570304797</v>
      </c>
      <c r="V60" s="59">
        <f>'Scen 1 MWh Savings'!V6/('Scen 1 Summer &amp; Winter MW'!V24*1000)</f>
        <v>4.2269675697075026</v>
      </c>
    </row>
    <row r="61" spans="1:22">
      <c r="A61" s="10" t="s">
        <v>9</v>
      </c>
      <c r="B61" s="59">
        <f>'Scen 1 MWh Savings'!B7/('Scen 1 Summer &amp; Winter MW'!B25*1000)</f>
        <v>4.8861027384814113</v>
      </c>
      <c r="C61" s="59">
        <f>'Scen 1 MWh Savings'!C7/('Scen 1 Summer &amp; Winter MW'!C25*1000)</f>
        <v>5.0557897561992498</v>
      </c>
      <c r="D61" s="59">
        <f>'Scen 1 MWh Savings'!D7/('Scen 1 Summer &amp; Winter MW'!D25*1000)</f>
        <v>5.1866774048614834</v>
      </c>
      <c r="E61" s="59">
        <f>'Scen 1 MWh Savings'!E7/('Scen 1 Summer &amp; Winter MW'!E25*1000)</f>
        <v>4.0223224114780143</v>
      </c>
      <c r="F61" s="59">
        <f>'Scen 1 MWh Savings'!F7/('Scen 1 Summer &amp; Winter MW'!F25*1000)</f>
        <v>3.9906628188841595</v>
      </c>
      <c r="G61" s="59">
        <f>'Scen 1 MWh Savings'!G7/('Scen 1 Summer &amp; Winter MW'!G25*1000)</f>
        <v>5.049101137236061</v>
      </c>
      <c r="H61" s="59">
        <f>'Scen 1 MWh Savings'!H7/('Scen 1 Summer &amp; Winter MW'!H25*1000)</f>
        <v>4.5130022323438217</v>
      </c>
      <c r="I61" s="59">
        <f>'Scen 1 MWh Savings'!I7/('Scen 1 Summer &amp; Winter MW'!I25*1000)</f>
        <v>4.9319350828265334</v>
      </c>
      <c r="J61" s="59">
        <f>'Scen 1 MWh Savings'!J7/('Scen 1 Summer &amp; Winter MW'!J25*1000)</f>
        <v>5.8040632249148079</v>
      </c>
      <c r="K61" s="59">
        <f>'Scen 1 MWh Savings'!K7/('Scen 1 Summer &amp; Winter MW'!K25*1000)</f>
        <v>6.3232765500733557</v>
      </c>
      <c r="L61" s="59">
        <f>'Scen 1 MWh Savings'!L7/('Scen 1 Summer &amp; Winter MW'!L25*1000)</f>
        <v>6.9368680560741272</v>
      </c>
      <c r="M61" s="59">
        <f>'Scen 1 MWh Savings'!M7/('Scen 1 Summer &amp; Winter MW'!M25*1000)</f>
        <v>6.9718904878731527</v>
      </c>
      <c r="N61" s="59">
        <f>'Scen 1 MWh Savings'!N7/('Scen 1 Summer &amp; Winter MW'!N25*1000)</f>
        <v>6.9504176641935667</v>
      </c>
      <c r="O61" s="59">
        <f>'Scen 1 MWh Savings'!O7/('Scen 1 Summer &amp; Winter MW'!O25*1000)</f>
        <v>7.0152589266937122</v>
      </c>
      <c r="P61" s="59">
        <f>'Scen 1 MWh Savings'!P7/('Scen 1 Summer &amp; Winter MW'!P25*1000)</f>
        <v>6.9596482077634763</v>
      </c>
      <c r="Q61" s="59">
        <f>'Scen 1 MWh Savings'!Q7/('Scen 1 Summer &amp; Winter MW'!Q25*1000)</f>
        <v>7.1192006181523499</v>
      </c>
      <c r="R61" s="59">
        <f>'Scen 1 MWh Savings'!R7/('Scen 1 Summer &amp; Winter MW'!R25*1000)</f>
        <v>7.2949916285862022</v>
      </c>
      <c r="S61" s="59">
        <f>'Scen 1 MWh Savings'!S7/('Scen 1 Summer &amp; Winter MW'!S25*1000)</f>
        <v>7.3055428755338827</v>
      </c>
      <c r="T61" s="59">
        <f>'Scen 1 MWh Savings'!T7/('Scen 1 Summer &amp; Winter MW'!T25*1000)</f>
        <v>7.288243143499689</v>
      </c>
      <c r="U61" s="59">
        <f>'Scen 1 MWh Savings'!U7/('Scen 1 Summer &amp; Winter MW'!U25*1000)</f>
        <v>7.2803093956958147</v>
      </c>
      <c r="V61" s="59">
        <f>'Scen 1 MWh Savings'!V7/('Scen 1 Summer &amp; Winter MW'!V25*1000)</f>
        <v>5.3824405009931571</v>
      </c>
    </row>
    <row r="62" spans="1:22">
      <c r="A62" s="10" t="s">
        <v>10</v>
      </c>
      <c r="B62" s="59">
        <f>'Scen 1 MWh Savings'!B8/('Scen 1 Summer &amp; Winter MW'!B26*1000)</f>
        <v>7.1408445290715621</v>
      </c>
      <c r="C62" s="59">
        <f>'Scen 1 MWh Savings'!C8/('Scen 1 Summer &amp; Winter MW'!C26*1000)</f>
        <v>7.0370202098504873</v>
      </c>
      <c r="D62" s="59">
        <f>'Scen 1 MWh Savings'!D8/('Scen 1 Summer &amp; Winter MW'!D26*1000)</f>
        <v>7.0054116449372215</v>
      </c>
      <c r="E62" s="59">
        <f>'Scen 1 MWh Savings'!E8/('Scen 1 Summer &amp; Winter MW'!E26*1000)</f>
        <v>6.8218329719163355</v>
      </c>
      <c r="F62" s="59">
        <f>'Scen 1 MWh Savings'!F8/('Scen 1 Summer &amp; Winter MW'!F26*1000)</f>
        <v>6.862538293479215</v>
      </c>
      <c r="G62" s="59">
        <f>'Scen 1 MWh Savings'!G8/('Scen 1 Summer &amp; Winter MW'!G26*1000)</f>
        <v>6.8118596178504784</v>
      </c>
      <c r="H62" s="59">
        <f>'Scen 1 MWh Savings'!H8/('Scen 1 Summer &amp; Winter MW'!H26*1000)</f>
        <v>6.5147342195996192</v>
      </c>
      <c r="I62" s="59">
        <f>'Scen 1 MWh Savings'!I8/('Scen 1 Summer &amp; Winter MW'!I26*1000)</f>
        <v>6.3422114548993065</v>
      </c>
      <c r="J62" s="59">
        <f>'Scen 1 MWh Savings'!J8/('Scen 1 Summer &amp; Winter MW'!J26*1000)</f>
        <v>6.0764922457160866</v>
      </c>
      <c r="K62" s="59">
        <f>'Scen 1 MWh Savings'!K8/('Scen 1 Summer &amp; Winter MW'!K26*1000)</f>
        <v>6.0927586647289944</v>
      </c>
      <c r="L62" s="59">
        <f>'Scen 1 MWh Savings'!L8/('Scen 1 Summer &amp; Winter MW'!L26*1000)</f>
        <v>6.1007379547087526</v>
      </c>
      <c r="M62" s="59">
        <f>'Scen 1 MWh Savings'!M8/('Scen 1 Summer &amp; Winter MW'!M26*1000)</f>
        <v>6.1195193045244149</v>
      </c>
      <c r="N62" s="59">
        <f>'Scen 1 MWh Savings'!N8/('Scen 1 Summer &amp; Winter MW'!N26*1000)</f>
        <v>6.1364269943628384</v>
      </c>
      <c r="O62" s="59">
        <f>'Scen 1 MWh Savings'!O8/('Scen 1 Summer &amp; Winter MW'!O26*1000)</f>
        <v>6.073785692659885</v>
      </c>
      <c r="P62" s="59">
        <f>'Scen 1 MWh Savings'!P8/('Scen 1 Summer &amp; Winter MW'!P26*1000)</f>
        <v>6.0810156850146289</v>
      </c>
      <c r="Q62" s="59">
        <f>'Scen 1 MWh Savings'!Q8/('Scen 1 Summer &amp; Winter MW'!Q26*1000)</f>
        <v>6.0852916190163828</v>
      </c>
      <c r="R62" s="59">
        <f>'Scen 1 MWh Savings'!R8/('Scen 1 Summer &amp; Winter MW'!R26*1000)</f>
        <v>6.1075847961763374</v>
      </c>
      <c r="S62" s="59">
        <f>'Scen 1 MWh Savings'!S8/('Scen 1 Summer &amp; Winter MW'!S26*1000)</f>
        <v>6.074930418955204</v>
      </c>
      <c r="T62" s="59">
        <f>'Scen 1 MWh Savings'!T8/('Scen 1 Summer &amp; Winter MW'!T26*1000)</f>
        <v>6.041840474547616</v>
      </c>
      <c r="U62" s="59">
        <f>'Scen 1 MWh Savings'!U8/('Scen 1 Summer &amp; Winter MW'!U26*1000)</f>
        <v>5.975510997564764</v>
      </c>
      <c r="V62" s="59">
        <f>'Scen 1 MWh Savings'!V8/('Scen 1 Summer &amp; Winter MW'!V26*1000)</f>
        <v>6.2672552247595013</v>
      </c>
    </row>
    <row r="63" spans="1:22">
      <c r="A63" s="10" t="s">
        <v>11</v>
      </c>
      <c r="B63" s="59">
        <f>'Scen 1 MWh Savings'!B9/('Scen 1 Summer &amp; Winter MW'!B27*1000)</f>
        <v>6.6908377371356114</v>
      </c>
      <c r="C63" s="59">
        <f>'Scen 1 MWh Savings'!C9/('Scen 1 Summer &amp; Winter MW'!C27*1000)</f>
        <v>6.7256547211001623</v>
      </c>
      <c r="D63" s="59">
        <f>'Scen 1 MWh Savings'!D9/('Scen 1 Summer &amp; Winter MW'!D27*1000)</f>
        <v>6.7487373867066633</v>
      </c>
      <c r="E63" s="59">
        <f>'Scen 1 MWh Savings'!E9/('Scen 1 Summer &amp; Winter MW'!E27*1000)</f>
        <v>6.7313385038663114</v>
      </c>
      <c r="F63" s="59">
        <f>'Scen 1 MWh Savings'!F9/('Scen 1 Summer &amp; Winter MW'!F27*1000)</f>
        <v>6.7386691476625789</v>
      </c>
      <c r="G63" s="59">
        <f>'Scen 1 MWh Savings'!G9/('Scen 1 Summer &amp; Winter MW'!G27*1000)</f>
        <v>7.1431588970482789</v>
      </c>
      <c r="H63" s="59">
        <f>'Scen 1 MWh Savings'!H9/('Scen 1 Summer &amp; Winter MW'!H27*1000)</f>
        <v>7.138488473222103</v>
      </c>
      <c r="I63" s="59">
        <f>'Scen 1 MWh Savings'!I9/('Scen 1 Summer &amp; Winter MW'!I27*1000)</f>
        <v>7.155925537549507</v>
      </c>
      <c r="J63" s="59">
        <f>'Scen 1 MWh Savings'!J9/('Scen 1 Summer &amp; Winter MW'!J27*1000)</f>
        <v>7.0942710756448131</v>
      </c>
      <c r="K63" s="59">
        <f>'Scen 1 MWh Savings'!K9/('Scen 1 Summer &amp; Winter MW'!K27*1000)</f>
        <v>7.0500965944441161</v>
      </c>
      <c r="L63" s="59">
        <f>'Scen 1 MWh Savings'!L9/('Scen 1 Summer &amp; Winter MW'!L27*1000)</f>
        <v>7.0599066771558583</v>
      </c>
      <c r="M63" s="59">
        <f>'Scen 1 MWh Savings'!M9/('Scen 1 Summer &amp; Winter MW'!M27*1000)</f>
        <v>7.0454663989530264</v>
      </c>
      <c r="N63" s="59">
        <f>'Scen 1 MWh Savings'!N9/('Scen 1 Summer &amp; Winter MW'!N27*1000)</f>
        <v>7.0122061142569478</v>
      </c>
      <c r="O63" s="59">
        <f>'Scen 1 MWh Savings'!O9/('Scen 1 Summer &amp; Winter MW'!O27*1000)</f>
        <v>6.9903347073068529</v>
      </c>
      <c r="P63" s="59">
        <f>'Scen 1 MWh Savings'!P9/('Scen 1 Summer &amp; Winter MW'!P27*1000)</f>
        <v>7.0002287168869231</v>
      </c>
      <c r="Q63" s="59">
        <f>'Scen 1 MWh Savings'!Q9/('Scen 1 Summer &amp; Winter MW'!Q27*1000)</f>
        <v>7.0098932083363206</v>
      </c>
      <c r="R63" s="59">
        <f>'Scen 1 MWh Savings'!R9/('Scen 1 Summer &amp; Winter MW'!R27*1000)</f>
        <v>7.0298020466198095</v>
      </c>
      <c r="S63" s="59">
        <f>'Scen 1 MWh Savings'!S9/('Scen 1 Summer &amp; Winter MW'!S27*1000)</f>
        <v>7.0394168823963179</v>
      </c>
      <c r="T63" s="59">
        <f>'Scen 1 MWh Savings'!T9/('Scen 1 Summer &amp; Winter MW'!T27*1000)</f>
        <v>7.0488050361992372</v>
      </c>
      <c r="U63" s="59">
        <f>'Scen 1 MWh Savings'!U9/('Scen 1 Summer &amp; Winter MW'!U27*1000)</f>
        <v>7.060429136073969</v>
      </c>
      <c r="V63" s="59">
        <f>'Scen 1 MWh Savings'!V9/('Scen 1 Summer &amp; Winter MW'!V27*1000)</f>
        <v>6.9781586181804744</v>
      </c>
    </row>
    <row r="64" spans="1:22">
      <c r="A64" s="2" t="s">
        <v>12</v>
      </c>
      <c r="B64" s="59">
        <f>'Scen 1 MWh Savings'!B10/('Scen 1 Summer &amp; Winter MW'!B28*1000)</f>
        <v>5.4678891747296792</v>
      </c>
      <c r="C64" s="59">
        <f>'Scen 1 MWh Savings'!C10/('Scen 1 Summer &amp; Winter MW'!C28*1000)</f>
        <v>5.4799468952267372</v>
      </c>
      <c r="D64" s="59">
        <f>'Scen 1 MWh Savings'!D10/('Scen 1 Summer &amp; Winter MW'!D28*1000)</f>
        <v>5.5387290408068441</v>
      </c>
      <c r="E64" s="59">
        <f>'Scen 1 MWh Savings'!E10/('Scen 1 Summer &amp; Winter MW'!E28*1000)</f>
        <v>5.5403870815642442</v>
      </c>
      <c r="F64" s="59">
        <f>'Scen 1 MWh Savings'!F10/('Scen 1 Summer &amp; Winter MW'!F28*1000)</f>
        <v>5.6051928280843972</v>
      </c>
      <c r="G64" s="59">
        <f>'Scen 1 MWh Savings'!G10/('Scen 1 Summer &amp; Winter MW'!G28*1000)</f>
        <v>5.853836763163665</v>
      </c>
      <c r="H64" s="59">
        <f>'Scen 1 MWh Savings'!H10/('Scen 1 Summer &amp; Winter MW'!H28*1000)</f>
        <v>5.8687767744172783</v>
      </c>
      <c r="I64" s="59">
        <f>'Scen 1 MWh Savings'!I10/('Scen 1 Summer &amp; Winter MW'!I28*1000)</f>
        <v>5.8927078967353728</v>
      </c>
      <c r="J64" s="59">
        <f>'Scen 1 MWh Savings'!J10/('Scen 1 Summer &amp; Winter MW'!J28*1000)</f>
        <v>5.9137307864449689</v>
      </c>
      <c r="K64" s="59">
        <f>'Scen 1 MWh Savings'!K10/('Scen 1 Summer &amp; Winter MW'!K28*1000)</f>
        <v>5.9089961899486907</v>
      </c>
      <c r="L64" s="59">
        <f>'Scen 1 MWh Savings'!L10/('Scen 1 Summer &amp; Winter MW'!L28*1000)</f>
        <v>5.9151465203419109</v>
      </c>
      <c r="M64" s="59">
        <f>'Scen 1 MWh Savings'!M10/('Scen 1 Summer &amp; Winter MW'!M28*1000)</f>
        <v>5.922123908690339</v>
      </c>
      <c r="N64" s="59">
        <f>'Scen 1 MWh Savings'!N10/('Scen 1 Summer &amp; Winter MW'!N28*1000)</f>
        <v>5.9349336690851233</v>
      </c>
      <c r="O64" s="59">
        <f>'Scen 1 MWh Savings'!O10/('Scen 1 Summer &amp; Winter MW'!O28*1000)</f>
        <v>5.9420740981699538</v>
      </c>
      <c r="P64" s="59">
        <f>'Scen 1 MWh Savings'!P10/('Scen 1 Summer &amp; Winter MW'!P28*1000)</f>
        <v>5.9341910321430804</v>
      </c>
      <c r="Q64" s="59">
        <f>'Scen 1 MWh Savings'!Q10/('Scen 1 Summer &amp; Winter MW'!Q28*1000)</f>
        <v>5.9423168113451315</v>
      </c>
      <c r="R64" s="59">
        <f>'Scen 1 MWh Savings'!R10/('Scen 1 Summer &amp; Winter MW'!R28*1000)</f>
        <v>5.9585198344982171</v>
      </c>
      <c r="S64" s="59">
        <f>'Scen 1 MWh Savings'!S10/('Scen 1 Summer &amp; Winter MW'!S28*1000)</f>
        <v>5.950788698345634</v>
      </c>
      <c r="T64" s="59">
        <f>'Scen 1 MWh Savings'!T10/('Scen 1 Summer &amp; Winter MW'!T28*1000)</f>
        <v>5.9588764803934264</v>
      </c>
      <c r="U64" s="59">
        <f>'Scen 1 MWh Savings'!U10/('Scen 1 Summer &amp; Winter MW'!U28*1000)</f>
        <v>5.9688079509479604</v>
      </c>
      <c r="V64" s="59">
        <f>'Scen 1 MWh Savings'!V10/('Scen 1 Summer &amp; Winter MW'!V28*1000)</f>
        <v>5.8222060950865808</v>
      </c>
    </row>
    <row r="65" spans="1:22">
      <c r="A65" s="2" t="s">
        <v>13</v>
      </c>
      <c r="B65" s="61">
        <f>'Scen 1 MWh Savings'!B11/('Scen 1 Summer &amp; Winter MW'!B29*1000)</f>
        <v>5.064677521587531</v>
      </c>
      <c r="C65" s="61">
        <f>'Scen 1 MWh Savings'!C11/('Scen 1 Summer &amp; Winter MW'!C29*1000)</f>
        <v>4.9962567030372185</v>
      </c>
      <c r="D65" s="61">
        <f>'Scen 1 MWh Savings'!D11/('Scen 1 Summer &amp; Winter MW'!D29*1000)</f>
        <v>5.0206035070987394</v>
      </c>
      <c r="E65" s="61">
        <f>'Scen 1 MWh Savings'!E11/('Scen 1 Summer &amp; Winter MW'!E29*1000)</f>
        <v>4.933930181643313</v>
      </c>
      <c r="F65" s="61">
        <f>'Scen 1 MWh Savings'!F11/('Scen 1 Summer &amp; Winter MW'!F29*1000)</f>
        <v>4.9635987557509091</v>
      </c>
      <c r="G65" s="61">
        <f>'Scen 1 MWh Savings'!G11/('Scen 1 Summer &amp; Winter MW'!G29*1000)</f>
        <v>4.9687574376780708</v>
      </c>
      <c r="H65" s="61">
        <f>'Scen 1 MWh Savings'!H11/('Scen 1 Summer &amp; Winter MW'!H29*1000)</f>
        <v>4.9663301855068429</v>
      </c>
      <c r="I65" s="61">
        <f>'Scen 1 MWh Savings'!I11/('Scen 1 Summer &amp; Winter MW'!I29*1000)</f>
        <v>4.9184188118833427</v>
      </c>
      <c r="J65" s="61">
        <f>'Scen 1 MWh Savings'!J11/('Scen 1 Summer &amp; Winter MW'!J29*1000)</f>
        <v>4.8676850082519909</v>
      </c>
      <c r="K65" s="61">
        <f>'Scen 1 MWh Savings'!K11/('Scen 1 Summer &amp; Winter MW'!K29*1000)</f>
        <v>4.877088050876508</v>
      </c>
      <c r="L65" s="61">
        <f>'Scen 1 MWh Savings'!L11/('Scen 1 Summer &amp; Winter MW'!L29*1000)</f>
        <v>4.8544062097126996</v>
      </c>
      <c r="M65" s="61">
        <f>'Scen 1 MWh Savings'!M11/('Scen 1 Summer &amp; Winter MW'!M29*1000)</f>
        <v>4.8595435481416338</v>
      </c>
      <c r="N65" s="61">
        <f>'Scen 1 MWh Savings'!N11/('Scen 1 Summer &amp; Winter MW'!N29*1000)</f>
        <v>4.8452666225617032</v>
      </c>
      <c r="O65" s="61">
        <f>'Scen 1 MWh Savings'!O11/('Scen 1 Summer &amp; Winter MW'!O29*1000)</f>
        <v>4.7674192510887874</v>
      </c>
      <c r="P65" s="61">
        <f>'Scen 1 MWh Savings'!P11/('Scen 1 Summer &amp; Winter MW'!P29*1000)</f>
        <v>4.7603519353918822</v>
      </c>
      <c r="Q65" s="61">
        <f>'Scen 1 MWh Savings'!Q11/('Scen 1 Summer &amp; Winter MW'!Q29*1000)</f>
        <v>4.745685742275783</v>
      </c>
      <c r="R65" s="61">
        <f>'Scen 1 MWh Savings'!R11/('Scen 1 Summer &amp; Winter MW'!R29*1000)</f>
        <v>4.74495223805833</v>
      </c>
      <c r="S65" s="61">
        <f>'Scen 1 MWh Savings'!S11/('Scen 1 Summer &amp; Winter MW'!S29*1000)</f>
        <v>4.7436108034846871</v>
      </c>
      <c r="T65" s="61">
        <f>'Scen 1 MWh Savings'!T11/('Scen 1 Summer &amp; Winter MW'!T29*1000)</f>
        <v>4.6972532453970528</v>
      </c>
      <c r="U65" s="61">
        <f>'Scen 1 MWh Savings'!U11/('Scen 1 Summer &amp; Winter MW'!U29*1000)</f>
        <v>4.6855569201608311</v>
      </c>
      <c r="V65" s="61">
        <f>'Scen 1 MWh Savings'!V11/('Scen 1 Summer &amp; Winter MW'!V29*1000)</f>
        <v>4.8370445834687468</v>
      </c>
    </row>
    <row r="66" spans="1:22">
      <c r="A66" s="8" t="s">
        <v>15</v>
      </c>
      <c r="B66" s="60">
        <f>'Scen 1 MWh Savings'!B12/('Scen 1 Summer &amp; Winter MW'!B30*1000)</f>
        <v>5.3917873644137213</v>
      </c>
      <c r="C66" s="60">
        <f>'Scen 1 MWh Savings'!C12/('Scen 1 Summer &amp; Winter MW'!C30*1000)</f>
        <v>5.4710986342003531</v>
      </c>
      <c r="D66" s="60">
        <f>'Scen 1 MWh Savings'!D12/('Scen 1 Summer &amp; Winter MW'!D30*1000)</f>
        <v>5.5423165932012068</v>
      </c>
      <c r="E66" s="60">
        <f>'Scen 1 MWh Savings'!E12/('Scen 1 Summer &amp; Winter MW'!E30*1000)</f>
        <v>4.6662196323318161</v>
      </c>
      <c r="F66" s="60">
        <f>'Scen 1 MWh Savings'!F12/('Scen 1 Summer &amp; Winter MW'!F30*1000)</f>
        <v>4.6232061587435487</v>
      </c>
      <c r="G66" s="60">
        <f>'Scen 1 MWh Savings'!G12/('Scen 1 Summer &amp; Winter MW'!G30*1000)</f>
        <v>5.6562567429210349</v>
      </c>
      <c r="H66" s="60">
        <f>'Scen 1 MWh Savings'!H12/('Scen 1 Summer &amp; Winter MW'!H30*1000)</f>
        <v>5.4032447795379444</v>
      </c>
      <c r="I66" s="60">
        <f>'Scen 1 MWh Savings'!I12/('Scen 1 Summer &amp; Winter MW'!I30*1000)</f>
        <v>5.666933971634835</v>
      </c>
      <c r="J66" s="60">
        <f>'Scen 1 MWh Savings'!J12/('Scen 1 Summer &amp; Winter MW'!J30*1000)</f>
        <v>5.9394926091676767</v>
      </c>
      <c r="K66" s="60">
        <f>'Scen 1 MWh Savings'!K12/('Scen 1 Summer &amp; Winter MW'!K30*1000)</f>
        <v>6.1039680403297405</v>
      </c>
      <c r="L66" s="60">
        <f>'Scen 1 MWh Savings'!L12/('Scen 1 Summer &amp; Winter MW'!L30*1000)</f>
        <v>6.2789038944107887</v>
      </c>
      <c r="M66" s="60">
        <f>'Scen 1 MWh Savings'!M12/('Scen 1 Summer &amp; Winter MW'!M30*1000)</f>
        <v>6.2879672759731422</v>
      </c>
      <c r="N66" s="60">
        <f>'Scen 1 MWh Savings'!N12/('Scen 1 Summer &amp; Winter MW'!N30*1000)</f>
        <v>6.2791304698605011</v>
      </c>
      <c r="O66" s="60">
        <f>'Scen 1 MWh Savings'!O12/('Scen 1 Summer &amp; Winter MW'!O30*1000)</f>
        <v>6.2563599592221077</v>
      </c>
      <c r="P66" s="60">
        <f>'Scen 1 MWh Savings'!P12/('Scen 1 Summer &amp; Winter MW'!P30*1000)</f>
        <v>6.2374819504249395</v>
      </c>
      <c r="Q66" s="60">
        <f>'Scen 1 MWh Savings'!Q12/('Scen 1 Summer &amp; Winter MW'!Q30*1000)</f>
        <v>6.2681928295925413</v>
      </c>
      <c r="R66" s="60">
        <f>'Scen 1 MWh Savings'!R12/('Scen 1 Summer &amp; Winter MW'!R30*1000)</f>
        <v>6.31444274248061</v>
      </c>
      <c r="S66" s="60">
        <f>'Scen 1 MWh Savings'!S12/('Scen 1 Summer &amp; Winter MW'!S30*1000)</f>
        <v>6.2944743789415103</v>
      </c>
      <c r="T66" s="60">
        <f>'Scen 1 MWh Savings'!T12/('Scen 1 Summer &amp; Winter MW'!T30*1000)</f>
        <v>6.2577981017210194</v>
      </c>
      <c r="U66" s="60">
        <f>'Scen 1 MWh Savings'!U12/('Scen 1 Summer &amp; Winter MW'!U30*1000)</f>
        <v>6.2190219207872763</v>
      </c>
      <c r="V66" s="60">
        <f>'Scen 1 MWh Savings'!V12/('Scen 1 Summer &amp; Winter MW'!V30*1000)</f>
        <v>5.7678464883610268</v>
      </c>
    </row>
    <row r="68" spans="1:22">
      <c r="A68" s="50" t="s">
        <v>3</v>
      </c>
    </row>
    <row r="69" spans="1:22">
      <c r="A69" s="2" t="s">
        <v>7</v>
      </c>
      <c r="B69" s="59">
        <f>'Scen 1 MWh Savings'!B15/('Scen 1 Summer &amp; Winter MW'!B33*1000)</f>
        <v>6.888129281371441</v>
      </c>
      <c r="C69" s="59">
        <f>'Scen 1 MWh Savings'!C15/('Scen 1 Summer &amp; Winter MW'!C33*1000)</f>
        <v>7.0762275471162548</v>
      </c>
      <c r="D69" s="59">
        <f>'Scen 1 MWh Savings'!D15/('Scen 1 Summer &amp; Winter MW'!D33*1000)</f>
        <v>7.2444205768516277</v>
      </c>
      <c r="E69" s="59">
        <f>'Scen 1 MWh Savings'!E15/('Scen 1 Summer &amp; Winter MW'!E33*1000)</f>
        <v>7.2187054008030849</v>
      </c>
      <c r="F69" s="59">
        <f>'Scen 1 MWh Savings'!F15/('Scen 1 Summer &amp; Winter MW'!F33*1000)</f>
        <v>7.3614416740217736</v>
      </c>
      <c r="G69" s="59">
        <f>'Scen 1 MWh Savings'!G15/('Scen 1 Summer &amp; Winter MW'!G33*1000)</f>
        <v>7.4463129795352074</v>
      </c>
      <c r="H69" s="59">
        <f>'Scen 1 MWh Savings'!H15/('Scen 1 Summer &amp; Winter MW'!H33*1000)</f>
        <v>7.4463129146435829</v>
      </c>
      <c r="I69" s="59">
        <f>'Scen 1 MWh Savings'!I15/('Scen 1 Summer &amp; Winter MW'!I33*1000)</f>
        <v>7.4463129824636232</v>
      </c>
      <c r="J69" s="59">
        <f>'Scen 1 MWh Savings'!J15/('Scen 1 Summer &amp; Winter MW'!J33*1000)</f>
        <v>7.4463130462800011</v>
      </c>
      <c r="K69" s="59">
        <f>'Scen 1 MWh Savings'!K15/('Scen 1 Summer &amp; Winter MW'!K33*1000)</f>
        <v>7.4463129635904064</v>
      </c>
      <c r="L69" s="59">
        <f>'Scen 1 MWh Savings'!L15/('Scen 1 Summer &amp; Winter MW'!L33*1000)</f>
        <v>7.4463129759247373</v>
      </c>
      <c r="M69" s="59">
        <f>'Scen 1 MWh Savings'!M15/('Scen 1 Summer &amp; Winter MW'!M33*1000)</f>
        <v>7.4463130462646703</v>
      </c>
      <c r="N69" s="59">
        <f>'Scen 1 MWh Savings'!N15/('Scen 1 Summer &amp; Winter MW'!N33*1000)</f>
        <v>7.4463129882323464</v>
      </c>
      <c r="O69" s="59">
        <f>'Scen 1 MWh Savings'!O15/('Scen 1 Summer &amp; Winter MW'!O33*1000)</f>
        <v>7.4463130077047781</v>
      </c>
      <c r="P69" s="59">
        <f>'Scen 1 MWh Savings'!P15/('Scen 1 Summer &amp; Winter MW'!P33*1000)</f>
        <v>7.4463129864897306</v>
      </c>
      <c r="Q69" s="59">
        <f>'Scen 1 MWh Savings'!Q15/('Scen 1 Summer &amp; Winter MW'!Q33*1000)</f>
        <v>7.44631291606263</v>
      </c>
      <c r="R69" s="59">
        <f>'Scen 1 MWh Savings'!R15/('Scen 1 Summer &amp; Winter MW'!R33*1000)</f>
        <v>7.446312963699186</v>
      </c>
      <c r="S69" s="59">
        <f>'Scen 1 MWh Savings'!S15/('Scen 1 Summer &amp; Winter MW'!S33*1000)</f>
        <v>7.4463129266998376</v>
      </c>
      <c r="T69" s="59">
        <f>'Scen 1 MWh Savings'!T15/('Scen 1 Summer &amp; Winter MW'!T33*1000)</f>
        <v>7.4463129645530799</v>
      </c>
      <c r="U69" s="59">
        <f>'Scen 1 MWh Savings'!U15/('Scen 1 Summer &amp; Winter MW'!U33*1000)</f>
        <v>7.4463130348880853</v>
      </c>
      <c r="V69" s="59">
        <f>'Scen 1 MWh Savings'!V15/('Scen 1 Summer &amp; Winter MW'!V33*1000)</f>
        <v>7.3442310416600414</v>
      </c>
    </row>
    <row r="70" spans="1:22">
      <c r="A70" s="2" t="s">
        <v>6</v>
      </c>
      <c r="B70" s="59">
        <f>'Scen 1 MWh Savings'!B16/('Scen 1 Summer &amp; Winter MW'!B34*1000)</f>
        <v>6.9892713822327082</v>
      </c>
      <c r="C70" s="59">
        <f>'Scen 1 MWh Savings'!C16/('Scen 1 Summer &amp; Winter MW'!C34*1000)</f>
        <v>7.1570749835028211</v>
      </c>
      <c r="D70" s="59">
        <f>'Scen 1 MWh Savings'!D16/('Scen 1 Summer &amp; Winter MW'!D34*1000)</f>
        <v>7.3084304284067878</v>
      </c>
      <c r="E70" s="59">
        <f>'Scen 1 MWh Savings'!E16/('Scen 1 Summer &amp; Winter MW'!E34*1000)</f>
        <v>7.1470445609159885</v>
      </c>
      <c r="F70" s="59">
        <f>'Scen 1 MWh Savings'!F16/('Scen 1 Summer &amp; Winter MW'!F34*1000)</f>
        <v>7.2788585490660953</v>
      </c>
      <c r="G70" s="59">
        <f>'Scen 1 MWh Savings'!G16/('Scen 1 Summer &amp; Winter MW'!G34*1000)</f>
        <v>7.3429389138496379</v>
      </c>
      <c r="H70" s="59">
        <f>'Scen 1 MWh Savings'!H16/('Scen 1 Summer &amp; Winter MW'!H34*1000)</f>
        <v>7.3429388659785362</v>
      </c>
      <c r="I70" s="59">
        <f>'Scen 1 MWh Savings'!I16/('Scen 1 Summer &amp; Winter MW'!I34*1000)</f>
        <v>7.3429388754810097</v>
      </c>
      <c r="J70" s="59">
        <f>'Scen 1 MWh Savings'!J16/('Scen 1 Summer &amp; Winter MW'!J34*1000)</f>
        <v>7.3429389174017237</v>
      </c>
      <c r="K70" s="59">
        <f>'Scen 1 MWh Savings'!K16/('Scen 1 Summer &amp; Winter MW'!K34*1000)</f>
        <v>7.3429389836584438</v>
      </c>
      <c r="L70" s="59">
        <f>'Scen 1 MWh Savings'!L16/('Scen 1 Summer &amp; Winter MW'!L34*1000)</f>
        <v>7.3429389268683947</v>
      </c>
      <c r="M70" s="59">
        <f>'Scen 1 MWh Savings'!M16/('Scen 1 Summer &amp; Winter MW'!M34*1000)</f>
        <v>7.3429389040595003</v>
      </c>
      <c r="N70" s="59">
        <f>'Scen 1 MWh Savings'!N16/('Scen 1 Summer &amp; Winter MW'!N34*1000)</f>
        <v>7.342938932107951</v>
      </c>
      <c r="O70" s="59">
        <f>'Scen 1 MWh Savings'!O16/('Scen 1 Summer &amp; Winter MW'!O34*1000)</f>
        <v>7.3429389708759327</v>
      </c>
      <c r="P70" s="59">
        <f>'Scen 1 MWh Savings'!P16/('Scen 1 Summer &amp; Winter MW'!P34*1000)</f>
        <v>7.3429389081299794</v>
      </c>
      <c r="Q70" s="59">
        <f>'Scen 1 MWh Savings'!Q16/('Scen 1 Summer &amp; Winter MW'!Q34*1000)</f>
        <v>7.3429389274851751</v>
      </c>
      <c r="R70" s="59">
        <f>'Scen 1 MWh Savings'!R16/('Scen 1 Summer &amp; Winter MW'!R34*1000)</f>
        <v>7.3429388963851254</v>
      </c>
      <c r="S70" s="59">
        <f>'Scen 1 MWh Savings'!S16/('Scen 1 Summer &amp; Winter MW'!S34*1000)</f>
        <v>7.3429388454143902</v>
      </c>
      <c r="T70" s="59">
        <f>'Scen 1 MWh Savings'!T16/('Scen 1 Summer &amp; Winter MW'!T34*1000)</f>
        <v>7.3429389029783287</v>
      </c>
      <c r="U70" s="59">
        <f>'Scen 1 MWh Savings'!U16/('Scen 1 Summer &amp; Winter MW'!U34*1000)</f>
        <v>7.3429389778650975</v>
      </c>
      <c r="V70" s="59">
        <f>'Scen 1 MWh Savings'!V16/('Scen 1 Summer &amp; Winter MW'!V34*1000)</f>
        <v>7.2812074150287893</v>
      </c>
    </row>
    <row r="71" spans="1:22">
      <c r="A71" s="2" t="s">
        <v>5</v>
      </c>
      <c r="B71" s="61">
        <f>'Scen 1 MWh Savings'!B17/('Scen 1 Summer &amp; Winter MW'!B35*1000)</f>
        <v>6.9218651384583598</v>
      </c>
      <c r="C71" s="61">
        <f>'Scen 1 MWh Savings'!C17/('Scen 1 Summer &amp; Winter MW'!C35*1000)</f>
        <v>6.7211127698787436</v>
      </c>
      <c r="D71" s="61">
        <f>'Scen 1 MWh Savings'!D17/('Scen 1 Summer &amp; Winter MW'!D35*1000)</f>
        <v>6.6624061702336181</v>
      </c>
      <c r="E71" s="61">
        <f>'Scen 1 MWh Savings'!E17/('Scen 1 Summer &amp; Winter MW'!E35*1000)</f>
        <v>6.7136637419126428</v>
      </c>
      <c r="F71" s="61">
        <f>'Scen 1 MWh Savings'!F17/('Scen 1 Summer &amp; Winter MW'!F35*1000)</f>
        <v>6.628068251981194</v>
      </c>
      <c r="G71" s="61">
        <f>'Scen 1 MWh Savings'!G17/('Scen 1 Summer &amp; Winter MW'!G35*1000)</f>
        <v>6.6481452662618672</v>
      </c>
      <c r="H71" s="61">
        <f>'Scen 1 MWh Savings'!H17/('Scen 1 Summer &amp; Winter MW'!H35*1000)</f>
        <v>6.6457697434445553</v>
      </c>
      <c r="I71" s="61">
        <f>'Scen 1 MWh Savings'!I17/('Scen 1 Summer &amp; Winter MW'!I35*1000)</f>
        <v>6.6424338123378028</v>
      </c>
      <c r="J71" s="61">
        <f>'Scen 1 MWh Savings'!J17/('Scen 1 Summer &amp; Winter MW'!J35*1000)</f>
        <v>6.6365302237408592</v>
      </c>
      <c r="K71" s="61">
        <f>'Scen 1 MWh Savings'!K17/('Scen 1 Summer &amp; Winter MW'!K35*1000)</f>
        <v>6.6335942614246797</v>
      </c>
      <c r="L71" s="61">
        <f>'Scen 1 MWh Savings'!L17/('Scen 1 Summer &amp; Winter MW'!L35*1000)</f>
        <v>6.629076327740453</v>
      </c>
      <c r="M71" s="61">
        <f>'Scen 1 MWh Savings'!M17/('Scen 1 Summer &amp; Winter MW'!M35*1000)</f>
        <v>6.6243257155039252</v>
      </c>
      <c r="N71" s="61">
        <f>'Scen 1 MWh Savings'!N17/('Scen 1 Summer &amp; Winter MW'!N35*1000)</f>
        <v>6.6193514508583418</v>
      </c>
      <c r="O71" s="61">
        <f>'Scen 1 MWh Savings'!O17/('Scen 1 Summer &amp; Winter MW'!O35*1000)</f>
        <v>6.6108221042681139</v>
      </c>
      <c r="P71" s="61">
        <f>'Scen 1 MWh Savings'!P17/('Scen 1 Summer &amp; Winter MW'!P35*1000)</f>
        <v>6.6073591956248299</v>
      </c>
      <c r="Q71" s="61">
        <f>'Scen 1 MWh Savings'!Q17/('Scen 1 Summer &amp; Winter MW'!Q35*1000)</f>
        <v>6.6019206481044144</v>
      </c>
      <c r="R71" s="61">
        <f>'Scen 1 MWh Savings'!R17/('Scen 1 Summer &amp; Winter MW'!R35*1000)</f>
        <v>6.5963153818725555</v>
      </c>
      <c r="S71" s="61">
        <f>'Scen 1 MWh Savings'!S17/('Scen 1 Summer &amp; Winter MW'!S35*1000)</f>
        <v>6.5905160411092831</v>
      </c>
      <c r="T71" s="61">
        <f>'Scen 1 MWh Savings'!T17/('Scen 1 Summer &amp; Winter MW'!T35*1000)</f>
        <v>6.5818224004335288</v>
      </c>
      <c r="U71" s="61">
        <f>'Scen 1 MWh Savings'!U17/('Scen 1 Summer &amp; Winter MW'!U35*1000)</f>
        <v>6.5774506157309718</v>
      </c>
      <c r="V71" s="61">
        <f>'Scen 1 MWh Savings'!V17/('Scen 1 Summer &amp; Winter MW'!V35*1000)</f>
        <v>6.6463857260303838</v>
      </c>
    </row>
    <row r="72" spans="1:22">
      <c r="A72" s="8" t="s">
        <v>16</v>
      </c>
      <c r="B72" s="60">
        <f>'Scen 1 MWh Savings'!B18/('Scen 1 Summer &amp; Winter MW'!B36*1000)</f>
        <v>6.9380795908453328</v>
      </c>
      <c r="C72" s="60">
        <f>'Scen 1 MWh Savings'!C18/('Scen 1 Summer &amp; Winter MW'!C36*1000)</f>
        <v>6.9127830998285358</v>
      </c>
      <c r="D72" s="60">
        <f>'Scen 1 MWh Savings'!D18/('Scen 1 Summer &amp; Winter MW'!D36*1000)</f>
        <v>6.935475969788877</v>
      </c>
      <c r="E72" s="60">
        <f>'Scen 1 MWh Savings'!E18/('Scen 1 Summer &amp; Winter MW'!E36*1000)</f>
        <v>6.9036846784858277</v>
      </c>
      <c r="F72" s="60">
        <f>'Scen 1 MWh Savings'!F18/('Scen 1 Summer &amp; Winter MW'!F36*1000)</f>
        <v>6.8991013872070894</v>
      </c>
      <c r="G72" s="60">
        <f>'Scen 1 MWh Savings'!G18/('Scen 1 Summer &amp; Winter MW'!G36*1000)</f>
        <v>6.935036784001908</v>
      </c>
      <c r="H72" s="60">
        <f>'Scen 1 MWh Savings'!H18/('Scen 1 Summer &amp; Winter MW'!H36*1000)</f>
        <v>6.934024660366612</v>
      </c>
      <c r="I72" s="60">
        <f>'Scen 1 MWh Savings'!I18/('Scen 1 Summer &amp; Winter MW'!I36*1000)</f>
        <v>6.918378768395077</v>
      </c>
      <c r="J72" s="60">
        <f>'Scen 1 MWh Savings'!J18/('Scen 1 Summer &amp; Winter MW'!J36*1000)</f>
        <v>6.9087500375300808</v>
      </c>
      <c r="K72" s="60">
        <f>'Scen 1 MWh Savings'!K18/('Scen 1 Summer &amp; Winter MW'!K36*1000)</f>
        <v>6.9036154726461954</v>
      </c>
      <c r="L72" s="60">
        <f>'Scen 1 MWh Savings'!L18/('Scen 1 Summer &amp; Winter MW'!L36*1000)</f>
        <v>6.9002848795096012</v>
      </c>
      <c r="M72" s="60">
        <f>'Scen 1 MWh Savings'!M18/('Scen 1 Summer &amp; Winter MW'!M36*1000)</f>
        <v>6.8967774161314459</v>
      </c>
      <c r="N72" s="60">
        <f>'Scen 1 MWh Savings'!N18/('Scen 1 Summer &amp; Winter MW'!N36*1000)</f>
        <v>6.8932577697016146</v>
      </c>
      <c r="O72" s="60">
        <f>'Scen 1 MWh Savings'!O18/('Scen 1 Summer &amp; Winter MW'!O36*1000)</f>
        <v>6.8873837256294346</v>
      </c>
      <c r="P72" s="60">
        <f>'Scen 1 MWh Savings'!P18/('Scen 1 Summer &amp; Winter MW'!P36*1000)</f>
        <v>6.8817767266519594</v>
      </c>
      <c r="Q72" s="60">
        <f>'Scen 1 MWh Savings'!Q18/('Scen 1 Summer &amp; Winter MW'!Q36*1000)</f>
        <v>6.8775403708588607</v>
      </c>
      <c r="R72" s="60">
        <f>'Scen 1 MWh Savings'!R18/('Scen 1 Summer &amp; Winter MW'!R36*1000)</f>
        <v>6.8729645100566561</v>
      </c>
      <c r="S72" s="60">
        <f>'Scen 1 MWh Savings'!S18/('Scen 1 Summer &amp; Winter MW'!S36*1000)</f>
        <v>6.8683020089402147</v>
      </c>
      <c r="T72" s="60">
        <f>'Scen 1 MWh Savings'!T18/('Scen 1 Summer &amp; Winter MW'!T36*1000)</f>
        <v>6.8607639776041927</v>
      </c>
      <c r="U72" s="60">
        <f>'Scen 1 MWh Savings'!U18/('Scen 1 Summer &amp; Winter MW'!U36*1000)</f>
        <v>6.8553178769255334</v>
      </c>
      <c r="V72" s="60">
        <f>'Scen 1 MWh Savings'!V18/('Scen 1 Summer &amp; Winter MW'!V36*1000)</f>
        <v>6.9016674804199054</v>
      </c>
    </row>
    <row r="73" spans="1:22">
      <c r="A73" s="8"/>
    </row>
    <row r="74" spans="1:22">
      <c r="A74" s="3" t="s">
        <v>4</v>
      </c>
      <c r="B74" s="60">
        <f>'Scen 1 MWh Savings'!B20/('Scen 1 Summer &amp; Winter MW'!B38*1000)</f>
        <v>6.2460472537138561</v>
      </c>
      <c r="C74" s="60">
        <f>'Scen 1 MWh Savings'!C20/('Scen 1 Summer &amp; Winter MW'!C38*1000)</f>
        <v>6.2240420353083916</v>
      </c>
      <c r="D74" s="60">
        <f>'Scen 1 MWh Savings'!D20/('Scen 1 Summer &amp; Winter MW'!D38*1000)</f>
        <v>6.2420345312477119</v>
      </c>
      <c r="E74" s="60">
        <f>'Scen 1 MWh Savings'!E20/('Scen 1 Summer &amp; Winter MW'!E38*1000)</f>
        <v>5.6772480383589157</v>
      </c>
      <c r="F74" s="60">
        <f>'Scen 1 MWh Savings'!F20/('Scen 1 Summer &amp; Winter MW'!F38*1000)</f>
        <v>5.6116079114624275</v>
      </c>
      <c r="G74" s="60">
        <f>'Scen 1 MWh Savings'!G20/('Scen 1 Summer &amp; Winter MW'!G38*1000)</f>
        <v>6.3430737338996925</v>
      </c>
      <c r="H74" s="60">
        <f>'Scen 1 MWh Savings'!H20/('Scen 1 Summer &amp; Winter MW'!H38*1000)</f>
        <v>6.2546407752590456</v>
      </c>
      <c r="I74" s="60">
        <f>'Scen 1 MWh Savings'!I20/('Scen 1 Summer &amp; Winter MW'!I38*1000)</f>
        <v>6.3786809378834279</v>
      </c>
      <c r="J74" s="60">
        <f>'Scen 1 MWh Savings'!J20/('Scen 1 Summer &amp; Winter MW'!J38*1000)</f>
        <v>6.4756767245558322</v>
      </c>
      <c r="K74" s="60">
        <f>'Scen 1 MWh Savings'!K20/('Scen 1 Summer &amp; Winter MW'!K38*1000)</f>
        <v>6.5516781725448929</v>
      </c>
      <c r="L74" s="60">
        <f>'Scen 1 MWh Savings'!L20/('Scen 1 Summer &amp; Winter MW'!L38*1000)</f>
        <v>6.6268937233670115</v>
      </c>
      <c r="M74" s="60">
        <f>'Scen 1 MWh Savings'!M20/('Scen 1 Summer &amp; Winter MW'!M38*1000)</f>
        <v>6.62540325317691</v>
      </c>
      <c r="N74" s="60">
        <f>'Scen 1 MWh Savings'!N20/('Scen 1 Summer &amp; Winter MW'!N38*1000)</f>
        <v>6.616604591814772</v>
      </c>
      <c r="O74" s="60">
        <f>'Scen 1 MWh Savings'!O20/('Scen 1 Summer &amp; Winter MW'!O38*1000)</f>
        <v>6.5859268170316891</v>
      </c>
      <c r="P74" s="60">
        <f>'Scen 1 MWh Savings'!P20/('Scen 1 Summer &amp; Winter MW'!P38*1000)</f>
        <v>6.575618254068667</v>
      </c>
      <c r="Q74" s="60">
        <f>'Scen 1 MWh Savings'!Q20/('Scen 1 Summer &amp; Winter MW'!Q38*1000)</f>
        <v>6.5862492409382583</v>
      </c>
      <c r="R74" s="60">
        <f>'Scen 1 MWh Savings'!R20/('Scen 1 Summer &amp; Winter MW'!R38*1000)</f>
        <v>6.6043695543861469</v>
      </c>
      <c r="S74" s="60">
        <f>'Scen 1 MWh Savings'!S20/('Scen 1 Summer &amp; Winter MW'!S38*1000)</f>
        <v>6.5891277897539426</v>
      </c>
      <c r="T74" s="60">
        <f>'Scen 1 MWh Savings'!T20/('Scen 1 Summer &amp; Winter MW'!T38*1000)</f>
        <v>6.5571084129422506</v>
      </c>
      <c r="U74" s="60">
        <f>'Scen 1 MWh Savings'!U20/('Scen 1 Summer &amp; Winter MW'!U38*1000)</f>
        <v>6.5336919343007045</v>
      </c>
      <c r="V74" s="60">
        <f>'Scen 1 MWh Savings'!V20/('Scen 1 Summer &amp; Winter MW'!V38*1000)</f>
        <v>6.3602652005893967</v>
      </c>
    </row>
    <row r="75" spans="1:22">
      <c r="A75" s="1"/>
    </row>
    <row r="76" spans="1:22">
      <c r="A76" s="1"/>
    </row>
    <row r="77" spans="1:22" ht="15.75">
      <c r="A77" s="68" t="s">
        <v>31</v>
      </c>
      <c r="B77" s="69"/>
      <c r="C77" s="69"/>
      <c r="D77" s="69"/>
      <c r="E77" s="69"/>
      <c r="F77" s="69"/>
      <c r="G77" s="69"/>
      <c r="H77" s="69"/>
      <c r="I77" s="69"/>
      <c r="J77" s="69"/>
      <c r="K77" s="69"/>
      <c r="L77" s="69"/>
      <c r="M77" s="69"/>
      <c r="N77" s="69"/>
      <c r="O77" s="69"/>
      <c r="P77" s="69"/>
      <c r="Q77" s="69"/>
      <c r="R77" s="69"/>
      <c r="S77" s="69"/>
      <c r="T77" s="69"/>
      <c r="U77" s="69"/>
      <c r="V77" s="69"/>
    </row>
    <row r="78" spans="1:22">
      <c r="A78" s="62" t="s">
        <v>27</v>
      </c>
      <c r="B78" s="6">
        <v>2015</v>
      </c>
      <c r="C78" s="6">
        <f>B78+1</f>
        <v>2016</v>
      </c>
      <c r="D78" s="6">
        <f t="shared" ref="D78" si="55">C78+1</f>
        <v>2017</v>
      </c>
      <c r="E78" s="6">
        <f t="shared" ref="E78" si="56">D78+1</f>
        <v>2018</v>
      </c>
      <c r="F78" s="6">
        <f t="shared" ref="F78" si="57">E78+1</f>
        <v>2019</v>
      </c>
      <c r="G78" s="6">
        <f t="shared" ref="G78" si="58">F78+1</f>
        <v>2020</v>
      </c>
      <c r="H78" s="6">
        <f t="shared" ref="H78" si="59">G78+1</f>
        <v>2021</v>
      </c>
      <c r="I78" s="6">
        <f t="shared" ref="I78" si="60">H78+1</f>
        <v>2022</v>
      </c>
      <c r="J78" s="6">
        <f t="shared" ref="J78" si="61">I78+1</f>
        <v>2023</v>
      </c>
      <c r="K78" s="6">
        <f t="shared" ref="K78" si="62">J78+1</f>
        <v>2024</v>
      </c>
      <c r="L78" s="6">
        <f t="shared" ref="L78" si="63">K78+1</f>
        <v>2025</v>
      </c>
      <c r="M78" s="6">
        <f t="shared" ref="M78" si="64">L78+1</f>
        <v>2026</v>
      </c>
      <c r="N78" s="6">
        <f t="shared" ref="N78" si="65">M78+1</f>
        <v>2027</v>
      </c>
      <c r="O78" s="6">
        <f t="shared" ref="O78" si="66">N78+1</f>
        <v>2028</v>
      </c>
      <c r="P78" s="6">
        <f t="shared" ref="P78" si="67">O78+1</f>
        <v>2029</v>
      </c>
      <c r="Q78" s="6">
        <f t="shared" ref="Q78" si="68">P78+1</f>
        <v>2030</v>
      </c>
      <c r="R78" s="6">
        <f t="shared" ref="R78" si="69">Q78+1</f>
        <v>2031</v>
      </c>
      <c r="S78" s="6">
        <f t="shared" ref="S78" si="70">R78+1</f>
        <v>2032</v>
      </c>
      <c r="T78" s="6">
        <f t="shared" ref="T78" si="71">S78+1</f>
        <v>2033</v>
      </c>
      <c r="U78" s="6">
        <f t="shared" ref="U78" si="72">T78+1</f>
        <v>2034</v>
      </c>
      <c r="V78" s="6" t="s">
        <v>14</v>
      </c>
    </row>
    <row r="79" spans="1:22">
      <c r="A79" s="3" t="s">
        <v>2</v>
      </c>
      <c r="B79" s="54">
        <f>'Scen 1 Budgets'!B60/'Scen 1 MWh Savings'!B24</f>
        <v>56.13661440826224</v>
      </c>
      <c r="C79" s="54">
        <f>'Scen 1 Budgets'!C60/'Scen 1 MWh Savings'!C24</f>
        <v>55.974257185219827</v>
      </c>
      <c r="D79" s="54">
        <f>'Scen 1 Budgets'!D60/'Scen 1 MWh Savings'!D24</f>
        <v>55.653985325875567</v>
      </c>
      <c r="E79" s="54">
        <f>'Scen 1 Budgets'!E60/'Scen 1 MWh Savings'!E24</f>
        <v>55.273214947862229</v>
      </c>
      <c r="F79" s="54">
        <f>'Scen 1 Budgets'!F60/'Scen 1 MWh Savings'!F24</f>
        <v>54.616714931704323</v>
      </c>
      <c r="G79" s="54">
        <f>'Scen 1 Budgets'!G60/'Scen 1 MWh Savings'!G24</f>
        <v>53.666416642355124</v>
      </c>
      <c r="H79" s="54">
        <f>'Scen 1 Budgets'!H60/'Scen 1 MWh Savings'!H24</f>
        <v>52.537662915461837</v>
      </c>
      <c r="I79" s="54">
        <f>'Scen 1 Budgets'!I60/'Scen 1 MWh Savings'!I24</f>
        <v>51.314684972064008</v>
      </c>
      <c r="J79" s="54">
        <f>'Scen 1 Budgets'!J60/'Scen 1 MWh Savings'!J24</f>
        <v>50.159536573257199</v>
      </c>
      <c r="K79" s="54">
        <f>'Scen 1 Budgets'!K60/'Scen 1 MWh Savings'!K24</f>
        <v>49.551380526507437</v>
      </c>
      <c r="L79" s="54">
        <f>'Scen 1 Budgets'!L60/'Scen 1 MWh Savings'!L24</f>
        <v>48.998293710692174</v>
      </c>
      <c r="M79" s="54">
        <f>'Scen 1 Budgets'!M60/'Scen 1 MWh Savings'!M24</f>
        <v>48.463462468293237</v>
      </c>
      <c r="N79" s="54">
        <f>'Scen 1 Budgets'!N60/'Scen 1 MWh Savings'!N24</f>
        <v>47.531161313991284</v>
      </c>
      <c r="O79" s="54">
        <f>'Scen 1 Budgets'!O60/'Scen 1 MWh Savings'!O24</f>
        <v>47.010475093972843</v>
      </c>
      <c r="P79" s="54">
        <f>'Scen 1 Budgets'!P60/'Scen 1 MWh Savings'!P24</f>
        <v>46.506967213109526</v>
      </c>
      <c r="Q79" s="54">
        <f>'Scen 1 Budgets'!Q60/'Scen 1 MWh Savings'!Q24</f>
        <v>46.019902027168278</v>
      </c>
      <c r="R79" s="54">
        <f>'Scen 1 Budgets'!R60/'Scen 1 MWh Savings'!R24</f>
        <v>45.070366644688754</v>
      </c>
      <c r="S79" s="54">
        <f>'Scen 1 Budgets'!S60/'Scen 1 MWh Savings'!S24</f>
        <v>44.599071982035873</v>
      </c>
      <c r="T79" s="54">
        <f>'Scen 1 Budgets'!T60/'Scen 1 MWh Savings'!T24</f>
        <v>44.14313702113364</v>
      </c>
      <c r="U79" s="54">
        <f>'Scen 1 Budgets'!U60/'Scen 1 MWh Savings'!U24</f>
        <v>43.592311352662328</v>
      </c>
      <c r="V79" s="54">
        <f>'Scen 1 Budgets'!V60/'Scen 1 MWh Savings'!V24</f>
        <v>49.491514107156782</v>
      </c>
    </row>
    <row r="80" spans="1:22">
      <c r="A80" s="3" t="s">
        <v>3</v>
      </c>
      <c r="B80" s="54">
        <f>'Scen 1 Budgets'!B61/'Scen 1 MWh Savings'!B25</f>
        <v>114.79558800318944</v>
      </c>
      <c r="C80" s="54">
        <f>'Scen 1 Budgets'!C61/'Scen 1 MWh Savings'!C25</f>
        <v>116.52032161682452</v>
      </c>
      <c r="D80" s="54">
        <f>'Scen 1 Budgets'!D61/'Scen 1 MWh Savings'!D25</f>
        <v>116.05785712713548</v>
      </c>
      <c r="E80" s="54">
        <f>'Scen 1 Budgets'!E61/'Scen 1 MWh Savings'!E25</f>
        <v>116.84601829153996</v>
      </c>
      <c r="F80" s="54">
        <f>'Scen 1 Budgets'!F61/'Scen 1 MWh Savings'!F25</f>
        <v>115.23548754607779</v>
      </c>
      <c r="G80" s="54">
        <f>'Scen 1 Budgets'!G61/'Scen 1 MWh Savings'!G25</f>
        <v>116.94851637717763</v>
      </c>
      <c r="H80" s="54">
        <f>'Scen 1 Budgets'!H61/'Scen 1 MWh Savings'!H25</f>
        <v>118.70867395161955</v>
      </c>
      <c r="I80" s="54">
        <f>'Scen 1 Budgets'!I61/'Scen 1 MWh Savings'!I25</f>
        <v>120.51143775448288</v>
      </c>
      <c r="J80" s="54">
        <f>'Scen 1 Budgets'!J61/'Scen 1 MWh Savings'!J25</f>
        <v>122.36053898864512</v>
      </c>
      <c r="K80" s="54">
        <f>'Scen 1 Budgets'!K61/'Scen 1 MWh Savings'!K25</f>
        <v>120.67441980941517</v>
      </c>
      <c r="L80" s="54">
        <f>'Scen 1 Budgets'!L61/'Scen 1 MWh Savings'!L25</f>
        <v>122.55915253373381</v>
      </c>
      <c r="M80" s="54">
        <f>'Scen 1 Budgets'!M61/'Scen 1 MWh Savings'!M25</f>
        <v>124.48809076150796</v>
      </c>
      <c r="N80" s="54">
        <f>'Scen 1 Budgets'!N61/'Scen 1 MWh Savings'!N25</f>
        <v>126.46404589960329</v>
      </c>
      <c r="O80" s="54">
        <f>'Scen 1 Budgets'!O61/'Scen 1 MWh Savings'!O25</f>
        <v>128.48514998573469</v>
      </c>
      <c r="P80" s="54">
        <f>'Scen 1 Budgets'!P61/'Scen 1 MWh Savings'!P25</f>
        <v>126.67690317094952</v>
      </c>
      <c r="Q80" s="54">
        <f>'Scen 1 Budgets'!Q61/'Scen 1 MWh Savings'!Q25</f>
        <v>128.74010509184961</v>
      </c>
      <c r="R80" s="54">
        <f>'Scen 1 Budgets'!R61/'Scen 1 MWh Savings'!R25</f>
        <v>130.85096197055395</v>
      </c>
      <c r="S80" s="54">
        <f>'Scen 1 Budgets'!S61/'Scen 1 MWh Savings'!S25</f>
        <v>133.0102120062682</v>
      </c>
      <c r="T80" s="54">
        <f>'Scen 1 Budgets'!T61/'Scen 1 MWh Savings'!T25</f>
        <v>135.21871670406605</v>
      </c>
      <c r="U80" s="54">
        <f>'Scen 1 Budgets'!U61/'Scen 1 MWh Savings'!U25</f>
        <v>134.67360294773152</v>
      </c>
      <c r="V80" s="54">
        <f>'Scen 1 Budgets'!V61/'Scen 1 MWh Savings'!V25</f>
        <v>124.87631191733706</v>
      </c>
    </row>
    <row r="81" spans="1:22">
      <c r="A81" s="3" t="s">
        <v>4</v>
      </c>
      <c r="B81" s="56">
        <f>'Scen 1 Budgets'!B62/'Scen 1 MWh Savings'!B26</f>
        <v>65.451579654285567</v>
      </c>
      <c r="C81" s="56">
        <f>'Scen 1 Budgets'!C62/'Scen 1 MWh Savings'!C26</f>
        <v>71.488183186896904</v>
      </c>
      <c r="D81" s="56">
        <f>'Scen 1 Budgets'!D62/'Scen 1 MWh Savings'!D26</f>
        <v>74.9762793684923</v>
      </c>
      <c r="E81" s="56">
        <f>'Scen 1 Budgets'!E62/'Scen 1 MWh Savings'!E26</f>
        <v>77.699227261653618</v>
      </c>
      <c r="F81" s="56">
        <f>'Scen 1 Budgets'!F62/'Scen 1 MWh Savings'!F26</f>
        <v>76.773414045837043</v>
      </c>
      <c r="G81" s="56">
        <f>'Scen 1 Budgets'!G62/'Scen 1 MWh Savings'!G26</f>
        <v>76.841728582819215</v>
      </c>
      <c r="H81" s="56">
        <f>'Scen 1 Budgets'!H62/'Scen 1 MWh Savings'!H26</f>
        <v>76.791835252429692</v>
      </c>
      <c r="I81" s="56">
        <f>'Scen 1 Budgets'!I62/'Scen 1 MWh Savings'!I26</f>
        <v>76.735296672648659</v>
      </c>
      <c r="J81" s="56">
        <f>'Scen 1 Budgets'!J62/'Scen 1 MWh Savings'!J26</f>
        <v>76.750735895688308</v>
      </c>
      <c r="K81" s="56">
        <f>'Scen 1 Budgets'!K62/'Scen 1 MWh Savings'!K26</f>
        <v>75.96892963361492</v>
      </c>
      <c r="L81" s="56">
        <f>'Scen 1 Budgets'!L62/'Scen 1 MWh Savings'!L26</f>
        <v>76.586475866962033</v>
      </c>
      <c r="M81" s="56">
        <f>'Scen 1 Budgets'!M62/'Scen 1 MWh Savings'!M26</f>
        <v>77.270047393873355</v>
      </c>
      <c r="N81" s="56">
        <f>'Scen 1 Budgets'!N62/'Scen 1 MWh Savings'!N26</f>
        <v>77.59572223980993</v>
      </c>
      <c r="O81" s="56">
        <f>'Scen 1 Budgets'!O62/'Scen 1 MWh Savings'!O26</f>
        <v>78.374358532138558</v>
      </c>
      <c r="P81" s="56">
        <f>'Scen 1 Budgets'!P62/'Scen 1 MWh Savings'!P26</f>
        <v>77.679188003645848</v>
      </c>
      <c r="Q81" s="56">
        <f>'Scen 1 Budgets'!Q62/'Scen 1 MWh Savings'!Q26</f>
        <v>78.457581112215877</v>
      </c>
      <c r="R81" s="56">
        <f>'Scen 1 Budgets'!R62/'Scen 1 MWh Savings'!R26</f>
        <v>78.779574099950437</v>
      </c>
      <c r="S81" s="56">
        <f>'Scen 1 Budgets'!S62/'Scen 1 MWh Savings'!S26</f>
        <v>79.632284247822298</v>
      </c>
      <c r="T81" s="56">
        <f>'Scen 1 Budgets'!T62/'Scen 1 MWh Savings'!T26</f>
        <v>80.533704420644341</v>
      </c>
      <c r="U81" s="56">
        <f>'Scen 1 Budgets'!U62/'Scen 1 MWh Savings'!U26</f>
        <v>80.230758413538027</v>
      </c>
      <c r="V81" s="56">
        <f>'Scen 1 Budgets'!V62/'Scen 1 MWh Savings'!V26</f>
        <v>77.128945995343315</v>
      </c>
    </row>
    <row r="82" spans="1:22">
      <c r="A82" s="1"/>
    </row>
    <row r="83" spans="1:22">
      <c r="A83" s="62" t="s">
        <v>28</v>
      </c>
      <c r="B83" s="6"/>
      <c r="C83" s="6"/>
      <c r="D83" s="6"/>
      <c r="E83" s="6"/>
      <c r="F83" s="6"/>
      <c r="G83" s="6"/>
      <c r="H83" s="6"/>
      <c r="I83" s="6"/>
      <c r="J83" s="6"/>
      <c r="K83" s="6"/>
      <c r="L83" s="6"/>
      <c r="M83" s="6"/>
      <c r="N83" s="6"/>
      <c r="O83" s="6"/>
      <c r="P83" s="6"/>
      <c r="Q83" s="6"/>
      <c r="R83" s="6"/>
      <c r="S83" s="6"/>
      <c r="T83" s="6"/>
      <c r="U83" s="6"/>
      <c r="V83" s="6"/>
    </row>
    <row r="84" spans="1:22">
      <c r="A84" s="3" t="s">
        <v>2</v>
      </c>
      <c r="B84" s="54">
        <f>'Scen 1 Budgets'!B70/'Scen 1 MWh Savings'!B24</f>
        <v>112.27322881652448</v>
      </c>
      <c r="C84" s="54">
        <f>'Scen 1 Budgets'!C70/'Scen 1 MWh Savings'!C24</f>
        <v>111.94851437043965</v>
      </c>
      <c r="D84" s="54">
        <f>'Scen 1 Budgets'!D70/'Scen 1 MWh Savings'!D24</f>
        <v>111.30797065175113</v>
      </c>
      <c r="E84" s="54">
        <f>'Scen 1 Budgets'!E70/'Scen 1 MWh Savings'!E24</f>
        <v>110.54642989572446</v>
      </c>
      <c r="F84" s="54">
        <f>'Scen 1 Budgets'!F70/'Scen 1 MWh Savings'!F24</f>
        <v>109.23342986340865</v>
      </c>
      <c r="G84" s="54">
        <f>'Scen 1 Budgets'!G70/'Scen 1 MWh Savings'!G24</f>
        <v>107.33283328471025</v>
      </c>
      <c r="H84" s="54">
        <f>'Scen 1 Budgets'!H70/'Scen 1 MWh Savings'!H24</f>
        <v>105.07532583092367</v>
      </c>
      <c r="I84" s="54">
        <f>'Scen 1 Budgets'!I70/'Scen 1 MWh Savings'!I24</f>
        <v>102.62936994412802</v>
      </c>
      <c r="J84" s="54">
        <f>'Scen 1 Budgets'!J70/'Scen 1 MWh Savings'!J24</f>
        <v>100.3190731465144</v>
      </c>
      <c r="K84" s="54">
        <f>'Scen 1 Budgets'!K70/'Scen 1 MWh Savings'!K24</f>
        <v>99.102761053014873</v>
      </c>
      <c r="L84" s="54">
        <f>'Scen 1 Budgets'!L70/'Scen 1 MWh Savings'!L24</f>
        <v>97.996587421384348</v>
      </c>
      <c r="M84" s="54">
        <f>'Scen 1 Budgets'!M70/'Scen 1 MWh Savings'!M24</f>
        <v>96.926924936586474</v>
      </c>
      <c r="N84" s="54">
        <f>'Scen 1 Budgets'!N70/'Scen 1 MWh Savings'!N24</f>
        <v>95.062322627982567</v>
      </c>
      <c r="O84" s="54">
        <f>'Scen 1 Budgets'!O70/'Scen 1 MWh Savings'!O24</f>
        <v>94.020950187945687</v>
      </c>
      <c r="P84" s="54">
        <f>'Scen 1 Budgets'!P70/'Scen 1 MWh Savings'!P24</f>
        <v>93.013934426219052</v>
      </c>
      <c r="Q84" s="54">
        <f>'Scen 1 Budgets'!Q70/'Scen 1 MWh Savings'!Q24</f>
        <v>92.039804054336557</v>
      </c>
      <c r="R84" s="54">
        <f>'Scen 1 Budgets'!R70/'Scen 1 MWh Savings'!R24</f>
        <v>90.140733289377508</v>
      </c>
      <c r="S84" s="54">
        <f>'Scen 1 Budgets'!S70/'Scen 1 MWh Savings'!S24</f>
        <v>89.198143964071747</v>
      </c>
      <c r="T84" s="54">
        <f>'Scen 1 Budgets'!T70/'Scen 1 MWh Savings'!T24</f>
        <v>88.28627404226728</v>
      </c>
      <c r="U84" s="54">
        <f>'Scen 1 Budgets'!U70/'Scen 1 MWh Savings'!U24</f>
        <v>87.184622705324657</v>
      </c>
      <c r="V84" s="54">
        <f>'Scen 1 Budgets'!V70/'Scen 1 MWh Savings'!V24</f>
        <v>98.983028214313563</v>
      </c>
    </row>
    <row r="85" spans="1:22">
      <c r="A85" s="3" t="s">
        <v>3</v>
      </c>
      <c r="B85" s="54">
        <f>'Scen 1 Budgets'!B71/'Scen 1 MWh Savings'!B25</f>
        <v>264.02985240733568</v>
      </c>
      <c r="C85" s="54">
        <f>'Scen 1 Budgets'!C71/'Scen 1 MWh Savings'!C25</f>
        <v>267.9967397186964</v>
      </c>
      <c r="D85" s="54">
        <f>'Scen 1 Budgets'!D71/'Scen 1 MWh Savings'!D25</f>
        <v>266.93307139241165</v>
      </c>
      <c r="E85" s="54">
        <f>'Scen 1 Budgets'!E71/'Scen 1 MWh Savings'!E25</f>
        <v>268.74584207054193</v>
      </c>
      <c r="F85" s="54">
        <f>'Scen 1 Budgets'!F71/'Scen 1 MWh Savings'!F25</f>
        <v>265.04162135597892</v>
      </c>
      <c r="G85" s="54">
        <f>'Scen 1 Budgets'!G71/'Scen 1 MWh Savings'!G25</f>
        <v>268.98158766750856</v>
      </c>
      <c r="H85" s="54">
        <f>'Scen 1 Budgets'!H71/'Scen 1 MWh Savings'!H25</f>
        <v>273.02995008872495</v>
      </c>
      <c r="I85" s="54">
        <f>'Scen 1 Budgets'!I71/'Scen 1 MWh Savings'!I25</f>
        <v>277.17630683531058</v>
      </c>
      <c r="J85" s="54">
        <f>'Scen 1 Budgets'!J71/'Scen 1 MWh Savings'!J25</f>
        <v>281.42923967388379</v>
      </c>
      <c r="K85" s="54">
        <f>'Scen 1 Budgets'!K71/'Scen 1 MWh Savings'!K25</f>
        <v>277.55116556165484</v>
      </c>
      <c r="L85" s="54">
        <f>'Scen 1 Budgets'!L71/'Scen 1 MWh Savings'!L25</f>
        <v>281.88605082758778</v>
      </c>
      <c r="M85" s="54">
        <f>'Scen 1 Budgets'!M71/'Scen 1 MWh Savings'!M25</f>
        <v>286.32260875146829</v>
      </c>
      <c r="N85" s="54">
        <f>'Scen 1 Budgets'!N71/'Scen 1 MWh Savings'!N25</f>
        <v>290.86730556908759</v>
      </c>
      <c r="O85" s="54">
        <f>'Scen 1 Budgets'!O71/'Scen 1 MWh Savings'!O25</f>
        <v>295.51584496718982</v>
      </c>
      <c r="P85" s="54">
        <f>'Scen 1 Budgets'!P71/'Scen 1 MWh Savings'!P25</f>
        <v>291.35687729318386</v>
      </c>
      <c r="Q85" s="54">
        <f>'Scen 1 Budgets'!Q71/'Scen 1 MWh Savings'!Q25</f>
        <v>296.10224171125412</v>
      </c>
      <c r="R85" s="54">
        <f>'Scen 1 Budgets'!R71/'Scen 1 MWh Savings'!R25</f>
        <v>300.95721253227407</v>
      </c>
      <c r="S85" s="54">
        <f>'Scen 1 Budgets'!S71/'Scen 1 MWh Savings'!S25</f>
        <v>305.9234876144169</v>
      </c>
      <c r="T85" s="54">
        <f>'Scen 1 Budgets'!T71/'Scen 1 MWh Savings'!T25</f>
        <v>311.0030484193519</v>
      </c>
      <c r="U85" s="54">
        <f>'Scen 1 Budgets'!U71/'Scen 1 MWh Savings'!U25</f>
        <v>309.74928677978255</v>
      </c>
      <c r="V85" s="54">
        <f>'Scen 1 Budgets'!V71/'Scen 1 MWh Savings'!V25</f>
        <v>287.21551740987525</v>
      </c>
    </row>
    <row r="86" spans="1:22">
      <c r="A86" s="3" t="s">
        <v>4</v>
      </c>
      <c r="B86" s="56">
        <f>'Scen 1 Budgets'!B72/'Scen 1 MWh Savings'!B26</f>
        <v>136.3719742934569</v>
      </c>
      <c r="C86" s="56">
        <f>'Scen 1 Budgets'!C72/'Scen 1 MWh Savings'!C26</f>
        <v>151.93328701376572</v>
      </c>
      <c r="D86" s="56">
        <f>'Scen 1 Budgets'!D72/'Scen 1 MWh Savings'!D26</f>
        <v>161.09010989634459</v>
      </c>
      <c r="E86" s="56">
        <f>'Scen 1 Budgets'!E72/'Scen 1 MWh Savings'!E26</f>
        <v>168.16573213318384</v>
      </c>
      <c r="F86" s="56">
        <f>'Scen 1 Budgets'!F72/'Scen 1 MWh Savings'!F26</f>
        <v>166.18270596273197</v>
      </c>
      <c r="G86" s="56">
        <f>'Scen 1 Budgets'!G72/'Scen 1 MWh Savings'!G26</f>
        <v>166.53220124669556</v>
      </c>
      <c r="H86" s="56">
        <f>'Scen 1 Budgets'!H72/'Scen 1 MWh Savings'!H26</f>
        <v>166.63703295541455</v>
      </c>
      <c r="I86" s="56">
        <f>'Scen 1 Budgets'!I72/'Scen 1 MWh Savings'!I26</f>
        <v>166.75217524669938</v>
      </c>
      <c r="J86" s="56">
        <f>'Scen 1 Budgets'!J72/'Scen 1 MWh Savings'!J26</f>
        <v>167.02086919279157</v>
      </c>
      <c r="K86" s="56">
        <f>'Scen 1 Budgets'!K72/'Scen 1 MWh Savings'!K26</f>
        <v>165.38465137606923</v>
      </c>
      <c r="L86" s="56">
        <f>'Scen 1 Budgets'!L72/'Scen 1 MWh Savings'!L26</f>
        <v>166.96228594963455</v>
      </c>
      <c r="M86" s="56">
        <f>'Scen 1 Budgets'!M72/'Scen 1 MWh Savings'!M26</f>
        <v>168.69107522364092</v>
      </c>
      <c r="N86" s="56">
        <f>'Scen 1 Budgets'!N72/'Scen 1 MWh Savings'!N26</f>
        <v>169.64202245925904</v>
      </c>
      <c r="O86" s="56">
        <f>'Scen 1 Budgets'!O72/'Scen 1 MWh Savings'!O26</f>
        <v>171.58692270194805</v>
      </c>
      <c r="P86" s="56">
        <f>'Scen 1 Budgets'!P72/'Scen 1 MWh Savings'!P26</f>
        <v>170.13498901387871</v>
      </c>
      <c r="Q86" s="56">
        <f>'Scen 1 Budgets'!Q72/'Scen 1 MWh Savings'!Q26</f>
        <v>172.06030232187334</v>
      </c>
      <c r="R86" s="56">
        <f>'Scen 1 Budgets'!R72/'Scen 1 MWh Savings'!R26</f>
        <v>172.98530211978149</v>
      </c>
      <c r="S86" s="56">
        <f>'Scen 1 Budgets'!S72/'Scen 1 MWh Savings'!S26</f>
        <v>175.07629195986755</v>
      </c>
      <c r="T86" s="56">
        <f>'Scen 1 Budgets'!T72/'Scen 1 MWh Savings'!T26</f>
        <v>177.27598804888322</v>
      </c>
      <c r="U86" s="56">
        <f>'Scen 1 Budgets'!U72/'Scen 1 MWh Savings'!U26</f>
        <v>176.71369634392309</v>
      </c>
      <c r="V86" s="56">
        <f>'Scen 1 Budgets'!V72/'Scen 1 MWh Savings'!V26</f>
        <v>167.99246712513343</v>
      </c>
    </row>
    <row r="87" spans="1:22">
      <c r="A87" s="1"/>
    </row>
    <row r="88" spans="1:22">
      <c r="A88" s="62" t="s">
        <v>29</v>
      </c>
      <c r="B88" s="6"/>
      <c r="C88" s="6"/>
      <c r="D88" s="6"/>
      <c r="E88" s="6"/>
      <c r="F88" s="6"/>
      <c r="G88" s="6"/>
      <c r="H88" s="6"/>
      <c r="I88" s="6"/>
      <c r="J88" s="6"/>
      <c r="K88" s="6"/>
      <c r="L88" s="6"/>
      <c r="M88" s="6"/>
      <c r="N88" s="6"/>
      <c r="O88" s="6"/>
      <c r="P88" s="6"/>
      <c r="Q88" s="6"/>
      <c r="R88" s="6"/>
      <c r="S88" s="6"/>
      <c r="T88" s="6"/>
      <c r="U88" s="6"/>
      <c r="V88" s="6"/>
    </row>
    <row r="89" spans="1:22">
      <c r="A89" s="3" t="s">
        <v>2</v>
      </c>
      <c r="B89" s="64">
        <f>'Scen 1 MWh Savings'!B24/('Scen 1 Summer &amp; Winter MW'!B43*1000)</f>
        <v>8.670029468241113</v>
      </c>
      <c r="C89" s="64">
        <f>'Scen 1 MWh Savings'!C24/('Scen 1 Summer &amp; Winter MW'!C43*1000)</f>
        <v>8.6700294682411112</v>
      </c>
      <c r="D89" s="64">
        <f>'Scen 1 MWh Savings'!D24/('Scen 1 Summer &amp; Winter MW'!D43*1000)</f>
        <v>8.670029468241113</v>
      </c>
      <c r="E89" s="64">
        <f>'Scen 1 MWh Savings'!E24/('Scen 1 Summer &amp; Winter MW'!E43*1000)</f>
        <v>8.6700294682411112</v>
      </c>
      <c r="F89" s="64">
        <f>'Scen 1 MWh Savings'!F24/('Scen 1 Summer &amp; Winter MW'!F43*1000)</f>
        <v>8.670029468241113</v>
      </c>
      <c r="G89" s="64">
        <f>'Scen 1 MWh Savings'!G24/('Scen 1 Summer &amp; Winter MW'!G43*1000)</f>
        <v>8.670029468241113</v>
      </c>
      <c r="H89" s="64">
        <f>'Scen 1 MWh Savings'!H24/('Scen 1 Summer &amp; Winter MW'!H43*1000)</f>
        <v>8.670029468241113</v>
      </c>
      <c r="I89" s="64">
        <f>'Scen 1 MWh Savings'!I24/('Scen 1 Summer &amp; Winter MW'!I43*1000)</f>
        <v>8.670029468241113</v>
      </c>
      <c r="J89" s="64">
        <f>'Scen 1 MWh Savings'!J24/('Scen 1 Summer &amp; Winter MW'!J43*1000)</f>
        <v>8.670029468241113</v>
      </c>
      <c r="K89" s="64">
        <f>'Scen 1 MWh Savings'!K24/('Scen 1 Summer &amp; Winter MW'!K43*1000)</f>
        <v>8.670029468241113</v>
      </c>
      <c r="L89" s="64">
        <f>'Scen 1 MWh Savings'!L24/('Scen 1 Summer &amp; Winter MW'!L43*1000)</f>
        <v>8.670029468241113</v>
      </c>
      <c r="M89" s="64">
        <f>'Scen 1 MWh Savings'!M24/('Scen 1 Summer &amp; Winter MW'!M43*1000)</f>
        <v>8.670029468241113</v>
      </c>
      <c r="N89" s="64">
        <f>'Scen 1 MWh Savings'!N24/('Scen 1 Summer &amp; Winter MW'!N43*1000)</f>
        <v>8.670029468241113</v>
      </c>
      <c r="O89" s="64">
        <f>'Scen 1 MWh Savings'!O24/('Scen 1 Summer &amp; Winter MW'!O43*1000)</f>
        <v>8.670029468241113</v>
      </c>
      <c r="P89" s="64">
        <f>'Scen 1 MWh Savings'!P24/('Scen 1 Summer &amp; Winter MW'!P43*1000)</f>
        <v>8.6700294682411148</v>
      </c>
      <c r="Q89" s="64">
        <f>'Scen 1 MWh Savings'!Q24/('Scen 1 Summer &amp; Winter MW'!Q43*1000)</f>
        <v>8.670029468241113</v>
      </c>
      <c r="R89" s="64">
        <f>'Scen 1 MWh Savings'!R24/('Scen 1 Summer &amp; Winter MW'!R43*1000)</f>
        <v>8.670029468241113</v>
      </c>
      <c r="S89" s="64">
        <f>'Scen 1 MWh Savings'!S24/('Scen 1 Summer &amp; Winter MW'!S43*1000)</f>
        <v>8.6700294682411112</v>
      </c>
      <c r="T89" s="64">
        <f>'Scen 1 MWh Savings'!T24/('Scen 1 Summer &amp; Winter MW'!T43*1000)</f>
        <v>8.670029468241113</v>
      </c>
      <c r="U89" s="64">
        <f>'Scen 1 MWh Savings'!U24/('Scen 1 Summer &amp; Winter MW'!U43*1000)</f>
        <v>8.670029468241113</v>
      </c>
      <c r="V89" s="64">
        <f>'Scen 1 MWh Savings'!V24/('Scen 1 Summer &amp; Winter MW'!V43*1000)</f>
        <v>8.670029468241113</v>
      </c>
    </row>
    <row r="90" spans="1:22">
      <c r="A90" s="3" t="s">
        <v>3</v>
      </c>
      <c r="B90" s="64">
        <f>'Scen 1 MWh Savings'!B25/('Scen 1 Summer &amp; Winter MW'!B44*1000)</f>
        <v>6.0619148191317542</v>
      </c>
      <c r="C90" s="64">
        <f>'Scen 1 MWh Savings'!C25/('Scen 1 Summer &amp; Winter MW'!C44*1000)</f>
        <v>6.0822446424788854</v>
      </c>
      <c r="D90" s="64">
        <f>'Scen 1 MWh Savings'!D25/('Scen 1 Summer &amp; Winter MW'!D44*1000)</f>
        <v>6.1047552323498602</v>
      </c>
      <c r="E90" s="64">
        <f>'Scen 1 MWh Savings'!E25/('Scen 1 Summer &amp; Winter MW'!E44*1000)</f>
        <v>6.1204550557691011</v>
      </c>
      <c r="F90" s="64">
        <f>'Scen 1 MWh Savings'!F25/('Scen 1 Summer &amp; Winter MW'!F44*1000)</f>
        <v>6.1423188902788883</v>
      </c>
      <c r="G90" s="64">
        <f>'Scen 1 MWh Savings'!G25/('Scen 1 Summer &amp; Winter MW'!G44*1000)</f>
        <v>6.1634063268943642</v>
      </c>
      <c r="H90" s="64">
        <f>'Scen 1 MWh Savings'!H25/('Scen 1 Summer &amp; Winter MW'!H44*1000)</f>
        <v>6.183791742642045</v>
      </c>
      <c r="I90" s="64">
        <f>'Scen 1 MWh Savings'!I25/('Scen 1 Summer &amp; Winter MW'!I44*1000)</f>
        <v>6.2036687250248583</v>
      </c>
      <c r="J90" s="64">
        <f>'Scen 1 MWh Savings'!J25/('Scen 1 Summer &amp; Winter MW'!J44*1000)</f>
        <v>6.2229489804333147</v>
      </c>
      <c r="K90" s="64">
        <f>'Scen 1 MWh Savings'!K25/('Scen 1 Summer &amp; Winter MW'!K44*1000)</f>
        <v>6.2416956471054155</v>
      </c>
      <c r="L90" s="64">
        <f>'Scen 1 MWh Savings'!L25/('Scen 1 Summer &amp; Winter MW'!L44*1000)</f>
        <v>6.2599340436198823</v>
      </c>
      <c r="M90" s="64">
        <f>'Scen 1 MWh Savings'!M25/('Scen 1 Summer &amp; Winter MW'!M44*1000)</f>
        <v>6.2777155090492682</v>
      </c>
      <c r="N90" s="64">
        <f>'Scen 1 MWh Savings'!N25/('Scen 1 Summer &amp; Winter MW'!N44*1000)</f>
        <v>6.2949842722048341</v>
      </c>
      <c r="O90" s="64">
        <f>'Scen 1 MWh Savings'!O25/('Scen 1 Summer &amp; Winter MW'!O44*1000)</f>
        <v>6.3118382769302608</v>
      </c>
      <c r="P90" s="64">
        <f>'Scen 1 MWh Savings'!P25/('Scen 1 Summer &amp; Winter MW'!P44*1000)</f>
        <v>6.328131655009738</v>
      </c>
      <c r="Q90" s="64">
        <f>'Scen 1 MWh Savings'!Q25/('Scen 1 Summer &amp; Winter MW'!Q44*1000)</f>
        <v>6.3437991827512619</v>
      </c>
      <c r="R90" s="64">
        <f>'Scen 1 MWh Savings'!R25/('Scen 1 Summer &amp; Winter MW'!R44*1000)</f>
        <v>6.3590458373682432</v>
      </c>
      <c r="S90" s="64">
        <f>'Scen 1 MWh Savings'!S25/('Scen 1 Summer &amp; Winter MW'!S44*1000)</f>
        <v>6.3738850819951418</v>
      </c>
      <c r="T90" s="64">
        <f>'Scen 1 MWh Savings'!T25/('Scen 1 Summer &amp; Winter MW'!T44*1000)</f>
        <v>6.3883274497314293</v>
      </c>
      <c r="U90" s="64">
        <f>'Scen 1 MWh Savings'!U25/('Scen 1 Summer &amp; Winter MW'!U44*1000)</f>
        <v>6.402408385900709</v>
      </c>
      <c r="V90" s="64">
        <f>'Scen 1 MWh Savings'!V25/('Scen 1 Summer &amp; Winter MW'!V44*1000)</f>
        <v>6.2660950840682483</v>
      </c>
    </row>
    <row r="91" spans="1:22">
      <c r="A91" s="3" t="s">
        <v>4</v>
      </c>
      <c r="B91" s="65">
        <f>'Scen 1 MWh Savings'!B26/('Scen 1 Summer &amp; Winter MW'!B45*1000)</f>
        <v>8.1155546406713821</v>
      </c>
      <c r="C91" s="65">
        <f>'Scen 1 MWh Savings'!C26/('Scen 1 Summer &amp; Winter MW'!C45*1000)</f>
        <v>7.8177503074038786</v>
      </c>
      <c r="D91" s="65">
        <f>'Scen 1 MWh Savings'!D26/('Scen 1 Summer &amp; Winter MW'!D45*1000)</f>
        <v>7.6427072564757594</v>
      </c>
      <c r="E91" s="65">
        <f>'Scen 1 MWh Savings'!E26/('Scen 1 Summer &amp; Winter MW'!E45*1000)</f>
        <v>7.527887184506687</v>
      </c>
      <c r="F91" s="65">
        <f>'Scen 1 MWh Savings'!F26/('Scen 1 Summer &amp; Winter MW'!F45*1000)</f>
        <v>7.5364323971481761</v>
      </c>
      <c r="G91" s="65">
        <f>'Scen 1 MWh Savings'!G26/('Scen 1 Summer &amp; Winter MW'!G45*1000)</f>
        <v>7.5461079948945615</v>
      </c>
      <c r="H91" s="65">
        <f>'Scen 1 MWh Savings'!H26/('Scen 1 Summer &amp; Winter MW'!H45*1000)</f>
        <v>7.5564431082686738</v>
      </c>
      <c r="I91" s="65">
        <f>'Scen 1 MWh Savings'!I26/('Scen 1 Summer &amp; Winter MW'!I45*1000)</f>
        <v>7.5651257518348949</v>
      </c>
      <c r="J91" s="65">
        <f>'Scen 1 MWh Savings'!J26/('Scen 1 Summer &amp; Winter MW'!J45*1000)</f>
        <v>7.573228616119855</v>
      </c>
      <c r="K91" s="65">
        <f>'Scen 1 MWh Savings'!K26/('Scen 1 Summer &amp; Winter MW'!K45*1000)</f>
        <v>7.5753417466148658</v>
      </c>
      <c r="L91" s="65">
        <f>'Scen 1 MWh Savings'!L26/('Scen 1 Summer &amp; Winter MW'!L45*1000)</f>
        <v>7.5761062693043399</v>
      </c>
      <c r="M91" s="65">
        <f>'Scen 1 MWh Savings'!M26/('Scen 1 Summer &amp; Winter MW'!M45*1000)</f>
        <v>7.5760771304191294</v>
      </c>
      <c r="N91" s="65">
        <f>'Scen 1 MWh Savings'!N26/('Scen 1 Summer &amp; Winter MW'!N45*1000)</f>
        <v>7.5806469727202792</v>
      </c>
      <c r="O91" s="65">
        <f>'Scen 1 MWh Savings'!O26/('Scen 1 Summer &amp; Winter MW'!O45*1000)</f>
        <v>7.5798654546775612</v>
      </c>
      <c r="P91" s="65">
        <f>'Scen 1 MWh Savings'!P26/('Scen 1 Summer &amp; Winter MW'!P45*1000)</f>
        <v>7.5793862973789787</v>
      </c>
      <c r="Q91" s="65">
        <f>'Scen 1 MWh Savings'!Q26/('Scen 1 Summer &amp; Winter MW'!Q45*1000)</f>
        <v>7.5800605037790421</v>
      </c>
      <c r="R91" s="65">
        <f>'Scen 1 MWh Savings'!R26/('Scen 1 Summer &amp; Winter MW'!R45*1000)</f>
        <v>7.5865761126935638</v>
      </c>
      <c r="S91" s="65">
        <f>'Scen 1 MWh Savings'!S26/('Scen 1 Summer &amp; Winter MW'!S45*1000)</f>
        <v>7.5870049206096946</v>
      </c>
      <c r="T91" s="65">
        <f>'Scen 1 MWh Savings'!T26/('Scen 1 Summer &amp; Winter MW'!T45*1000)</f>
        <v>7.5872434044162151</v>
      </c>
      <c r="U91" s="65">
        <f>'Scen 1 MWh Savings'!U26/('Scen 1 Summer &amp; Winter MW'!U45*1000)</f>
        <v>7.5888213031304126</v>
      </c>
      <c r="V91" s="65">
        <f>'Scen 1 MWh Savings'!V26/('Scen 1 Summer &amp; Winter MW'!V45*1000)</f>
        <v>7.6009555543761289</v>
      </c>
    </row>
    <row r="92" spans="1:22">
      <c r="A92" s="1"/>
      <c r="B92" s="64"/>
      <c r="C92" s="64"/>
      <c r="D92" s="64"/>
      <c r="E92" s="64"/>
      <c r="F92" s="64"/>
      <c r="G92" s="64"/>
      <c r="H92" s="64"/>
      <c r="I92" s="64"/>
      <c r="J92" s="64"/>
      <c r="K92" s="64"/>
      <c r="L92" s="64"/>
      <c r="M92" s="64"/>
      <c r="N92" s="64"/>
      <c r="O92" s="64"/>
      <c r="P92" s="64"/>
      <c r="Q92" s="64"/>
      <c r="R92" s="64"/>
      <c r="S92" s="64"/>
      <c r="T92" s="64"/>
      <c r="U92" s="64"/>
      <c r="V92" s="64"/>
    </row>
    <row r="93" spans="1:22">
      <c r="A93" s="62" t="s">
        <v>30</v>
      </c>
      <c r="B93" s="66"/>
      <c r="C93" s="66"/>
      <c r="D93" s="66"/>
      <c r="E93" s="66"/>
      <c r="F93" s="66"/>
      <c r="G93" s="66"/>
      <c r="H93" s="66"/>
      <c r="I93" s="66"/>
      <c r="J93" s="66"/>
      <c r="K93" s="66"/>
      <c r="L93" s="66"/>
      <c r="M93" s="66"/>
      <c r="N93" s="66"/>
      <c r="O93" s="66"/>
      <c r="P93" s="66"/>
      <c r="Q93" s="66"/>
      <c r="R93" s="66"/>
      <c r="S93" s="66"/>
      <c r="T93" s="66"/>
      <c r="U93" s="66"/>
      <c r="V93" s="66"/>
    </row>
    <row r="94" spans="1:22">
      <c r="A94" s="3" t="s">
        <v>2</v>
      </c>
      <c r="B94" s="64">
        <f>'Scen 1 MWh Savings'!B24/('Scen 1 Summer &amp; Winter MW'!B48*1000)</f>
        <v>8.670029468241113</v>
      </c>
      <c r="C94" s="64">
        <f>'Scen 1 MWh Savings'!C24/('Scen 1 Summer &amp; Winter MW'!C48*1000)</f>
        <v>8.6700294682411112</v>
      </c>
      <c r="D94" s="64">
        <f>'Scen 1 MWh Savings'!D24/('Scen 1 Summer &amp; Winter MW'!D48*1000)</f>
        <v>8.670029468241113</v>
      </c>
      <c r="E94" s="64">
        <f>'Scen 1 MWh Savings'!E24/('Scen 1 Summer &amp; Winter MW'!E48*1000)</f>
        <v>8.6700294682411112</v>
      </c>
      <c r="F94" s="64">
        <f>'Scen 1 MWh Savings'!F24/('Scen 1 Summer &amp; Winter MW'!F48*1000)</f>
        <v>8.670029468241113</v>
      </c>
      <c r="G94" s="64">
        <f>'Scen 1 MWh Savings'!G24/('Scen 1 Summer &amp; Winter MW'!G48*1000)</f>
        <v>8.670029468241113</v>
      </c>
      <c r="H94" s="64">
        <f>'Scen 1 MWh Savings'!H24/('Scen 1 Summer &amp; Winter MW'!H48*1000)</f>
        <v>8.670029468241113</v>
      </c>
      <c r="I94" s="64">
        <f>'Scen 1 MWh Savings'!I24/('Scen 1 Summer &amp; Winter MW'!I48*1000)</f>
        <v>8.670029468241113</v>
      </c>
      <c r="J94" s="64">
        <f>'Scen 1 MWh Savings'!J24/('Scen 1 Summer &amp; Winter MW'!J48*1000)</f>
        <v>8.670029468241113</v>
      </c>
      <c r="K94" s="64">
        <f>'Scen 1 MWh Savings'!K24/('Scen 1 Summer &amp; Winter MW'!K48*1000)</f>
        <v>8.670029468241113</v>
      </c>
      <c r="L94" s="64">
        <f>'Scen 1 MWh Savings'!L24/('Scen 1 Summer &amp; Winter MW'!L48*1000)</f>
        <v>8.670029468241113</v>
      </c>
      <c r="M94" s="64">
        <f>'Scen 1 MWh Savings'!M24/('Scen 1 Summer &amp; Winter MW'!M48*1000)</f>
        <v>8.670029468241113</v>
      </c>
      <c r="N94" s="64">
        <f>'Scen 1 MWh Savings'!N24/('Scen 1 Summer &amp; Winter MW'!N48*1000)</f>
        <v>8.670029468241113</v>
      </c>
      <c r="O94" s="64">
        <f>'Scen 1 MWh Savings'!O24/('Scen 1 Summer &amp; Winter MW'!O48*1000)</f>
        <v>8.670029468241113</v>
      </c>
      <c r="P94" s="64">
        <f>'Scen 1 MWh Savings'!P24/('Scen 1 Summer &amp; Winter MW'!P48*1000)</f>
        <v>8.6700294682411148</v>
      </c>
      <c r="Q94" s="64">
        <f>'Scen 1 MWh Savings'!Q24/('Scen 1 Summer &amp; Winter MW'!Q48*1000)</f>
        <v>8.670029468241113</v>
      </c>
      <c r="R94" s="64">
        <f>'Scen 1 MWh Savings'!R24/('Scen 1 Summer &amp; Winter MW'!R48*1000)</f>
        <v>8.670029468241113</v>
      </c>
      <c r="S94" s="64">
        <f>'Scen 1 MWh Savings'!S24/('Scen 1 Summer &amp; Winter MW'!S48*1000)</f>
        <v>8.6700294682411112</v>
      </c>
      <c r="T94" s="64">
        <f>'Scen 1 MWh Savings'!T24/('Scen 1 Summer &amp; Winter MW'!T48*1000)</f>
        <v>8.670029468241113</v>
      </c>
      <c r="U94" s="64">
        <f>'Scen 1 MWh Savings'!U24/('Scen 1 Summer &amp; Winter MW'!U48*1000)</f>
        <v>8.670029468241113</v>
      </c>
      <c r="V94" s="64">
        <f>'Scen 1 MWh Savings'!V24/('Scen 1 Summer &amp; Winter MW'!V48*1000)</f>
        <v>8.670029468241113</v>
      </c>
    </row>
    <row r="95" spans="1:22">
      <c r="A95" s="3" t="s">
        <v>3</v>
      </c>
      <c r="B95" s="64">
        <f>'Scen 1 MWh Savings'!B25/('Scen 1 Summer &amp; Winter MW'!B49*1000)</f>
        <v>6.6061426015366971</v>
      </c>
      <c r="C95" s="64">
        <f>'Scen 1 MWh Savings'!C25/('Scen 1 Summer &amp; Winter MW'!C49*1000)</f>
        <v>6.592671966403298</v>
      </c>
      <c r="D95" s="64">
        <f>'Scen 1 MWh Savings'!D25/('Scen 1 Summer &amp; Winter MW'!D49*1000)</f>
        <v>6.577924281736756</v>
      </c>
      <c r="E95" s="64">
        <f>'Scen 1 MWh Savings'!E25/('Scen 1 Summer &amp; Winter MW'!E49*1000)</f>
        <v>6.5677414986932661</v>
      </c>
      <c r="F95" s="64">
        <f>'Scen 1 MWh Savings'!F25/('Scen 1 Summer &amp; Winter MW'!F49*1000)</f>
        <v>6.5536994136569122</v>
      </c>
      <c r="G95" s="64">
        <f>'Scen 1 MWh Savings'!G25/('Scen 1 Summer &amp; Winter MW'!G49*1000)</f>
        <v>6.5403065322505016</v>
      </c>
      <c r="H95" s="64">
        <f>'Scen 1 MWh Savings'!H25/('Scen 1 Summer &amp; Winter MW'!H49*1000)</f>
        <v>6.5274977594044303</v>
      </c>
      <c r="I95" s="64">
        <f>'Scen 1 MWh Savings'!I25/('Scen 1 Summer &amp; Winter MW'!I49*1000)</f>
        <v>6.5151372584851686</v>
      </c>
      <c r="J95" s="64">
        <f>'Scen 1 MWh Savings'!J25/('Scen 1 Summer &amp; Winter MW'!J49*1000)</f>
        <v>6.5032674994467197</v>
      </c>
      <c r="K95" s="64">
        <f>'Scen 1 MWh Savings'!K25/('Scen 1 Summer &amp; Winter MW'!K49*1000)</f>
        <v>6.4918375775314194</v>
      </c>
      <c r="L95" s="64">
        <f>'Scen 1 MWh Savings'!L25/('Scen 1 Summer &amp; Winter MW'!L49*1000)</f>
        <v>6.4808214037688137</v>
      </c>
      <c r="M95" s="64">
        <f>'Scen 1 MWh Savings'!M25/('Scen 1 Summer &amp; Winter MW'!M49*1000)</f>
        <v>6.4701784727719405</v>
      </c>
      <c r="N95" s="64">
        <f>'Scen 1 MWh Savings'!N25/('Scen 1 Summer &amp; Winter MW'!N49*1000)</f>
        <v>6.4599330943438815</v>
      </c>
      <c r="O95" s="64">
        <f>'Scen 1 MWh Savings'!O25/('Scen 1 Summer &amp; Winter MW'!O49*1000)</f>
        <v>6.450018832774969</v>
      </c>
      <c r="P95" s="64">
        <f>'Scen 1 MWh Savings'!P25/('Scen 1 Summer &amp; Winter MW'!P49*1000)</f>
        <v>6.4405132226811217</v>
      </c>
      <c r="Q95" s="64">
        <f>'Scen 1 MWh Savings'!Q25/('Scen 1 Summer &amp; Winter MW'!Q49*1000)</f>
        <v>6.4314449755919778</v>
      </c>
      <c r="R95" s="64">
        <f>'Scen 1 MWh Savings'!R25/('Scen 1 Summer &amp; Winter MW'!R49*1000)</f>
        <v>6.4226875329146935</v>
      </c>
      <c r="S95" s="64">
        <f>'Scen 1 MWh Savings'!S25/('Scen 1 Summer &amp; Winter MW'!S49*1000)</f>
        <v>6.4142270431786601</v>
      </c>
      <c r="T95" s="64">
        <f>'Scen 1 MWh Savings'!T25/('Scen 1 Summer &amp; Winter MW'!T49*1000)</f>
        <v>6.4060518025104995</v>
      </c>
      <c r="U95" s="64">
        <f>'Scen 1 MWh Savings'!U25/('Scen 1 Summer &amp; Winter MW'!U49*1000)</f>
        <v>6.3981365693732357</v>
      </c>
      <c r="V95" s="64">
        <f>'Scen 1 MWh Savings'!V25/('Scen 1 Summer &amp; Winter MW'!V49*1000)</f>
        <v>6.4771229662317626</v>
      </c>
    </row>
    <row r="96" spans="1:22">
      <c r="A96" s="3" t="s">
        <v>4</v>
      </c>
      <c r="B96" s="65">
        <f>'Scen 1 MWh Savings'!B26/('Scen 1 Summer &amp; Winter MW'!B50*1000)</f>
        <v>8.2602250804606907</v>
      </c>
      <c r="C96" s="65">
        <f>'Scen 1 MWh Savings'!C26/('Scen 1 Summer &amp; Winter MW'!C50*1000)</f>
        <v>8.0223126744249864</v>
      </c>
      <c r="D96" s="65">
        <f>'Scen 1 MWh Savings'!D26/('Scen 1 Summer &amp; Winter MW'!D50*1000)</f>
        <v>7.8694023327490354</v>
      </c>
      <c r="E96" s="65">
        <f>'Scen 1 MWh Savings'!E26/('Scen 1 Summer &amp; Winter MW'!E50*1000)</f>
        <v>7.7647797006802959</v>
      </c>
      <c r="F96" s="65">
        <f>'Scen 1 MWh Savings'!F26/('Scen 1 Summer &amp; Winter MW'!F50*1000)</f>
        <v>7.7547332541897784</v>
      </c>
      <c r="G96" s="65">
        <f>'Scen 1 MWh Savings'!G26/('Scen 1 Summer &amp; Winter MW'!G50*1000)</f>
        <v>7.7462634627364801</v>
      </c>
      <c r="H96" s="65">
        <f>'Scen 1 MWh Savings'!H26/('Scen 1 Summer &amp; Winter MW'!H50*1000)</f>
        <v>7.7389605129936978</v>
      </c>
      <c r="I96" s="65">
        <f>'Scen 1 MWh Savings'!I26/('Scen 1 Summer &amp; Winter MW'!I50*1000)</f>
        <v>7.7306939505287371</v>
      </c>
      <c r="J96" s="65">
        <f>'Scen 1 MWh Savings'!J26/('Scen 1 Summer &amp; Winter MW'!J50*1000)</f>
        <v>7.7224232831095057</v>
      </c>
      <c r="K96" s="65">
        <f>'Scen 1 MWh Savings'!K26/('Scen 1 Summer &amp; Winter MW'!K50*1000)</f>
        <v>7.7092517239435523</v>
      </c>
      <c r="L96" s="65">
        <f>'Scen 1 MWh Savings'!L26/('Scen 1 Summer &amp; Winter MW'!L50*1000)</f>
        <v>7.695151104452413</v>
      </c>
      <c r="M96" s="65">
        <f>'Scen 1 MWh Savings'!M26/('Scen 1 Summer &amp; Winter MW'!M50*1000)</f>
        <v>7.6805499834494215</v>
      </c>
      <c r="N96" s="65">
        <f>'Scen 1 MWh Savings'!N26/('Scen 1 Summer &amp; Winter MW'!N50*1000)</f>
        <v>7.6704833948044762</v>
      </c>
      <c r="O96" s="65">
        <f>'Scen 1 MWh Savings'!O26/('Scen 1 Summer &amp; Winter MW'!O50*1000)</f>
        <v>7.6556852930000403</v>
      </c>
      <c r="P96" s="65">
        <f>'Scen 1 MWh Savings'!P26/('Scen 1 Summer &amp; Winter MW'!P50*1000)</f>
        <v>7.6414827787116897</v>
      </c>
      <c r="Q96" s="65">
        <f>'Scen 1 MWh Savings'!Q26/('Scen 1 Summer &amp; Winter MW'!Q50*1000)</f>
        <v>7.6287728023814108</v>
      </c>
      <c r="R96" s="65">
        <f>'Scen 1 MWh Savings'!R26/('Scen 1 Summer &amp; Winter MW'!R50*1000)</f>
        <v>7.6219845173358154</v>
      </c>
      <c r="S96" s="65">
        <f>'Scen 1 MWh Savings'!S26/('Scen 1 Summer &amp; Winter MW'!S50*1000)</f>
        <v>7.60957912340821</v>
      </c>
      <c r="T96" s="65">
        <f>'Scen 1 MWh Savings'!T26/('Scen 1 Summer &amp; Winter MW'!T50*1000)</f>
        <v>7.597218528088975</v>
      </c>
      <c r="U96" s="65">
        <f>'Scen 1 MWh Savings'!U26/('Scen 1 Summer &amp; Winter MW'!U50*1000)</f>
        <v>7.5864062092944131</v>
      </c>
      <c r="V96" s="65">
        <f>'Scen 1 MWh Savings'!V26/('Scen 1 Summer &amp; Winter MW'!V50*1000)</f>
        <v>7.7127060874261595</v>
      </c>
    </row>
  </sheetData>
  <pageMargins left="0.7" right="0.7" top="0.75" bottom="0.75" header="0.3" footer="0.3"/>
  <pageSetup orientation="portrait"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A1:V33"/>
  <sheetViews>
    <sheetView topLeftCell="D1" workbookViewId="0">
      <pane ySplit="1" topLeftCell="A5" activePane="bottomLeft" state="frozen"/>
      <selection activeCell="I35" sqref="I35"/>
      <selection pane="bottomLeft" activeCell="B26" sqref="B26:U26"/>
    </sheetView>
  </sheetViews>
  <sheetFormatPr defaultRowHeight="15"/>
  <cols>
    <col min="1" max="1" width="37.85546875" customWidth="1"/>
  </cols>
  <sheetData>
    <row r="1" spans="1:22" ht="15.75">
      <c r="A1" s="7" t="s">
        <v>39</v>
      </c>
    </row>
    <row r="2" spans="1:22" ht="15.75">
      <c r="A2" s="7"/>
    </row>
    <row r="3" spans="1:22" ht="15.75">
      <c r="A3" s="7" t="s">
        <v>26</v>
      </c>
    </row>
    <row r="4" spans="1:22">
      <c r="A4" s="5" t="s">
        <v>18</v>
      </c>
      <c r="B4" s="6">
        <v>2015</v>
      </c>
      <c r="C4" s="6">
        <f>B4+1</f>
        <v>2016</v>
      </c>
      <c r="D4" s="6">
        <f t="shared" ref="D4:U4" si="0">C4+1</f>
        <v>2017</v>
      </c>
      <c r="E4" s="6">
        <f t="shared" si="0"/>
        <v>2018</v>
      </c>
      <c r="F4" s="6">
        <f t="shared" si="0"/>
        <v>2019</v>
      </c>
      <c r="G4" s="6">
        <f t="shared" si="0"/>
        <v>2020</v>
      </c>
      <c r="H4" s="6">
        <f t="shared" si="0"/>
        <v>2021</v>
      </c>
      <c r="I4" s="6">
        <f t="shared" si="0"/>
        <v>2022</v>
      </c>
      <c r="J4" s="6">
        <f t="shared" si="0"/>
        <v>2023</v>
      </c>
      <c r="K4" s="6">
        <f t="shared" si="0"/>
        <v>2024</v>
      </c>
      <c r="L4" s="6">
        <f t="shared" si="0"/>
        <v>2025</v>
      </c>
      <c r="M4" s="6">
        <f t="shared" si="0"/>
        <v>2026</v>
      </c>
      <c r="N4" s="6">
        <f t="shared" si="0"/>
        <v>2027</v>
      </c>
      <c r="O4" s="6">
        <f t="shared" si="0"/>
        <v>2028</v>
      </c>
      <c r="P4" s="6">
        <f t="shared" si="0"/>
        <v>2029</v>
      </c>
      <c r="Q4" s="6">
        <f t="shared" si="0"/>
        <v>2030</v>
      </c>
      <c r="R4" s="6">
        <f t="shared" si="0"/>
        <v>2031</v>
      </c>
      <c r="S4" s="6">
        <f t="shared" si="0"/>
        <v>2032</v>
      </c>
      <c r="T4" s="6">
        <f t="shared" si="0"/>
        <v>2033</v>
      </c>
      <c r="U4" s="6">
        <f t="shared" si="0"/>
        <v>2034</v>
      </c>
      <c r="V4" s="6" t="s">
        <v>14</v>
      </c>
    </row>
    <row r="5" spans="1:22">
      <c r="A5" s="50" t="s">
        <v>2</v>
      </c>
    </row>
    <row r="6" spans="1:22">
      <c r="A6" s="9" t="s">
        <v>8</v>
      </c>
      <c r="B6" s="11">
        <v>935.64597666657164</v>
      </c>
      <c r="C6" s="11">
        <v>1076.1040324684823</v>
      </c>
      <c r="D6" s="11">
        <v>1247.2877945511127</v>
      </c>
      <c r="E6" s="11">
        <v>1276.5880368977384</v>
      </c>
      <c r="F6" s="11">
        <v>1249.349834300353</v>
      </c>
      <c r="G6" s="11">
        <v>1131.8935530858021</v>
      </c>
      <c r="H6" s="11">
        <v>1190.0425832495671</v>
      </c>
      <c r="I6" s="11">
        <v>1223.7310264915741</v>
      </c>
      <c r="J6" s="11">
        <v>1364.2469951826135</v>
      </c>
      <c r="K6" s="11">
        <v>1427.6791107553383</v>
      </c>
      <c r="L6" s="11">
        <v>1441.0749187852512</v>
      </c>
      <c r="M6" s="11">
        <v>1453.3517263912261</v>
      </c>
      <c r="N6" s="11">
        <v>1502.8792771929536</v>
      </c>
      <c r="O6" s="11">
        <v>1634.3784256614131</v>
      </c>
      <c r="P6" s="11">
        <v>1647.6046240089004</v>
      </c>
      <c r="Q6" s="11">
        <v>1710.4020386206587</v>
      </c>
      <c r="R6" s="11">
        <v>1727.8475244556805</v>
      </c>
      <c r="S6" s="11">
        <v>1743.0657406670691</v>
      </c>
      <c r="T6" s="11">
        <v>1902.3035482237335</v>
      </c>
      <c r="U6" s="11">
        <v>1918.9892216491614</v>
      </c>
      <c r="V6" s="11">
        <f>SUM(B6:U6)</f>
        <v>28804.465989305198</v>
      </c>
    </row>
    <row r="7" spans="1:22">
      <c r="A7" s="10" t="s">
        <v>9</v>
      </c>
      <c r="B7" s="11">
        <v>24566.565281526135</v>
      </c>
      <c r="C7" s="11">
        <v>27674.576832782386</v>
      </c>
      <c r="D7" s="11">
        <v>29722.308228059399</v>
      </c>
      <c r="E7" s="11">
        <v>28696.897943152515</v>
      </c>
      <c r="F7" s="11">
        <v>31360.126038894876</v>
      </c>
      <c r="G7" s="11">
        <v>20019.35881843372</v>
      </c>
      <c r="H7" s="11">
        <v>15683.350286903091</v>
      </c>
      <c r="I7" s="11">
        <v>13279.619794337526</v>
      </c>
      <c r="J7" s="11">
        <v>12424.8689076718</v>
      </c>
      <c r="K7" s="11">
        <v>12728.467735206617</v>
      </c>
      <c r="L7" s="11">
        <v>12732.766811436177</v>
      </c>
      <c r="M7" s="11">
        <v>12555.585129813458</v>
      </c>
      <c r="N7" s="11">
        <v>12302.543191134435</v>
      </c>
      <c r="O7" s="11">
        <v>13178.384791421797</v>
      </c>
      <c r="P7" s="11">
        <v>12831.100836650678</v>
      </c>
      <c r="Q7" s="11">
        <v>12636.596175638313</v>
      </c>
      <c r="R7" s="11">
        <v>12445.75098635364</v>
      </c>
      <c r="S7" s="11">
        <v>12310.063551560464</v>
      </c>
      <c r="T7" s="11">
        <v>12493.12000581249</v>
      </c>
      <c r="U7" s="11">
        <v>12334.620477192961</v>
      </c>
      <c r="V7" s="11">
        <f t="shared" ref="V7:V11" si="1">SUM(B7:U7)</f>
        <v>341976.6718239825</v>
      </c>
    </row>
    <row r="8" spans="1:22">
      <c r="A8" s="10" t="s">
        <v>10</v>
      </c>
      <c r="B8" s="11">
        <v>8743.4926631863473</v>
      </c>
      <c r="C8" s="11">
        <v>9258.9762898786903</v>
      </c>
      <c r="D8" s="11">
        <v>9802.8897049522602</v>
      </c>
      <c r="E8" s="11">
        <v>10100.596498812325</v>
      </c>
      <c r="F8" s="11">
        <v>10272.31388594465</v>
      </c>
      <c r="G8" s="11">
        <v>11320.165869843189</v>
      </c>
      <c r="H8" s="11">
        <v>12616.191645332545</v>
      </c>
      <c r="I8" s="11">
        <v>13872.434374797547</v>
      </c>
      <c r="J8" s="11">
        <v>15774.908107141046</v>
      </c>
      <c r="K8" s="11">
        <v>16037.834560217549</v>
      </c>
      <c r="L8" s="11">
        <v>16583.432282062084</v>
      </c>
      <c r="M8" s="11">
        <v>17292.000393264181</v>
      </c>
      <c r="N8" s="11">
        <v>17606.863420057751</v>
      </c>
      <c r="O8" s="11">
        <v>18260.888716960981</v>
      </c>
      <c r="P8" s="11">
        <v>18556.134460717487</v>
      </c>
      <c r="Q8" s="11">
        <v>18963.601536978545</v>
      </c>
      <c r="R8" s="11">
        <v>19446.750147591509</v>
      </c>
      <c r="S8" s="11">
        <v>19815.730061392773</v>
      </c>
      <c r="T8" s="11">
        <v>20417.903691291602</v>
      </c>
      <c r="U8" s="11">
        <v>20768.619131672822</v>
      </c>
      <c r="V8" s="11">
        <f t="shared" si="1"/>
        <v>305511.72744209587</v>
      </c>
    </row>
    <row r="9" spans="1:22">
      <c r="A9" s="10" t="s">
        <v>11</v>
      </c>
      <c r="B9" s="11">
        <v>3851.1678730843028</v>
      </c>
      <c r="C9" s="11">
        <v>4039.0675019147843</v>
      </c>
      <c r="D9" s="11">
        <v>4223.754092893786</v>
      </c>
      <c r="E9" s="11">
        <v>4237.5181460940985</v>
      </c>
      <c r="F9" s="11">
        <v>4382.8747534254344</v>
      </c>
      <c r="G9" s="11">
        <v>4458.0014777386623</v>
      </c>
      <c r="H9" s="11">
        <v>4575.3616123609881</v>
      </c>
      <c r="I9" s="11">
        <v>4695.0513285765783</v>
      </c>
      <c r="J9" s="11">
        <v>4875.4315290067398</v>
      </c>
      <c r="K9" s="11">
        <v>4947.2291159711422</v>
      </c>
      <c r="L9" s="11">
        <v>5030.3031365681354</v>
      </c>
      <c r="M9" s="11">
        <v>5094.9461475612343</v>
      </c>
      <c r="N9" s="11">
        <v>5145.8139728224405</v>
      </c>
      <c r="O9" s="11">
        <v>5212.8068060904807</v>
      </c>
      <c r="P9" s="11">
        <v>5287.9138936932986</v>
      </c>
      <c r="Q9" s="11">
        <v>5369.8531674262722</v>
      </c>
      <c r="R9" s="11">
        <v>5504.8742991120662</v>
      </c>
      <c r="S9" s="11">
        <v>5590.2612350076943</v>
      </c>
      <c r="T9" s="11">
        <v>5676.9458608234008</v>
      </c>
      <c r="U9" s="11">
        <v>5772.3284552401037</v>
      </c>
      <c r="V9" s="11">
        <f t="shared" si="1"/>
        <v>97971.504405411659</v>
      </c>
    </row>
    <row r="10" spans="1:22">
      <c r="A10" s="2" t="s">
        <v>12</v>
      </c>
      <c r="B10" s="11">
        <v>2605.4352471257434</v>
      </c>
      <c r="C10" s="11">
        <v>2713.4885772212729</v>
      </c>
      <c r="D10" s="11">
        <v>2824.9830796296364</v>
      </c>
      <c r="E10" s="11">
        <v>2812.0315594469776</v>
      </c>
      <c r="F10" s="11">
        <v>2838.5715295031446</v>
      </c>
      <c r="G10" s="11">
        <v>2821.7267277911728</v>
      </c>
      <c r="H10" s="11">
        <v>2862.105608853924</v>
      </c>
      <c r="I10" s="11">
        <v>2935.3526424416468</v>
      </c>
      <c r="J10" s="11">
        <v>2987.059131641945</v>
      </c>
      <c r="K10" s="11">
        <v>3014.844855386697</v>
      </c>
      <c r="L10" s="11">
        <v>3067.9777796872791</v>
      </c>
      <c r="M10" s="11">
        <v>3096.3384699547346</v>
      </c>
      <c r="N10" s="11">
        <v>3125.1975696101686</v>
      </c>
      <c r="O10" s="11">
        <v>3158.2320051527263</v>
      </c>
      <c r="P10" s="11">
        <v>3194.010326111028</v>
      </c>
      <c r="Q10" s="11">
        <v>3231.1143228761075</v>
      </c>
      <c r="R10" s="11">
        <v>3293.0737992124109</v>
      </c>
      <c r="S10" s="11">
        <v>3328.4678519878125</v>
      </c>
      <c r="T10" s="11">
        <v>3367.5359331881068</v>
      </c>
      <c r="U10" s="11">
        <v>3411.1218989452314</v>
      </c>
      <c r="V10" s="11">
        <f t="shared" si="1"/>
        <v>60688.668915767761</v>
      </c>
    </row>
    <row r="11" spans="1:22">
      <c r="A11" s="2" t="s">
        <v>13</v>
      </c>
      <c r="B11" s="13">
        <v>776.43122219198654</v>
      </c>
      <c r="C11" s="13">
        <v>838.73008109128409</v>
      </c>
      <c r="D11" s="13">
        <v>883.18731494316239</v>
      </c>
      <c r="E11" s="13">
        <v>940.68352721659096</v>
      </c>
      <c r="F11" s="13">
        <v>966.14987966917556</v>
      </c>
      <c r="G11" s="13">
        <v>1034.7558535841454</v>
      </c>
      <c r="H11" s="13">
        <v>1117.5623244300905</v>
      </c>
      <c r="I11" s="13">
        <v>1188.1869201070533</v>
      </c>
      <c r="J11" s="13">
        <v>1365.8901660358476</v>
      </c>
      <c r="K11" s="13">
        <v>1372.4521402466407</v>
      </c>
      <c r="L11" s="13">
        <v>1413.6088615160304</v>
      </c>
      <c r="M11" s="13">
        <v>1447.7769249292242</v>
      </c>
      <c r="N11" s="13">
        <v>1487.1216246081765</v>
      </c>
      <c r="O11" s="13">
        <v>1610.231752070197</v>
      </c>
      <c r="P11" s="13">
        <v>1636.3311033483521</v>
      </c>
      <c r="Q11" s="13">
        <v>1678.3477763200046</v>
      </c>
      <c r="R11" s="13">
        <v>1725.0798568760979</v>
      </c>
      <c r="S11" s="13">
        <v>1745.7723961493487</v>
      </c>
      <c r="T11" s="13">
        <v>1857.9947983204243</v>
      </c>
      <c r="U11" s="13">
        <v>1904.1419211573418</v>
      </c>
      <c r="V11" s="13">
        <f t="shared" si="1"/>
        <v>26990.436444811177</v>
      </c>
    </row>
    <row r="12" spans="1:22">
      <c r="A12" s="8" t="s">
        <v>15</v>
      </c>
      <c r="B12" s="12">
        <f>SUM(B6:B11)</f>
        <v>41478.738263781095</v>
      </c>
      <c r="C12" s="12">
        <f t="shared" ref="C12:V12" si="2">SUM(C6:C11)</f>
        <v>45600.943315356904</v>
      </c>
      <c r="D12" s="12">
        <f t="shared" si="2"/>
        <v>48704.410215029362</v>
      </c>
      <c r="E12" s="12">
        <f t="shared" si="2"/>
        <v>48064.315711620242</v>
      </c>
      <c r="F12" s="12">
        <f t="shared" si="2"/>
        <v>51069.385921737638</v>
      </c>
      <c r="G12" s="12">
        <f t="shared" si="2"/>
        <v>40785.902300476693</v>
      </c>
      <c r="H12" s="12">
        <f t="shared" si="2"/>
        <v>38044.614061130203</v>
      </c>
      <c r="I12" s="12">
        <f t="shared" si="2"/>
        <v>37194.376086751923</v>
      </c>
      <c r="J12" s="12">
        <f t="shared" si="2"/>
        <v>38792.404836679991</v>
      </c>
      <c r="K12" s="12">
        <f t="shared" si="2"/>
        <v>39528.50751778399</v>
      </c>
      <c r="L12" s="12">
        <f t="shared" si="2"/>
        <v>40269.163790054961</v>
      </c>
      <c r="M12" s="12">
        <f t="shared" si="2"/>
        <v>40939.998791914055</v>
      </c>
      <c r="N12" s="12">
        <f t="shared" si="2"/>
        <v>41170.419055425918</v>
      </c>
      <c r="O12" s="12">
        <f t="shared" si="2"/>
        <v>43054.922497357591</v>
      </c>
      <c r="P12" s="12">
        <f t="shared" si="2"/>
        <v>43153.095244529744</v>
      </c>
      <c r="Q12" s="12">
        <f t="shared" si="2"/>
        <v>43589.915017859901</v>
      </c>
      <c r="R12" s="12">
        <f t="shared" si="2"/>
        <v>44143.376613601402</v>
      </c>
      <c r="S12" s="12">
        <f t="shared" si="2"/>
        <v>44533.360836765161</v>
      </c>
      <c r="T12" s="12">
        <f t="shared" si="2"/>
        <v>45715.803837659754</v>
      </c>
      <c r="U12" s="12">
        <f t="shared" si="2"/>
        <v>46109.82110585762</v>
      </c>
      <c r="V12" s="12">
        <f t="shared" si="2"/>
        <v>861943.47502137418</v>
      </c>
    </row>
    <row r="14" spans="1:22">
      <c r="A14" s="50" t="s">
        <v>3</v>
      </c>
    </row>
    <row r="15" spans="1:22">
      <c r="A15" s="2" t="s">
        <v>7</v>
      </c>
      <c r="B15" s="11">
        <v>11887.808511765592</v>
      </c>
      <c r="C15" s="11">
        <v>11203.086333386504</v>
      </c>
      <c r="D15" s="11">
        <v>10449.732413452521</v>
      </c>
      <c r="E15" s="11">
        <v>9346.4656416260787</v>
      </c>
      <c r="F15" s="11">
        <v>9452.3855723055458</v>
      </c>
      <c r="G15" s="11">
        <v>9352.0793493622477</v>
      </c>
      <c r="H15" s="11">
        <v>9035.2086114076083</v>
      </c>
      <c r="I15" s="11">
        <v>8826.3221575405896</v>
      </c>
      <c r="J15" s="11">
        <v>8605.2713686098959</v>
      </c>
      <c r="K15" s="11">
        <v>8797.8845202307257</v>
      </c>
      <c r="L15" s="11">
        <v>8704.4739182680496</v>
      </c>
      <c r="M15" s="11">
        <v>8850.6625251592013</v>
      </c>
      <c r="N15" s="11">
        <v>8616.5260332673843</v>
      </c>
      <c r="O15" s="11">
        <v>7970.9199330018473</v>
      </c>
      <c r="P15" s="11">
        <v>8051.6886272656047</v>
      </c>
      <c r="Q15" s="11">
        <v>7971.3994296936035</v>
      </c>
      <c r="R15" s="11">
        <v>7925.3784522461956</v>
      </c>
      <c r="S15" s="11">
        <v>7797.353611307014</v>
      </c>
      <c r="T15" s="11">
        <v>7289.1220317414063</v>
      </c>
      <c r="U15" s="11">
        <v>7133.47053636295</v>
      </c>
      <c r="V15" s="11">
        <f t="shared" ref="V15:V17" si="3">SUM(B15:U15)</f>
        <v>177267.23957800059</v>
      </c>
    </row>
    <row r="16" spans="1:22">
      <c r="A16" s="2" t="s">
        <v>6</v>
      </c>
      <c r="B16" s="11">
        <v>21977.605743465723</v>
      </c>
      <c r="C16" s="11">
        <v>19996.576434824685</v>
      </c>
      <c r="D16" s="11">
        <v>18426.511925729574</v>
      </c>
      <c r="E16" s="11">
        <v>17055.94576339273</v>
      </c>
      <c r="F16" s="11">
        <v>16903.965777278161</v>
      </c>
      <c r="G16" s="11">
        <v>16713.308082530806</v>
      </c>
      <c r="H16" s="11">
        <v>16147.021954474219</v>
      </c>
      <c r="I16" s="11">
        <v>15773.715592042958</v>
      </c>
      <c r="J16" s="11">
        <v>14462.898413412475</v>
      </c>
      <c r="K16" s="11">
        <v>15014.023739799559</v>
      </c>
      <c r="L16" s="11">
        <v>14615.267453699404</v>
      </c>
      <c r="M16" s="11">
        <v>14710.721879112398</v>
      </c>
      <c r="N16" s="11">
        <v>13980.631136907296</v>
      </c>
      <c r="O16" s="11">
        <v>12015.458042245011</v>
      </c>
      <c r="P16" s="11">
        <v>12358.380652031055</v>
      </c>
      <c r="Q16" s="11">
        <v>12039.837111908964</v>
      </c>
      <c r="R16" s="11">
        <v>11802.542124711998</v>
      </c>
      <c r="S16" s="11">
        <v>11379.933225242248</v>
      </c>
      <c r="T16" s="11">
        <v>9967.8504224738099</v>
      </c>
      <c r="U16" s="11">
        <v>9825.185675144643</v>
      </c>
      <c r="V16" s="11">
        <f t="shared" si="3"/>
        <v>295167.38115042774</v>
      </c>
    </row>
    <row r="17" spans="1:22">
      <c r="A17" s="2" t="s">
        <v>5</v>
      </c>
      <c r="B17" s="13">
        <v>31894.46494557233</v>
      </c>
      <c r="C17" s="13">
        <v>32860.021505388999</v>
      </c>
      <c r="D17" s="13">
        <v>33522.581369258238</v>
      </c>
      <c r="E17" s="13">
        <v>32164.569819374119</v>
      </c>
      <c r="F17" s="13">
        <v>32442.296281299103</v>
      </c>
      <c r="G17" s="13">
        <v>32271.517734518424</v>
      </c>
      <c r="H17" s="13">
        <v>31435.010052956233</v>
      </c>
      <c r="I17" s="13">
        <v>31373.168212106539</v>
      </c>
      <c r="J17" s="13">
        <v>29755.120317807177</v>
      </c>
      <c r="K17" s="13">
        <v>30203.352823864101</v>
      </c>
      <c r="L17" s="13">
        <v>30083.181014797028</v>
      </c>
      <c r="M17" s="13">
        <v>29531.332308785237</v>
      </c>
      <c r="N17" s="13">
        <v>29422.264806103136</v>
      </c>
      <c r="O17" s="13">
        <v>28569.673071357411</v>
      </c>
      <c r="P17" s="13">
        <v>29100.161734632326</v>
      </c>
      <c r="Q17" s="13">
        <v>29014.220562007755</v>
      </c>
      <c r="R17" s="13">
        <v>28950.384506937247</v>
      </c>
      <c r="S17" s="13">
        <v>28856.767586084334</v>
      </c>
      <c r="T17" s="13">
        <v>28234.293070526604</v>
      </c>
      <c r="U17" s="13">
        <v>28828.020198829785</v>
      </c>
      <c r="V17" s="13">
        <f t="shared" si="3"/>
        <v>608512.40192220605</v>
      </c>
    </row>
    <row r="18" spans="1:22">
      <c r="A18" s="8" t="s">
        <v>16</v>
      </c>
      <c r="B18" s="12">
        <f>SUM(B15:B17)</f>
        <v>65759.87920080364</v>
      </c>
      <c r="C18" s="12">
        <f t="shared" ref="C18:V18" si="4">SUM(C15:C17)</f>
        <v>64059.684273600185</v>
      </c>
      <c r="D18" s="12">
        <f t="shared" si="4"/>
        <v>62398.82570844033</v>
      </c>
      <c r="E18" s="12">
        <f t="shared" si="4"/>
        <v>58566.981224392926</v>
      </c>
      <c r="F18" s="12">
        <f t="shared" si="4"/>
        <v>58798.647630882813</v>
      </c>
      <c r="G18" s="12">
        <f t="shared" si="4"/>
        <v>58336.905166411481</v>
      </c>
      <c r="H18" s="12">
        <f t="shared" si="4"/>
        <v>56617.240618838063</v>
      </c>
      <c r="I18" s="12">
        <f t="shared" si="4"/>
        <v>55973.205961690088</v>
      </c>
      <c r="J18" s="12">
        <f t="shared" si="4"/>
        <v>52823.290099829552</v>
      </c>
      <c r="K18" s="12">
        <f t="shared" si="4"/>
        <v>54015.261083894387</v>
      </c>
      <c r="L18" s="12">
        <f t="shared" si="4"/>
        <v>53402.922386764476</v>
      </c>
      <c r="M18" s="12">
        <f t="shared" si="4"/>
        <v>53092.716713056841</v>
      </c>
      <c r="N18" s="12">
        <f t="shared" si="4"/>
        <v>52019.421976277816</v>
      </c>
      <c r="O18" s="12">
        <f t="shared" si="4"/>
        <v>48556.051046604269</v>
      </c>
      <c r="P18" s="12">
        <f t="shared" si="4"/>
        <v>49510.231013928984</v>
      </c>
      <c r="Q18" s="12">
        <f t="shared" si="4"/>
        <v>49025.457103610323</v>
      </c>
      <c r="R18" s="12">
        <f t="shared" si="4"/>
        <v>48678.305083895437</v>
      </c>
      <c r="S18" s="12">
        <f t="shared" si="4"/>
        <v>48034.054422633591</v>
      </c>
      <c r="T18" s="12">
        <f t="shared" si="4"/>
        <v>45491.265524741822</v>
      </c>
      <c r="U18" s="12">
        <f t="shared" si="4"/>
        <v>45786.676410337379</v>
      </c>
      <c r="V18" s="12">
        <f t="shared" si="4"/>
        <v>1080947.0226506344</v>
      </c>
    </row>
    <row r="19" spans="1:22">
      <c r="A19" s="8"/>
    </row>
    <row r="20" spans="1:22" s="4" customFormat="1">
      <c r="A20" s="3" t="s">
        <v>4</v>
      </c>
      <c r="B20" s="12">
        <f>B12+B18</f>
        <v>107238.61746458473</v>
      </c>
      <c r="C20" s="12">
        <f t="shared" ref="C20:V20" si="5">C12+C18</f>
        <v>109660.62758895708</v>
      </c>
      <c r="D20" s="12">
        <f t="shared" si="5"/>
        <v>111103.23592346969</v>
      </c>
      <c r="E20" s="12">
        <f t="shared" si="5"/>
        <v>106631.29693601317</v>
      </c>
      <c r="F20" s="12">
        <f t="shared" si="5"/>
        <v>109868.03355262044</v>
      </c>
      <c r="G20" s="12">
        <f t="shared" si="5"/>
        <v>99122.807466888175</v>
      </c>
      <c r="H20" s="12">
        <f t="shared" si="5"/>
        <v>94661.854679968266</v>
      </c>
      <c r="I20" s="12">
        <f t="shared" si="5"/>
        <v>93167.582048442011</v>
      </c>
      <c r="J20" s="12">
        <f t="shared" si="5"/>
        <v>91615.694936509535</v>
      </c>
      <c r="K20" s="12">
        <f t="shared" si="5"/>
        <v>93543.76860167837</v>
      </c>
      <c r="L20" s="12">
        <f t="shared" si="5"/>
        <v>93672.08617681943</v>
      </c>
      <c r="M20" s="12">
        <f t="shared" si="5"/>
        <v>94032.715504970896</v>
      </c>
      <c r="N20" s="12">
        <f t="shared" si="5"/>
        <v>93189.841031703734</v>
      </c>
      <c r="O20" s="12">
        <f t="shared" si="5"/>
        <v>91610.973543961853</v>
      </c>
      <c r="P20" s="12">
        <f t="shared" si="5"/>
        <v>92663.326258458721</v>
      </c>
      <c r="Q20" s="12">
        <f t="shared" si="5"/>
        <v>92615.372121470224</v>
      </c>
      <c r="R20" s="12">
        <f t="shared" si="5"/>
        <v>92821.681697496839</v>
      </c>
      <c r="S20" s="12">
        <f t="shared" si="5"/>
        <v>92567.415259398753</v>
      </c>
      <c r="T20" s="12">
        <f t="shared" si="5"/>
        <v>91207.069362401584</v>
      </c>
      <c r="U20" s="12">
        <f t="shared" si="5"/>
        <v>91896.497516194999</v>
      </c>
      <c r="V20" s="12">
        <f t="shared" si="5"/>
        <v>1942890.4976720086</v>
      </c>
    </row>
    <row r="21" spans="1:22">
      <c r="A21" s="1"/>
    </row>
    <row r="22" spans="1:22" ht="15.75">
      <c r="A22" s="68" t="s">
        <v>31</v>
      </c>
      <c r="B22" s="69"/>
      <c r="C22" s="69"/>
      <c r="D22" s="69"/>
      <c r="E22" s="69"/>
      <c r="F22" s="69"/>
      <c r="G22" s="69"/>
      <c r="H22" s="69"/>
      <c r="I22" s="69"/>
      <c r="J22" s="69"/>
      <c r="K22" s="69"/>
      <c r="L22" s="69"/>
      <c r="M22" s="69"/>
      <c r="N22" s="69"/>
      <c r="O22" s="69"/>
      <c r="P22" s="69"/>
      <c r="Q22" s="69"/>
      <c r="R22" s="69"/>
      <c r="S22" s="69"/>
      <c r="T22" s="69"/>
      <c r="U22" s="69"/>
      <c r="V22" s="69"/>
    </row>
    <row r="23" spans="1:22">
      <c r="A23" s="5" t="s">
        <v>18</v>
      </c>
      <c r="B23" s="6">
        <v>2015</v>
      </c>
      <c r="C23" s="6">
        <f>B23+1</f>
        <v>2016</v>
      </c>
      <c r="D23" s="6">
        <f t="shared" ref="D23:U23" si="6">C23+1</f>
        <v>2017</v>
      </c>
      <c r="E23" s="6">
        <f t="shared" si="6"/>
        <v>2018</v>
      </c>
      <c r="F23" s="6">
        <f t="shared" si="6"/>
        <v>2019</v>
      </c>
      <c r="G23" s="6">
        <f t="shared" si="6"/>
        <v>2020</v>
      </c>
      <c r="H23" s="6">
        <f t="shared" si="6"/>
        <v>2021</v>
      </c>
      <c r="I23" s="6">
        <f t="shared" si="6"/>
        <v>2022</v>
      </c>
      <c r="J23" s="6">
        <f t="shared" si="6"/>
        <v>2023</v>
      </c>
      <c r="K23" s="6">
        <f t="shared" si="6"/>
        <v>2024</v>
      </c>
      <c r="L23" s="6">
        <f t="shared" si="6"/>
        <v>2025</v>
      </c>
      <c r="M23" s="6">
        <f t="shared" si="6"/>
        <v>2026</v>
      </c>
      <c r="N23" s="6">
        <f t="shared" si="6"/>
        <v>2027</v>
      </c>
      <c r="O23" s="6">
        <f t="shared" si="6"/>
        <v>2028</v>
      </c>
      <c r="P23" s="6">
        <f t="shared" si="6"/>
        <v>2029</v>
      </c>
      <c r="Q23" s="6">
        <f t="shared" si="6"/>
        <v>2030</v>
      </c>
      <c r="R23" s="6">
        <f t="shared" si="6"/>
        <v>2031</v>
      </c>
      <c r="S23" s="6">
        <f t="shared" si="6"/>
        <v>2032</v>
      </c>
      <c r="T23" s="6">
        <f t="shared" si="6"/>
        <v>2033</v>
      </c>
      <c r="U23" s="6">
        <f t="shared" si="6"/>
        <v>2034</v>
      </c>
      <c r="V23" s="6" t="s">
        <v>14</v>
      </c>
    </row>
    <row r="24" spans="1:22">
      <c r="A24" s="10" t="s">
        <v>2</v>
      </c>
      <c r="B24" s="11">
        <v>10696.41698787277</v>
      </c>
      <c r="C24" s="11">
        <v>11178.887030440457</v>
      </c>
      <c r="D24" s="11">
        <v>11636.016373506907</v>
      </c>
      <c r="E24" s="11">
        <v>11841.847698377713</v>
      </c>
      <c r="F24" s="11">
        <v>12045.204266781879</v>
      </c>
      <c r="G24" s="11">
        <v>12297.08001749687</v>
      </c>
      <c r="H24" s="11">
        <v>12654.883404656362</v>
      </c>
      <c r="I24" s="11">
        <v>13047.842208499151</v>
      </c>
      <c r="J24" s="11">
        <v>13395.546479906485</v>
      </c>
      <c r="K24" s="11">
        <v>13663.833721566598</v>
      </c>
      <c r="L24" s="11">
        <v>13928.609942659121</v>
      </c>
      <c r="M24" s="11">
        <v>14177.555569765878</v>
      </c>
      <c r="N24" s="11">
        <v>14478.818224984398</v>
      </c>
      <c r="O24" s="11">
        <v>14709.686971223427</v>
      </c>
      <c r="P24" s="11">
        <v>14933.582706884003</v>
      </c>
      <c r="Q24" s="11">
        <v>15212.855968177359</v>
      </c>
      <c r="R24" s="11">
        <v>15690.088315417439</v>
      </c>
      <c r="S24" s="11">
        <v>15896.654052431113</v>
      </c>
      <c r="T24" s="11">
        <v>16189.729058628387</v>
      </c>
      <c r="U24" s="11">
        <v>16469.226155126169</v>
      </c>
      <c r="V24" s="11">
        <f>SUM(B24:U24)</f>
        <v>274144.36515440245</v>
      </c>
    </row>
    <row r="25" spans="1:22">
      <c r="A25" s="10" t="s">
        <v>3</v>
      </c>
      <c r="B25" s="13">
        <v>2011.7257955719842</v>
      </c>
      <c r="C25" s="13">
        <v>3751.0598965064942</v>
      </c>
      <c r="D25" s="13">
        <v>5231.4208815220227</v>
      </c>
      <c r="E25" s="13">
        <v>6396.2383933794163</v>
      </c>
      <c r="F25" s="13">
        <v>6554.330200970674</v>
      </c>
      <c r="G25" s="13">
        <v>6713.0906533941125</v>
      </c>
      <c r="H25" s="13">
        <v>6866.6450413223347</v>
      </c>
      <c r="I25" s="13">
        <v>7055.4420991342713</v>
      </c>
      <c r="J25" s="13">
        <v>7246.7550565738629</v>
      </c>
      <c r="K25" s="13">
        <v>7435.2112725220204</v>
      </c>
      <c r="L25" s="13">
        <v>7635.8913344476787</v>
      </c>
      <c r="M25" s="13">
        <v>7848.5017334345748</v>
      </c>
      <c r="N25" s="13">
        <v>8069.8669843266407</v>
      </c>
      <c r="O25" s="13">
        <v>8300.8264451422929</v>
      </c>
      <c r="P25" s="13">
        <v>8528.8659493026535</v>
      </c>
      <c r="Q25" s="13">
        <v>8739.8582437417481</v>
      </c>
      <c r="R25" s="13">
        <v>8955.2083740817689</v>
      </c>
      <c r="S25" s="13">
        <v>9175.0792009907655</v>
      </c>
      <c r="T25" s="13">
        <v>9398.8497956237698</v>
      </c>
      <c r="U25" s="13">
        <v>9625.0663812633629</v>
      </c>
      <c r="V25" s="13">
        <f>SUM(B25:U25)</f>
        <v>145539.93373325246</v>
      </c>
    </row>
    <row r="26" spans="1:22">
      <c r="A26" s="10" t="s">
        <v>4</v>
      </c>
      <c r="B26" s="11">
        <f>SUM(B24:B25)</f>
        <v>12708.142783444753</v>
      </c>
      <c r="C26" s="11">
        <f t="shared" ref="C26:V26" si="7">SUM(C24:C25)</f>
        <v>14929.946926946952</v>
      </c>
      <c r="D26" s="11">
        <f t="shared" si="7"/>
        <v>16867.43725502893</v>
      </c>
      <c r="E26" s="11">
        <f t="shared" si="7"/>
        <v>18238.08609175713</v>
      </c>
      <c r="F26" s="11">
        <f t="shared" si="7"/>
        <v>18599.534467752554</v>
      </c>
      <c r="G26" s="11">
        <f t="shared" si="7"/>
        <v>19010.170670890984</v>
      </c>
      <c r="H26" s="11">
        <f t="shared" si="7"/>
        <v>19521.528445978696</v>
      </c>
      <c r="I26" s="11">
        <f t="shared" si="7"/>
        <v>20103.284307633421</v>
      </c>
      <c r="J26" s="11">
        <f t="shared" si="7"/>
        <v>20642.301536480347</v>
      </c>
      <c r="K26" s="11">
        <f t="shared" si="7"/>
        <v>21099.044994088617</v>
      </c>
      <c r="L26" s="11">
        <f t="shared" si="7"/>
        <v>21564.5012771068</v>
      </c>
      <c r="M26" s="11">
        <f t="shared" si="7"/>
        <v>22026.057303200454</v>
      </c>
      <c r="N26" s="11">
        <f t="shared" si="7"/>
        <v>22548.685209311039</v>
      </c>
      <c r="O26" s="11">
        <f t="shared" si="7"/>
        <v>23010.51341636572</v>
      </c>
      <c r="P26" s="11">
        <f t="shared" si="7"/>
        <v>23462.448656186658</v>
      </c>
      <c r="Q26" s="11">
        <f t="shared" si="7"/>
        <v>23952.714211919105</v>
      </c>
      <c r="R26" s="11">
        <f t="shared" si="7"/>
        <v>24645.296689499206</v>
      </c>
      <c r="S26" s="11">
        <f t="shared" si="7"/>
        <v>25071.73325342188</v>
      </c>
      <c r="T26" s="11">
        <f t="shared" si="7"/>
        <v>25588.578854252155</v>
      </c>
      <c r="U26" s="11">
        <f t="shared" si="7"/>
        <v>26094.292536389534</v>
      </c>
      <c r="V26" s="11">
        <f t="shared" si="7"/>
        <v>419684.29888765491</v>
      </c>
    </row>
    <row r="28" spans="1:22">
      <c r="A28" s="58" t="s">
        <v>23</v>
      </c>
      <c r="B28" s="63">
        <f>B24/B12</f>
        <v>0.25787710609348008</v>
      </c>
      <c r="C28" s="63">
        <f t="shared" ref="C28:V28" si="8">C24/C12</f>
        <v>0.24514596009850029</v>
      </c>
      <c r="D28" s="63">
        <f t="shared" si="8"/>
        <v>0.23891093890951642</v>
      </c>
      <c r="E28" s="63">
        <f t="shared" si="8"/>
        <v>0.24637503984093495</v>
      </c>
      <c r="F28" s="63">
        <f t="shared" si="8"/>
        <v>0.23585958690086478</v>
      </c>
      <c r="G28" s="63">
        <f t="shared" si="8"/>
        <v>0.30150319899513772</v>
      </c>
      <c r="H28" s="63">
        <f t="shared" si="8"/>
        <v>0.33263271863718885</v>
      </c>
      <c r="I28" s="63">
        <f t="shared" si="8"/>
        <v>0.35080148079554951</v>
      </c>
      <c r="J28" s="63">
        <f t="shared" si="8"/>
        <v>0.34531363900493178</v>
      </c>
      <c r="K28" s="63">
        <f t="shared" si="8"/>
        <v>0.34567036752954056</v>
      </c>
      <c r="L28" s="63">
        <f t="shared" si="8"/>
        <v>0.3458877372094572</v>
      </c>
      <c r="M28" s="63">
        <f t="shared" si="8"/>
        <v>0.3463008301936259</v>
      </c>
      <c r="N28" s="63">
        <f t="shared" si="8"/>
        <v>0.35168012755692879</v>
      </c>
      <c r="O28" s="63">
        <f t="shared" si="8"/>
        <v>0.34164936592618894</v>
      </c>
      <c r="P28" s="63">
        <f t="shared" si="8"/>
        <v>0.34606052294190975</v>
      </c>
      <c r="Q28" s="63">
        <f t="shared" si="8"/>
        <v>0.34899944085562595</v>
      </c>
      <c r="R28" s="63">
        <f t="shared" si="8"/>
        <v>0.35543471114040309</v>
      </c>
      <c r="S28" s="63">
        <f t="shared" si="8"/>
        <v>0.35696057413451265</v>
      </c>
      <c r="T28" s="63">
        <f t="shared" si="8"/>
        <v>0.35413856258810034</v>
      </c>
      <c r="U28" s="63">
        <f t="shared" si="8"/>
        <v>0.35717393301779649</v>
      </c>
      <c r="V28" s="63">
        <f t="shared" si="8"/>
        <v>0.31805376233935095</v>
      </c>
    </row>
    <row r="29" spans="1:22">
      <c r="A29" s="58" t="s">
        <v>24</v>
      </c>
      <c r="B29" s="63">
        <f>B25/B18</f>
        <v>3.0591993477192995E-2</v>
      </c>
      <c r="C29" s="63">
        <f t="shared" ref="C29:V29" si="9">C25/C18</f>
        <v>5.8555703779082688E-2</v>
      </c>
      <c r="D29" s="63">
        <f t="shared" si="9"/>
        <v>8.3838450838256695E-2</v>
      </c>
      <c r="E29" s="63">
        <f t="shared" si="9"/>
        <v>0.10921236265999326</v>
      </c>
      <c r="F29" s="63">
        <f t="shared" si="9"/>
        <v>0.11147076446581644</v>
      </c>
      <c r="G29" s="63">
        <f t="shared" si="9"/>
        <v>0.11507450788217841</v>
      </c>
      <c r="H29" s="63">
        <f t="shared" si="9"/>
        <v>0.12128187397104653</v>
      </c>
      <c r="I29" s="63">
        <f t="shared" si="9"/>
        <v>0.12605034816056898</v>
      </c>
      <c r="J29" s="63">
        <f t="shared" si="9"/>
        <v>0.13718863484039678</v>
      </c>
      <c r="K29" s="63">
        <f t="shared" si="9"/>
        <v>0.13765019595062108</v>
      </c>
      <c r="L29" s="63">
        <f t="shared" si="9"/>
        <v>0.14298639462360543</v>
      </c>
      <c r="M29" s="63">
        <f t="shared" si="9"/>
        <v>0.14782633512337165</v>
      </c>
      <c r="N29" s="63">
        <f t="shared" si="9"/>
        <v>0.15513180803905716</v>
      </c>
      <c r="O29" s="63">
        <f t="shared" si="9"/>
        <v>0.17095349119670236</v>
      </c>
      <c r="P29" s="63">
        <f t="shared" si="9"/>
        <v>0.17226471730465528</v>
      </c>
      <c r="Q29" s="63">
        <f t="shared" si="9"/>
        <v>0.17827183590090645</v>
      </c>
      <c r="R29" s="63">
        <f t="shared" si="9"/>
        <v>0.18396713605060336</v>
      </c>
      <c r="S29" s="63">
        <f t="shared" si="9"/>
        <v>0.19101196664063982</v>
      </c>
      <c r="T29" s="63">
        <f t="shared" si="9"/>
        <v>0.20660778914826883</v>
      </c>
      <c r="U29" s="63">
        <f t="shared" si="9"/>
        <v>0.21021544116904467</v>
      </c>
      <c r="V29" s="63">
        <f t="shared" si="9"/>
        <v>0.13464113474901668</v>
      </c>
    </row>
    <row r="30" spans="1:22">
      <c r="A30" s="58" t="s">
        <v>25</v>
      </c>
      <c r="B30" s="63">
        <f>B26/B20</f>
        <v>0.11850341867416915</v>
      </c>
      <c r="C30" s="63">
        <f t="shared" ref="C30:V30" si="10">C26/C20</f>
        <v>0.13614683095658675</v>
      </c>
      <c r="D30" s="63">
        <f t="shared" si="10"/>
        <v>0.15181769563082378</v>
      </c>
      <c r="E30" s="63">
        <f t="shared" si="10"/>
        <v>0.17103877206615389</v>
      </c>
      <c r="F30" s="63">
        <f t="shared" si="10"/>
        <v>0.16928977306983883</v>
      </c>
      <c r="G30" s="63">
        <f t="shared" si="10"/>
        <v>0.19178402182808738</v>
      </c>
      <c r="H30" s="63">
        <f t="shared" si="10"/>
        <v>0.20622381118536987</v>
      </c>
      <c r="I30" s="63">
        <f t="shared" si="10"/>
        <v>0.21577552905881814</v>
      </c>
      <c r="J30" s="63">
        <f t="shared" si="10"/>
        <v>0.22531403108152637</v>
      </c>
      <c r="K30" s="63">
        <f t="shared" si="10"/>
        <v>0.2255526510154954</v>
      </c>
      <c r="L30" s="63">
        <f t="shared" si="10"/>
        <v>0.23021267228318931</v>
      </c>
      <c r="M30" s="63">
        <f t="shared" si="10"/>
        <v>0.23423823490491541</v>
      </c>
      <c r="N30" s="63">
        <f t="shared" si="10"/>
        <v>0.24196505713149402</v>
      </c>
      <c r="O30" s="63">
        <f t="shared" si="10"/>
        <v>0.25117638778637735</v>
      </c>
      <c r="P30" s="63">
        <f t="shared" si="10"/>
        <v>0.25320101925485222</v>
      </c>
      <c r="Q30" s="63">
        <f t="shared" si="10"/>
        <v>0.25862568667870584</v>
      </c>
      <c r="R30" s="63">
        <f t="shared" si="10"/>
        <v>0.2655122837551846</v>
      </c>
      <c r="S30" s="63">
        <f t="shared" si="10"/>
        <v>0.27084836692441017</v>
      </c>
      <c r="T30" s="63">
        <f t="shared" si="10"/>
        <v>0.28055477533850648</v>
      </c>
      <c r="U30" s="63">
        <f t="shared" si="10"/>
        <v>0.28395306939517378</v>
      </c>
      <c r="V30" s="63">
        <f t="shared" si="10"/>
        <v>0.21601026892175598</v>
      </c>
    </row>
    <row r="32" spans="1:22">
      <c r="A32" s="8"/>
    </row>
    <row r="33" spans="1:1">
      <c r="A33" s="3"/>
    </row>
  </sheetData>
  <pageMargins left="0.7" right="0.7" top="0.75" bottom="0.75" header="0.3" footer="0.3"/>
  <pageSetup orientation="portrait" r:id="rId1"/>
  <ignoredErrors>
    <ignoredError sqref="B26" formulaRange="1"/>
  </ignoredErrors>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A1:Z58"/>
  <sheetViews>
    <sheetView workbookViewId="0">
      <pane ySplit="1" topLeftCell="A17" activePane="bottomLeft" state="frozen"/>
      <selection activeCell="I35" sqref="I35"/>
      <selection pane="bottomLeft" activeCell="B38" sqref="B38"/>
    </sheetView>
  </sheetViews>
  <sheetFormatPr defaultRowHeight="15"/>
  <cols>
    <col min="1" max="1" width="38.140625" customWidth="1"/>
  </cols>
  <sheetData>
    <row r="1" spans="1:22" ht="15.75">
      <c r="A1" s="7" t="s">
        <v>39</v>
      </c>
    </row>
    <row r="2" spans="1:22" ht="15.75">
      <c r="A2" s="7"/>
    </row>
    <row r="3" spans="1:22" ht="15.75">
      <c r="A3" s="7" t="s">
        <v>26</v>
      </c>
    </row>
    <row r="4" spans="1:22">
      <c r="A4" s="5" t="s">
        <v>17</v>
      </c>
      <c r="B4" s="6">
        <v>2015</v>
      </c>
      <c r="C4" s="6">
        <f>B4+1</f>
        <v>2016</v>
      </c>
      <c r="D4" s="6">
        <f t="shared" ref="D4:U4" si="0">C4+1</f>
        <v>2017</v>
      </c>
      <c r="E4" s="6">
        <f t="shared" si="0"/>
        <v>2018</v>
      </c>
      <c r="F4" s="6">
        <f t="shared" si="0"/>
        <v>2019</v>
      </c>
      <c r="G4" s="6">
        <f t="shared" si="0"/>
        <v>2020</v>
      </c>
      <c r="H4" s="6">
        <f t="shared" si="0"/>
        <v>2021</v>
      </c>
      <c r="I4" s="6">
        <f t="shared" si="0"/>
        <v>2022</v>
      </c>
      <c r="J4" s="6">
        <f t="shared" si="0"/>
        <v>2023</v>
      </c>
      <c r="K4" s="6">
        <f t="shared" si="0"/>
        <v>2024</v>
      </c>
      <c r="L4" s="6">
        <f t="shared" si="0"/>
        <v>2025</v>
      </c>
      <c r="M4" s="6">
        <f t="shared" si="0"/>
        <v>2026</v>
      </c>
      <c r="N4" s="6">
        <f t="shared" si="0"/>
        <v>2027</v>
      </c>
      <c r="O4" s="6">
        <f t="shared" si="0"/>
        <v>2028</v>
      </c>
      <c r="P4" s="6">
        <f t="shared" si="0"/>
        <v>2029</v>
      </c>
      <c r="Q4" s="6">
        <f t="shared" si="0"/>
        <v>2030</v>
      </c>
      <c r="R4" s="6">
        <f t="shared" si="0"/>
        <v>2031</v>
      </c>
      <c r="S4" s="6">
        <f t="shared" si="0"/>
        <v>2032</v>
      </c>
      <c r="T4" s="6">
        <f t="shared" si="0"/>
        <v>2033</v>
      </c>
      <c r="U4" s="6">
        <f t="shared" si="0"/>
        <v>2034</v>
      </c>
      <c r="V4" s="6" t="s">
        <v>14</v>
      </c>
    </row>
    <row r="5" spans="1:22">
      <c r="A5" s="50" t="s">
        <v>2</v>
      </c>
    </row>
    <row r="6" spans="1:22">
      <c r="A6" s="9" t="s">
        <v>8</v>
      </c>
      <c r="B6" s="14">
        <v>0.11779298702876954</v>
      </c>
      <c r="C6" s="14">
        <v>0.13599115064409031</v>
      </c>
      <c r="D6" s="14">
        <v>0.15591120234196679</v>
      </c>
      <c r="E6" s="14">
        <v>0.16173233791691907</v>
      </c>
      <c r="F6" s="14">
        <v>0.15829810860443824</v>
      </c>
      <c r="G6" s="14">
        <v>0.14655645019215668</v>
      </c>
      <c r="H6" s="14">
        <v>0.14941417436071253</v>
      </c>
      <c r="I6" s="14">
        <v>0.15359340804778959</v>
      </c>
      <c r="J6" s="14">
        <v>0.17058832228410645</v>
      </c>
      <c r="K6" s="14">
        <v>0.17324279422173897</v>
      </c>
      <c r="L6" s="14">
        <v>0.17485969020311642</v>
      </c>
      <c r="M6" s="14">
        <v>0.17634072609853554</v>
      </c>
      <c r="N6" s="14">
        <v>0.17732955309418655</v>
      </c>
      <c r="O6" s="14">
        <v>0.19262017042804233</v>
      </c>
      <c r="P6" s="14">
        <v>0.19416759338743345</v>
      </c>
      <c r="Q6" s="14">
        <v>0.18943048010192337</v>
      </c>
      <c r="R6" s="14">
        <v>0.1913455984307636</v>
      </c>
      <c r="S6" s="14">
        <v>0.19301388785911364</v>
      </c>
      <c r="T6" s="14">
        <v>0.19762959739443672</v>
      </c>
      <c r="U6" s="14">
        <v>0.19934062338303565</v>
      </c>
      <c r="V6" s="14">
        <f>SUM(B6:U6)</f>
        <v>3.4091988560232753</v>
      </c>
    </row>
    <row r="7" spans="1:22">
      <c r="A7" s="10" t="s">
        <v>9</v>
      </c>
      <c r="B7" s="14">
        <v>2.3284850699295903</v>
      </c>
      <c r="C7" s="14">
        <v>2.5526573497065637</v>
      </c>
      <c r="D7" s="14">
        <v>2.6123815113679965</v>
      </c>
      <c r="E7" s="14">
        <v>3.3025233054798337</v>
      </c>
      <c r="F7" s="14">
        <v>3.6838297086414928</v>
      </c>
      <c r="G7" s="14">
        <v>1.9509107584655185</v>
      </c>
      <c r="H7" s="14">
        <v>1.780707914663145</v>
      </c>
      <c r="I7" s="14">
        <v>1.5124124392280254</v>
      </c>
      <c r="J7" s="14">
        <v>1.3865729295505269</v>
      </c>
      <c r="K7" s="14">
        <v>1.3536794657331799</v>
      </c>
      <c r="L7" s="14">
        <v>1.3319733936224811</v>
      </c>
      <c r="M7" s="14">
        <v>1.3097490636205971</v>
      </c>
      <c r="N7" s="14">
        <v>1.2921920083720972</v>
      </c>
      <c r="O7" s="14">
        <v>1.3669421297818711</v>
      </c>
      <c r="P7" s="14">
        <v>1.3432566772046513</v>
      </c>
      <c r="Q7" s="14">
        <v>1.3127343179042792</v>
      </c>
      <c r="R7" s="14">
        <v>1.2822324079103209</v>
      </c>
      <c r="S7" s="14">
        <v>1.2683292375977444</v>
      </c>
      <c r="T7" s="14">
        <v>1.2866760259549268</v>
      </c>
      <c r="U7" s="14">
        <v>1.2766461396352582</v>
      </c>
      <c r="V7" s="14">
        <f t="shared" ref="V7:V11" si="1">SUM(B7:U7)</f>
        <v>35.534891854370109</v>
      </c>
    </row>
    <row r="8" spans="1:22">
      <c r="A8" s="10" t="s">
        <v>10</v>
      </c>
      <c r="B8" s="14">
        <v>0.98406732755524551</v>
      </c>
      <c r="C8" s="14">
        <v>1.0672613229221828</v>
      </c>
      <c r="D8" s="14">
        <v>1.1590492333328701</v>
      </c>
      <c r="E8" s="14">
        <v>1.2200001338511388</v>
      </c>
      <c r="F8" s="14">
        <v>1.2647044439257531</v>
      </c>
      <c r="G8" s="14">
        <v>1.4523884222622878</v>
      </c>
      <c r="H8" s="14">
        <v>1.6339169466955044</v>
      </c>
      <c r="I8" s="14">
        <v>1.7930224866860958</v>
      </c>
      <c r="J8" s="14">
        <v>2.0463066310282341</v>
      </c>
      <c r="K8" s="14">
        <v>2.0692763638794514</v>
      </c>
      <c r="L8" s="14">
        <v>2.1467064172667056</v>
      </c>
      <c r="M8" s="14">
        <v>2.2154328818456395</v>
      </c>
      <c r="N8" s="14">
        <v>2.283081052874075</v>
      </c>
      <c r="O8" s="14">
        <v>2.487794968214009</v>
      </c>
      <c r="P8" s="14">
        <v>2.5722367982239129</v>
      </c>
      <c r="Q8" s="14">
        <v>2.6509673889173309</v>
      </c>
      <c r="R8" s="14">
        <v>2.74561928099275</v>
      </c>
      <c r="S8" s="14">
        <v>2.8073862968491343</v>
      </c>
      <c r="T8" s="14">
        <v>2.9821037245041953</v>
      </c>
      <c r="U8" s="14">
        <v>3.0079807475043356</v>
      </c>
      <c r="V8" s="14">
        <f t="shared" si="1"/>
        <v>40.589302869330844</v>
      </c>
    </row>
    <row r="9" spans="1:22">
      <c r="A9" s="10" t="s">
        <v>11</v>
      </c>
      <c r="B9" s="14">
        <v>0.41339584459862166</v>
      </c>
      <c r="C9" s="14">
        <v>0.43281773528778167</v>
      </c>
      <c r="D9" s="14">
        <v>0.44950045133573213</v>
      </c>
      <c r="E9" s="14">
        <v>0.45616409244956202</v>
      </c>
      <c r="F9" s="14">
        <v>0.46978013057202217</v>
      </c>
      <c r="G9" s="14">
        <v>0.47761463724913267</v>
      </c>
      <c r="H9" s="14">
        <v>0.4891360217984555</v>
      </c>
      <c r="I9" s="14">
        <v>0.50246728388983375</v>
      </c>
      <c r="J9" s="14">
        <v>0.52279588801336174</v>
      </c>
      <c r="K9" s="14">
        <v>0.53037711923102582</v>
      </c>
      <c r="L9" s="14">
        <v>0.53959252027501792</v>
      </c>
      <c r="M9" s="14">
        <v>0.5468292775545065</v>
      </c>
      <c r="N9" s="14">
        <v>0.55272023439562257</v>
      </c>
      <c r="O9" s="14">
        <v>0.55952002968445114</v>
      </c>
      <c r="P9" s="14">
        <v>0.56789996501002249</v>
      </c>
      <c r="Q9" s="14">
        <v>0.57701489813523932</v>
      </c>
      <c r="R9" s="14">
        <v>0.59214594835790901</v>
      </c>
      <c r="S9" s="14">
        <v>0.60165433137319102</v>
      </c>
      <c r="T9" s="14">
        <v>0.61130391527429695</v>
      </c>
      <c r="U9" s="14">
        <v>0.62194017365531296</v>
      </c>
      <c r="V9" s="14">
        <f t="shared" si="1"/>
        <v>10.514670498141097</v>
      </c>
    </row>
    <row r="10" spans="1:22">
      <c r="A10" s="2" t="s">
        <v>12</v>
      </c>
      <c r="B10" s="14">
        <v>0.30001903857128054</v>
      </c>
      <c r="C10" s="14">
        <v>0.31049117744994104</v>
      </c>
      <c r="D10" s="14">
        <v>0.32012014144671586</v>
      </c>
      <c r="E10" s="14">
        <v>0.3219688048626993</v>
      </c>
      <c r="F10" s="14">
        <v>0.32401661433929818</v>
      </c>
      <c r="G10" s="14">
        <v>0.32250157252594797</v>
      </c>
      <c r="H10" s="14">
        <v>0.3268436424006852</v>
      </c>
      <c r="I10" s="14">
        <v>0.33439787941482663</v>
      </c>
      <c r="J10" s="14">
        <v>0.33993545794082597</v>
      </c>
      <c r="K10" s="14">
        <v>0.34325921973644014</v>
      </c>
      <c r="L10" s="14">
        <v>0.34885970961457247</v>
      </c>
      <c r="M10" s="14">
        <v>0.35193714863231068</v>
      </c>
      <c r="N10" s="14">
        <v>0.35511442249029368</v>
      </c>
      <c r="O10" s="14">
        <v>0.3587183102006215</v>
      </c>
      <c r="P10" s="14">
        <v>0.36281839798558613</v>
      </c>
      <c r="Q10" s="14">
        <v>0.36676130737455831</v>
      </c>
      <c r="R10" s="14">
        <v>0.37353626541256657</v>
      </c>
      <c r="S10" s="14">
        <v>0.37752417660858029</v>
      </c>
      <c r="T10" s="14">
        <v>0.38165117075180965</v>
      </c>
      <c r="U10" s="14">
        <v>0.38635897102439254</v>
      </c>
      <c r="V10" s="14">
        <f t="shared" si="1"/>
        <v>6.906833428783953</v>
      </c>
    </row>
    <row r="11" spans="1:22">
      <c r="A11" s="2" t="s">
        <v>13</v>
      </c>
      <c r="B11" s="15">
        <v>0.10503572153891895</v>
      </c>
      <c r="C11" s="15">
        <v>0.11375869281023035</v>
      </c>
      <c r="D11" s="15">
        <v>0.11977895239593182</v>
      </c>
      <c r="E11" s="15">
        <v>0.12928298303596913</v>
      </c>
      <c r="F11" s="15">
        <v>0.13216408262800258</v>
      </c>
      <c r="G11" s="15">
        <v>0.14207296462235408</v>
      </c>
      <c r="H11" s="15">
        <v>0.15277771119137948</v>
      </c>
      <c r="I11" s="15">
        <v>0.16273232527105527</v>
      </c>
      <c r="J11" s="15">
        <v>0.18766208744899932</v>
      </c>
      <c r="K11" s="15">
        <v>0.18865720319494078</v>
      </c>
      <c r="L11" s="15">
        <v>0.19277107181123826</v>
      </c>
      <c r="M11" s="15">
        <v>0.19636336955171127</v>
      </c>
      <c r="N11" s="15">
        <v>0.20012108340333321</v>
      </c>
      <c r="O11" s="15">
        <v>0.21624740882421342</v>
      </c>
      <c r="P11" s="15">
        <v>0.21880772306520013</v>
      </c>
      <c r="Q11" s="15">
        <v>0.22297301672449546</v>
      </c>
      <c r="R11" s="15">
        <v>0.22736792452395899</v>
      </c>
      <c r="S11" s="15">
        <v>0.22943704922236663</v>
      </c>
      <c r="T11" s="15">
        <v>0.24279551101057489</v>
      </c>
      <c r="U11" s="15">
        <v>0.24734141876725135</v>
      </c>
      <c r="V11" s="15">
        <f t="shared" si="1"/>
        <v>3.6281483010421249</v>
      </c>
    </row>
    <row r="12" spans="1:22">
      <c r="A12" s="8" t="s">
        <v>15</v>
      </c>
      <c r="B12" s="16">
        <f>SUM(B6:B11)</f>
        <v>4.248795989222427</v>
      </c>
      <c r="C12" s="16">
        <f t="shared" ref="C12:V12" si="2">SUM(C6:C11)</f>
        <v>4.6129774288207894</v>
      </c>
      <c r="D12" s="16">
        <f t="shared" si="2"/>
        <v>4.8167414922212135</v>
      </c>
      <c r="E12" s="16">
        <f t="shared" si="2"/>
        <v>5.5916716575961214</v>
      </c>
      <c r="F12" s="16">
        <f t="shared" si="2"/>
        <v>6.0327930887110073</v>
      </c>
      <c r="G12" s="16">
        <f t="shared" si="2"/>
        <v>4.4920448053173985</v>
      </c>
      <c r="H12" s="16">
        <f t="shared" si="2"/>
        <v>4.5327964111098815</v>
      </c>
      <c r="I12" s="16">
        <f t="shared" si="2"/>
        <v>4.4586258225376261</v>
      </c>
      <c r="J12" s="16">
        <f t="shared" si="2"/>
        <v>4.6538613162660551</v>
      </c>
      <c r="K12" s="16">
        <f t="shared" si="2"/>
        <v>4.6584921659967771</v>
      </c>
      <c r="L12" s="16">
        <f t="shared" si="2"/>
        <v>4.7347628027931314</v>
      </c>
      <c r="M12" s="16">
        <f t="shared" si="2"/>
        <v>4.7966524673033</v>
      </c>
      <c r="N12" s="16">
        <f t="shared" si="2"/>
        <v>4.8605583546296085</v>
      </c>
      <c r="O12" s="16">
        <f t="shared" si="2"/>
        <v>5.1818430171332093</v>
      </c>
      <c r="P12" s="16">
        <f t="shared" si="2"/>
        <v>5.2591871548768072</v>
      </c>
      <c r="Q12" s="16">
        <f t="shared" si="2"/>
        <v>5.3198814091578264</v>
      </c>
      <c r="R12" s="16">
        <f t="shared" si="2"/>
        <v>5.4122474256282684</v>
      </c>
      <c r="S12" s="16">
        <f t="shared" si="2"/>
        <v>5.4773449795101303</v>
      </c>
      <c r="T12" s="16">
        <f t="shared" si="2"/>
        <v>5.7021599448902407</v>
      </c>
      <c r="U12" s="16">
        <f t="shared" si="2"/>
        <v>5.7396080739695865</v>
      </c>
      <c r="V12" s="16">
        <f t="shared" si="2"/>
        <v>100.58304580769141</v>
      </c>
    </row>
    <row r="14" spans="1:22">
      <c r="A14" s="50" t="s">
        <v>3</v>
      </c>
    </row>
    <row r="15" spans="1:22">
      <c r="A15" s="2" t="s">
        <v>7</v>
      </c>
      <c r="B15" s="14">
        <v>2.42163160368088</v>
      </c>
      <c r="C15" s="14">
        <v>2.2047765867637046</v>
      </c>
      <c r="D15" s="14">
        <v>1.9905716358652599</v>
      </c>
      <c r="E15" s="14">
        <v>1.7770930181742925</v>
      </c>
      <c r="F15" s="14">
        <v>1.7598781614218306</v>
      </c>
      <c r="G15" s="14">
        <v>1.7171518895754438</v>
      </c>
      <c r="H15" s="14">
        <v>1.6589706865718217</v>
      </c>
      <c r="I15" s="14">
        <v>1.6206166756401441</v>
      </c>
      <c r="J15" s="14">
        <v>1.5800291473839341</v>
      </c>
      <c r="K15" s="14">
        <v>1.6153951949188532</v>
      </c>
      <c r="L15" s="14">
        <v>1.5982439065444511</v>
      </c>
      <c r="M15" s="14">
        <v>1.6250858498349563</v>
      </c>
      <c r="N15" s="14">
        <v>1.582095640434549</v>
      </c>
      <c r="O15" s="14">
        <v>1.4635547579270631</v>
      </c>
      <c r="P15" s="14">
        <v>1.4783848332475871</v>
      </c>
      <c r="Q15" s="14">
        <v>1.4636427957758076</v>
      </c>
      <c r="R15" s="14">
        <v>1.4551928064228694</v>
      </c>
      <c r="S15" s="14">
        <v>1.4316859309374785</v>
      </c>
      <c r="T15" s="14">
        <v>1.3383686306486611</v>
      </c>
      <c r="U15" s="14">
        <v>1.3097891891335929</v>
      </c>
      <c r="V15" s="14">
        <f t="shared" ref="V15:V17" si="3">SUM(B15:U15)</f>
        <v>33.092158940903182</v>
      </c>
    </row>
    <row r="16" spans="1:22">
      <c r="A16" s="2" t="s">
        <v>6</v>
      </c>
      <c r="B16" s="14">
        <v>4.395279128991727</v>
      </c>
      <c r="C16" s="14">
        <v>3.9516787859370801</v>
      </c>
      <c r="D16" s="14">
        <v>3.5826401026807733</v>
      </c>
      <c r="E16" s="14">
        <v>3.3964344799359827</v>
      </c>
      <c r="F16" s="14">
        <v>3.3545650625004777</v>
      </c>
      <c r="G16" s="14">
        <v>3.3023225718603064</v>
      </c>
      <c r="H16" s="14">
        <v>3.1904321278528864</v>
      </c>
      <c r="I16" s="14">
        <v>3.1166718618045213</v>
      </c>
      <c r="J16" s="14">
        <v>2.8576721813853481</v>
      </c>
      <c r="K16" s="14">
        <v>2.9665670638567354</v>
      </c>
      <c r="L16" s="14">
        <v>2.8877782570637947</v>
      </c>
      <c r="M16" s="14">
        <v>2.9066387464944747</v>
      </c>
      <c r="N16" s="14">
        <v>2.7623827327396837</v>
      </c>
      <c r="O16" s="14">
        <v>2.3740912323941563</v>
      </c>
      <c r="P16" s="14">
        <v>2.4418480919546344</v>
      </c>
      <c r="Q16" s="14">
        <v>2.3789082063283979</v>
      </c>
      <c r="R16" s="14">
        <v>2.332021943872185</v>
      </c>
      <c r="S16" s="14">
        <v>2.2485201816219926</v>
      </c>
      <c r="T16" s="14">
        <v>1.9695117969680198</v>
      </c>
      <c r="U16" s="14">
        <v>1.9413231865432381</v>
      </c>
      <c r="V16" s="14">
        <f t="shared" si="3"/>
        <v>58.357287742786404</v>
      </c>
    </row>
    <row r="17" spans="1:22">
      <c r="A17" s="2" t="s">
        <v>5</v>
      </c>
      <c r="B17" s="15">
        <v>5.7515289458135399</v>
      </c>
      <c r="C17" s="15">
        <v>6.2712064748812653</v>
      </c>
      <c r="D17" s="15">
        <v>6.4585779963638439</v>
      </c>
      <c r="E17" s="15">
        <v>5.9458893142034874</v>
      </c>
      <c r="F17" s="15">
        <v>6.1869309920933375</v>
      </c>
      <c r="G17" s="15">
        <v>6.0935965915190398</v>
      </c>
      <c r="H17" s="15">
        <v>5.9209808565702442</v>
      </c>
      <c r="I17" s="15">
        <v>5.8987803009361492</v>
      </c>
      <c r="J17" s="15">
        <v>5.5717218647064417</v>
      </c>
      <c r="K17" s="15">
        <v>5.649282322891775</v>
      </c>
      <c r="L17" s="15">
        <v>5.6150458606450693</v>
      </c>
      <c r="M17" s="15">
        <v>5.4957750626905071</v>
      </c>
      <c r="N17" s="15">
        <v>5.4628110587378602</v>
      </c>
      <c r="O17" s="15">
        <v>5.2838170999077088</v>
      </c>
      <c r="P17" s="15">
        <v>5.375687204521796</v>
      </c>
      <c r="Q17" s="15">
        <v>5.3474777716241322</v>
      </c>
      <c r="R17" s="15">
        <v>5.3233742801556181</v>
      </c>
      <c r="S17" s="15">
        <v>5.29320946680307</v>
      </c>
      <c r="T17" s="15">
        <v>5.1592860388727395</v>
      </c>
      <c r="U17" s="15">
        <v>5.2633429193889842</v>
      </c>
      <c r="V17" s="15">
        <f t="shared" si="3"/>
        <v>113.36832242332659</v>
      </c>
    </row>
    <row r="18" spans="1:22">
      <c r="A18" s="8" t="s">
        <v>16</v>
      </c>
      <c r="B18" s="16">
        <f>SUM(B15:B17)</f>
        <v>12.568439678486147</v>
      </c>
      <c r="C18" s="16">
        <f t="shared" ref="C18:V18" si="4">SUM(C15:C17)</f>
        <v>12.427661847582051</v>
      </c>
      <c r="D18" s="16">
        <f t="shared" si="4"/>
        <v>12.031789734909877</v>
      </c>
      <c r="E18" s="16">
        <f t="shared" si="4"/>
        <v>11.119416812313762</v>
      </c>
      <c r="F18" s="16">
        <f t="shared" si="4"/>
        <v>11.301374216015645</v>
      </c>
      <c r="G18" s="16">
        <f t="shared" si="4"/>
        <v>11.11307105295479</v>
      </c>
      <c r="H18" s="16">
        <f t="shared" si="4"/>
        <v>10.770383670994953</v>
      </c>
      <c r="I18" s="16">
        <f t="shared" si="4"/>
        <v>10.636068838380815</v>
      </c>
      <c r="J18" s="16">
        <f t="shared" si="4"/>
        <v>10.009423193475724</v>
      </c>
      <c r="K18" s="16">
        <f t="shared" si="4"/>
        <v>10.231244581667363</v>
      </c>
      <c r="L18" s="16">
        <f t="shared" si="4"/>
        <v>10.101068024253316</v>
      </c>
      <c r="M18" s="16">
        <f t="shared" si="4"/>
        <v>10.027499659019938</v>
      </c>
      <c r="N18" s="16">
        <f t="shared" si="4"/>
        <v>9.8072894319120927</v>
      </c>
      <c r="O18" s="16">
        <f t="shared" si="4"/>
        <v>9.1214630902289286</v>
      </c>
      <c r="P18" s="16">
        <f t="shared" si="4"/>
        <v>9.295920129724017</v>
      </c>
      <c r="Q18" s="16">
        <f t="shared" si="4"/>
        <v>9.1900287737283382</v>
      </c>
      <c r="R18" s="16">
        <f t="shared" si="4"/>
        <v>9.1105890304506723</v>
      </c>
      <c r="S18" s="16">
        <f t="shared" si="4"/>
        <v>8.9734155793625412</v>
      </c>
      <c r="T18" s="16">
        <f t="shared" si="4"/>
        <v>8.4671664664894202</v>
      </c>
      <c r="U18" s="16">
        <f t="shared" si="4"/>
        <v>8.5144552950658152</v>
      </c>
      <c r="V18" s="16">
        <f t="shared" si="4"/>
        <v>204.81776910701618</v>
      </c>
    </row>
    <row r="19" spans="1:22">
      <c r="A19" s="8"/>
    </row>
    <row r="20" spans="1:22" s="4" customFormat="1">
      <c r="A20" s="3" t="s">
        <v>4</v>
      </c>
      <c r="B20" s="16">
        <f>B12+B18</f>
        <v>16.817235667708573</v>
      </c>
      <c r="C20" s="16">
        <f t="shared" ref="C20:V20" si="5">C12+C18</f>
        <v>17.040639276402842</v>
      </c>
      <c r="D20" s="16">
        <f t="shared" si="5"/>
        <v>16.84853122713109</v>
      </c>
      <c r="E20" s="16">
        <f t="shared" si="5"/>
        <v>16.711088469909882</v>
      </c>
      <c r="F20" s="16">
        <f t="shared" si="5"/>
        <v>17.334167304726652</v>
      </c>
      <c r="G20" s="16">
        <f t="shared" si="5"/>
        <v>15.605115858272189</v>
      </c>
      <c r="H20" s="16">
        <f t="shared" si="5"/>
        <v>15.303180082104834</v>
      </c>
      <c r="I20" s="16">
        <f t="shared" si="5"/>
        <v>15.094694660918442</v>
      </c>
      <c r="J20" s="16">
        <f t="shared" si="5"/>
        <v>14.663284509741779</v>
      </c>
      <c r="K20" s="16">
        <f t="shared" si="5"/>
        <v>14.889736747664141</v>
      </c>
      <c r="L20" s="16">
        <f t="shared" si="5"/>
        <v>14.835830827046447</v>
      </c>
      <c r="M20" s="16">
        <f t="shared" si="5"/>
        <v>14.824152126323238</v>
      </c>
      <c r="N20" s="16">
        <f t="shared" si="5"/>
        <v>14.667847786541701</v>
      </c>
      <c r="O20" s="16">
        <f t="shared" si="5"/>
        <v>14.303306107362138</v>
      </c>
      <c r="P20" s="16">
        <f t="shared" si="5"/>
        <v>14.555107284600824</v>
      </c>
      <c r="Q20" s="16">
        <f t="shared" si="5"/>
        <v>14.509910182886165</v>
      </c>
      <c r="R20" s="16">
        <f t="shared" si="5"/>
        <v>14.522836456078942</v>
      </c>
      <c r="S20" s="16">
        <f t="shared" si="5"/>
        <v>14.450760558872672</v>
      </c>
      <c r="T20" s="16">
        <f t="shared" si="5"/>
        <v>14.169326411379661</v>
      </c>
      <c r="U20" s="16">
        <f t="shared" si="5"/>
        <v>14.254063369035402</v>
      </c>
      <c r="V20" s="16">
        <f t="shared" si="5"/>
        <v>305.40081491470755</v>
      </c>
    </row>
    <row r="21" spans="1:22">
      <c r="A21" s="1"/>
    </row>
    <row r="22" spans="1:22" s="6" customFormat="1">
      <c r="A22" s="5" t="s">
        <v>19</v>
      </c>
      <c r="B22" s="6">
        <v>2015</v>
      </c>
      <c r="C22" s="6">
        <v>2016</v>
      </c>
      <c r="D22" s="6">
        <v>2017</v>
      </c>
      <c r="E22" s="6">
        <v>2018</v>
      </c>
      <c r="F22" s="6">
        <v>2019</v>
      </c>
      <c r="G22" s="6">
        <v>2020</v>
      </c>
      <c r="H22" s="6">
        <v>2021</v>
      </c>
      <c r="I22" s="6">
        <v>2022</v>
      </c>
      <c r="J22" s="6">
        <v>2023</v>
      </c>
      <c r="K22" s="6">
        <v>2024</v>
      </c>
      <c r="L22" s="6">
        <v>2025</v>
      </c>
      <c r="M22" s="6">
        <v>2026</v>
      </c>
      <c r="N22" s="6">
        <v>2027</v>
      </c>
      <c r="O22" s="6">
        <v>2028</v>
      </c>
      <c r="P22" s="6">
        <v>2029</v>
      </c>
      <c r="Q22" s="6">
        <v>2030</v>
      </c>
      <c r="R22" s="6">
        <v>2031</v>
      </c>
      <c r="S22" s="6">
        <v>2032</v>
      </c>
      <c r="T22" s="6">
        <v>2033</v>
      </c>
      <c r="U22" s="6">
        <v>2034</v>
      </c>
      <c r="V22" s="6" t="s">
        <v>14</v>
      </c>
    </row>
    <row r="23" spans="1:22">
      <c r="A23" s="50" t="s">
        <v>2</v>
      </c>
    </row>
    <row r="24" spans="1:22">
      <c r="A24" s="9" t="s">
        <v>8</v>
      </c>
      <c r="B24" s="14">
        <v>0.23317790158458856</v>
      </c>
      <c r="C24" s="14">
        <v>0.27846988714953136</v>
      </c>
      <c r="D24" s="14">
        <v>0.33483176875061538</v>
      </c>
      <c r="E24" s="14">
        <v>0.32939023046173771</v>
      </c>
      <c r="F24" s="14">
        <v>0.30992876616457571</v>
      </c>
      <c r="G24" s="14">
        <v>0.25590887148021058</v>
      </c>
      <c r="H24" s="14">
        <v>0.27060696941559126</v>
      </c>
      <c r="I24" s="14">
        <v>0.27988910869835504</v>
      </c>
      <c r="J24" s="14">
        <v>0.31504542181159817</v>
      </c>
      <c r="K24" s="14">
        <v>0.33108770860687131</v>
      </c>
      <c r="L24" s="14">
        <v>0.33425130921873503</v>
      </c>
      <c r="M24" s="14">
        <v>0.33715590421438207</v>
      </c>
      <c r="N24" s="14">
        <v>0.34756120175458804</v>
      </c>
      <c r="O24" s="14">
        <v>0.37910049278438795</v>
      </c>
      <c r="P24" s="14">
        <v>0.38222518189361709</v>
      </c>
      <c r="Q24" s="14">
        <v>0.39659446501951762</v>
      </c>
      <c r="R24" s="14">
        <v>0.40069643372149688</v>
      </c>
      <c r="S24" s="14">
        <v>0.40428249243087483</v>
      </c>
      <c r="T24" s="14">
        <v>0.44179389446392303</v>
      </c>
      <c r="U24" s="14">
        <v>0.44572615734925519</v>
      </c>
      <c r="V24" s="14">
        <f>SUM(B24:U24)</f>
        <v>6.8077241669744524</v>
      </c>
    </row>
    <row r="25" spans="1:22">
      <c r="A25" s="10" t="s">
        <v>9</v>
      </c>
      <c r="B25" s="14">
        <v>5.0278446165275241</v>
      </c>
      <c r="C25" s="14">
        <v>5.4738385436771155</v>
      </c>
      <c r="D25" s="14">
        <v>5.7305102892058004</v>
      </c>
      <c r="E25" s="14">
        <v>7.1344101490011322</v>
      </c>
      <c r="F25" s="14">
        <v>7.85837530901384</v>
      </c>
      <c r="G25" s="14">
        <v>3.9649351674806277</v>
      </c>
      <c r="H25" s="14">
        <v>3.4751478964028508</v>
      </c>
      <c r="I25" s="14">
        <v>2.6925779995177934</v>
      </c>
      <c r="J25" s="14">
        <v>2.1407190836895409</v>
      </c>
      <c r="K25" s="14">
        <v>2.0129544548648566</v>
      </c>
      <c r="L25" s="14">
        <v>1.8355209745586252</v>
      </c>
      <c r="M25" s="14">
        <v>1.8008867389164254</v>
      </c>
      <c r="N25" s="14">
        <v>1.7700437233884241</v>
      </c>
      <c r="O25" s="14">
        <v>1.8785314923964016</v>
      </c>
      <c r="P25" s="14">
        <v>1.8436421471659141</v>
      </c>
      <c r="Q25" s="14">
        <v>1.7750021110992227</v>
      </c>
      <c r="R25" s="14">
        <v>1.7060678935714015</v>
      </c>
      <c r="S25" s="14">
        <v>1.6850306430935396</v>
      </c>
      <c r="T25" s="14">
        <v>1.7141469931838595</v>
      </c>
      <c r="U25" s="14">
        <v>1.6942439967796832</v>
      </c>
      <c r="V25" s="14">
        <f t="shared" ref="V25:V29" si="6">SUM(B25:U25)</f>
        <v>63.214430223534585</v>
      </c>
    </row>
    <row r="26" spans="1:22">
      <c r="A26" s="10" t="s">
        <v>10</v>
      </c>
      <c r="B26" s="14">
        <v>1.2243667856990574</v>
      </c>
      <c r="C26" s="14">
        <v>1.3156078139796834</v>
      </c>
      <c r="D26" s="14">
        <v>1.3991056954024204</v>
      </c>
      <c r="E26" s="14">
        <v>1.480541526544791</v>
      </c>
      <c r="F26" s="14">
        <v>1.4967830300597504</v>
      </c>
      <c r="G26" s="14">
        <v>1.6617172381487837</v>
      </c>
      <c r="H26" s="14">
        <v>1.936665075444655</v>
      </c>
      <c r="I26" s="14">
        <v>2.1874539366483874</v>
      </c>
      <c r="J26" s="14">
        <v>2.5963519316886847</v>
      </c>
      <c r="K26" s="14">
        <v>2.6332394145055709</v>
      </c>
      <c r="L26" s="14">
        <v>2.7196093410748001</v>
      </c>
      <c r="M26" s="14">
        <v>2.8270481274679007</v>
      </c>
      <c r="N26" s="14">
        <v>2.8714752579521501</v>
      </c>
      <c r="O26" s="14">
        <v>3.008791885410353</v>
      </c>
      <c r="P26" s="14">
        <v>3.0540849836166135</v>
      </c>
      <c r="Q26" s="14">
        <v>3.1190642120919359</v>
      </c>
      <c r="R26" s="14">
        <v>3.1879120354508759</v>
      </c>
      <c r="S26" s="14">
        <v>3.2657915864144589</v>
      </c>
      <c r="T26" s="14">
        <v>3.3840749039329996</v>
      </c>
      <c r="U26" s="14">
        <v>3.4804256734296906</v>
      </c>
      <c r="V26" s="14">
        <f t="shared" si="6"/>
        <v>48.850110454963563</v>
      </c>
    </row>
    <row r="27" spans="1:22">
      <c r="A27" s="10" t="s">
        <v>11</v>
      </c>
      <c r="B27" s="14">
        <v>0.57549375795070079</v>
      </c>
      <c r="C27" s="14">
        <v>0.60044924710046454</v>
      </c>
      <c r="D27" s="14">
        <v>0.62575890492967901</v>
      </c>
      <c r="E27" s="14">
        <v>0.62948480922905392</v>
      </c>
      <c r="F27" s="14">
        <v>0.65037044939717725</v>
      </c>
      <c r="G27" s="14">
        <v>0.62406249311238238</v>
      </c>
      <c r="H27" s="14">
        <v>0.64096777046284559</v>
      </c>
      <c r="I27" s="14">
        <v>0.65613191097726498</v>
      </c>
      <c r="J27" s="14">
        <v>0.68726071294197877</v>
      </c>
      <c r="K27" s="14">
        <v>0.70181051077463907</v>
      </c>
      <c r="L27" s="14">
        <v>0.71260247759260953</v>
      </c>
      <c r="M27" s="14">
        <v>0.72323868238314737</v>
      </c>
      <c r="N27" s="14">
        <v>0.73398366699023354</v>
      </c>
      <c r="O27" s="14">
        <v>0.74591425462924221</v>
      </c>
      <c r="P27" s="14">
        <v>0.75558911487827196</v>
      </c>
      <c r="Q27" s="14">
        <v>0.7662366191292157</v>
      </c>
      <c r="R27" s="14">
        <v>0.78335429076522756</v>
      </c>
      <c r="S27" s="14">
        <v>0.79441433043161835</v>
      </c>
      <c r="T27" s="14">
        <v>0.80565424558369947</v>
      </c>
      <c r="U27" s="14">
        <v>0.81784035715123871</v>
      </c>
      <c r="V27" s="14">
        <f t="shared" si="6"/>
        <v>14.030618606410695</v>
      </c>
    </row>
    <row r="28" spans="1:22">
      <c r="A28" s="2" t="s">
        <v>12</v>
      </c>
      <c r="B28" s="14">
        <v>0.47651681604829699</v>
      </c>
      <c r="C28" s="14">
        <v>0.49433667175145501</v>
      </c>
      <c r="D28" s="14">
        <v>0.50799413078292532</v>
      </c>
      <c r="E28" s="14">
        <v>0.50521706193152105</v>
      </c>
      <c r="F28" s="14">
        <v>0.50388058304918137</v>
      </c>
      <c r="G28" s="14">
        <v>0.47917272024587682</v>
      </c>
      <c r="H28" s="14">
        <v>0.48456784370048744</v>
      </c>
      <c r="I28" s="14">
        <v>0.49449953464195989</v>
      </c>
      <c r="J28" s="14">
        <v>0.50123421229491261</v>
      </c>
      <c r="K28" s="14">
        <v>0.50643849943424413</v>
      </c>
      <c r="L28" s="14">
        <v>0.51414123794556366</v>
      </c>
      <c r="M28" s="14">
        <v>0.51817525769991268</v>
      </c>
      <c r="N28" s="14">
        <v>0.52174053464941628</v>
      </c>
      <c r="O28" s="14">
        <v>0.52651007465989919</v>
      </c>
      <c r="P28" s="14">
        <v>0.53424573730689762</v>
      </c>
      <c r="Q28" s="14">
        <v>0.53939572370536493</v>
      </c>
      <c r="R28" s="14">
        <v>0.54790031624095981</v>
      </c>
      <c r="S28" s="14">
        <v>0.5544620222094635</v>
      </c>
      <c r="T28" s="14">
        <v>0.55985303518001417</v>
      </c>
      <c r="U28" s="14">
        <v>0.5658620554183158</v>
      </c>
      <c r="V28" s="14">
        <f t="shared" si="6"/>
        <v>10.336144068896669</v>
      </c>
    </row>
    <row r="29" spans="1:22">
      <c r="A29" s="2" t="s">
        <v>13</v>
      </c>
      <c r="B29" s="15">
        <v>0.15280421606089045</v>
      </c>
      <c r="C29" s="15">
        <v>0.16723810006814649</v>
      </c>
      <c r="D29" s="15">
        <v>0.17558162524310586</v>
      </c>
      <c r="E29" s="15">
        <v>0.19052753232329991</v>
      </c>
      <c r="F29" s="15">
        <v>0.19451344066155787</v>
      </c>
      <c r="G29" s="15">
        <v>0.20779676467142097</v>
      </c>
      <c r="H29" s="15">
        <v>0.22467771925360158</v>
      </c>
      <c r="I29" s="15">
        <v>0.24117145554358324</v>
      </c>
      <c r="J29" s="15">
        <v>0.28012105596677289</v>
      </c>
      <c r="K29" s="15">
        <v>0.28100957923242059</v>
      </c>
      <c r="L29" s="15">
        <v>0.29069771271192402</v>
      </c>
      <c r="M29" s="15">
        <v>0.29752411218061736</v>
      </c>
      <c r="N29" s="15">
        <v>0.30640114481376984</v>
      </c>
      <c r="O29" s="15">
        <v>0.33722069491020623</v>
      </c>
      <c r="P29" s="15">
        <v>0.34330254425011603</v>
      </c>
      <c r="Q29" s="15">
        <v>0.35315799955235494</v>
      </c>
      <c r="R29" s="15">
        <v>0.36304206661131383</v>
      </c>
      <c r="S29" s="15">
        <v>0.36766498280470222</v>
      </c>
      <c r="T29" s="15">
        <v>0.39512717010104226</v>
      </c>
      <c r="U29" s="15">
        <v>0.40591294982903436</v>
      </c>
      <c r="V29" s="15">
        <f t="shared" si="6"/>
        <v>5.5754928667898813</v>
      </c>
    </row>
    <row r="30" spans="1:22">
      <c r="A30" s="8" t="s">
        <v>15</v>
      </c>
      <c r="B30" s="16">
        <f>SUM(B24:B29)</f>
        <v>7.690204093871059</v>
      </c>
      <c r="C30" s="16">
        <f t="shared" ref="C30:V30" si="7">SUM(C24:C29)</f>
        <v>8.329940263726396</v>
      </c>
      <c r="D30" s="16">
        <f t="shared" si="7"/>
        <v>8.7737824143145478</v>
      </c>
      <c r="E30" s="16">
        <f t="shared" si="7"/>
        <v>10.269571309491536</v>
      </c>
      <c r="F30" s="16">
        <f t="shared" si="7"/>
        <v>11.013851578346083</v>
      </c>
      <c r="G30" s="16">
        <f t="shared" si="7"/>
        <v>7.1935932551393025</v>
      </c>
      <c r="H30" s="16">
        <f t="shared" si="7"/>
        <v>7.0326332746800313</v>
      </c>
      <c r="I30" s="16">
        <f t="shared" si="7"/>
        <v>6.5517239460273444</v>
      </c>
      <c r="J30" s="16">
        <f t="shared" si="7"/>
        <v>6.5207324183934876</v>
      </c>
      <c r="K30" s="16">
        <f t="shared" si="7"/>
        <v>6.4665401674186027</v>
      </c>
      <c r="L30" s="16">
        <f t="shared" si="7"/>
        <v>6.406823053102257</v>
      </c>
      <c r="M30" s="16">
        <f t="shared" si="7"/>
        <v>6.5040288228623861</v>
      </c>
      <c r="N30" s="16">
        <f t="shared" si="7"/>
        <v>6.5512055295485823</v>
      </c>
      <c r="O30" s="16">
        <f t="shared" si="7"/>
        <v>6.8760688947904889</v>
      </c>
      <c r="P30" s="16">
        <f t="shared" si="7"/>
        <v>6.9130897091114294</v>
      </c>
      <c r="Q30" s="16">
        <f t="shared" si="7"/>
        <v>6.9494511305976117</v>
      </c>
      <c r="R30" s="16">
        <f t="shared" si="7"/>
        <v>6.9889730363612754</v>
      </c>
      <c r="S30" s="16">
        <f t="shared" si="7"/>
        <v>7.0716460573846582</v>
      </c>
      <c r="T30" s="16">
        <f t="shared" si="7"/>
        <v>7.3006502424455375</v>
      </c>
      <c r="U30" s="16">
        <f t="shared" si="7"/>
        <v>7.410011189957217</v>
      </c>
      <c r="V30" s="16">
        <f t="shared" si="7"/>
        <v>148.81452038756981</v>
      </c>
    </row>
    <row r="32" spans="1:22">
      <c r="A32" s="50" t="s">
        <v>3</v>
      </c>
      <c r="V32" s="14"/>
    </row>
    <row r="33" spans="1:26">
      <c r="A33" s="2" t="s">
        <v>7</v>
      </c>
      <c r="B33" s="14">
        <v>1.7260358076872222</v>
      </c>
      <c r="C33" s="14">
        <v>1.5834294568785086</v>
      </c>
      <c r="D33" s="14">
        <v>1.4427086982562265</v>
      </c>
      <c r="E33" s="14">
        <v>1.2949822578793413</v>
      </c>
      <c r="F33" s="14">
        <v>1.2842926016279661</v>
      </c>
      <c r="G33" s="14">
        <v>1.2561988697265198</v>
      </c>
      <c r="H33" s="14">
        <v>1.2136358578447632</v>
      </c>
      <c r="I33" s="14">
        <v>1.1855776084722605</v>
      </c>
      <c r="J33" s="14">
        <v>1.1558854155104619</v>
      </c>
      <c r="K33" s="14">
        <v>1.1817577849861876</v>
      </c>
      <c r="L33" s="14">
        <v>1.1692106058878864</v>
      </c>
      <c r="M33" s="14">
        <v>1.1888470745105928</v>
      </c>
      <c r="N33" s="14">
        <v>1.1573971795630347</v>
      </c>
      <c r="O33" s="14">
        <v>1.0706774708138072</v>
      </c>
      <c r="P33" s="14">
        <v>1.0815265497031352</v>
      </c>
      <c r="Q33" s="14">
        <v>1.0707418719434407</v>
      </c>
      <c r="R33" s="14">
        <v>1.0645602038123838</v>
      </c>
      <c r="S33" s="14">
        <v>1.0473635198137863</v>
      </c>
      <c r="T33" s="14">
        <v>0.97909636178395976</v>
      </c>
      <c r="U33" s="14">
        <v>0.95818879072719099</v>
      </c>
      <c r="V33" s="14">
        <f t="shared" ref="V33:V35" si="8">SUM(B33:U33)</f>
        <v>24.112113987428671</v>
      </c>
    </row>
    <row r="34" spans="1:26">
      <c r="A34" s="2" t="s">
        <v>6</v>
      </c>
      <c r="B34" s="14">
        <v>3.1450084784590979</v>
      </c>
      <c r="C34" s="14">
        <v>2.7944644679644703</v>
      </c>
      <c r="D34" s="14">
        <v>2.5216986986553271</v>
      </c>
      <c r="E34" s="14">
        <v>2.3868764197870598</v>
      </c>
      <c r="F34" s="14">
        <v>2.3227198856179134</v>
      </c>
      <c r="G34" s="14">
        <v>2.2765410585066412</v>
      </c>
      <c r="H34" s="14">
        <v>2.1994065155058582</v>
      </c>
      <c r="I34" s="14">
        <v>2.1485579555734651</v>
      </c>
      <c r="J34" s="14">
        <v>1.9700098724333857</v>
      </c>
      <c r="K34" s="14">
        <v>2.0450793700245544</v>
      </c>
      <c r="L34" s="14">
        <v>1.9907642741612819</v>
      </c>
      <c r="M34" s="14">
        <v>2.0037662160840028</v>
      </c>
      <c r="N34" s="14">
        <v>1.9043196435490135</v>
      </c>
      <c r="O34" s="14">
        <v>1.6366408822989287</v>
      </c>
      <c r="P34" s="14">
        <v>1.6833508434290305</v>
      </c>
      <c r="Q34" s="14">
        <v>1.6399616024657189</v>
      </c>
      <c r="R34" s="14">
        <v>1.6076393620578959</v>
      </c>
      <c r="S34" s="14">
        <v>1.5500752573658261</v>
      </c>
      <c r="T34" s="14">
        <v>1.3577336453084468</v>
      </c>
      <c r="U34" s="14">
        <v>1.3383010941352904</v>
      </c>
      <c r="V34" s="14">
        <f t="shared" si="8"/>
        <v>40.522915543383206</v>
      </c>
    </row>
    <row r="35" spans="1:26">
      <c r="A35" s="2" t="s">
        <v>5</v>
      </c>
      <c r="B35" s="15">
        <v>4.6077906173177663</v>
      </c>
      <c r="C35" s="15">
        <v>4.8889763228469612</v>
      </c>
      <c r="D35" s="15">
        <v>5.0317629845098661</v>
      </c>
      <c r="E35" s="15">
        <v>4.791093368513244</v>
      </c>
      <c r="F35" s="15">
        <v>4.8951499424287643</v>
      </c>
      <c r="G35" s="15">
        <v>4.854636232160443</v>
      </c>
      <c r="H35" s="15">
        <v>4.7318801370073071</v>
      </c>
      <c r="I35" s="15">
        <v>4.7253126662459355</v>
      </c>
      <c r="J35" s="15">
        <v>4.4856956997288826</v>
      </c>
      <c r="K35" s="15">
        <v>4.5555974334749916</v>
      </c>
      <c r="L35" s="15">
        <v>4.5404513344627899</v>
      </c>
      <c r="M35" s="15">
        <v>4.46074651286155</v>
      </c>
      <c r="N35" s="15">
        <v>4.4474445517638301</v>
      </c>
      <c r="O35" s="15">
        <v>4.3228747286166946</v>
      </c>
      <c r="P35" s="15">
        <v>4.4054829450459891</v>
      </c>
      <c r="Q35" s="15">
        <v>4.3956808815505477</v>
      </c>
      <c r="R35" s="15">
        <v>4.3892460641158122</v>
      </c>
      <c r="S35" s="15">
        <v>4.3784086558707944</v>
      </c>
      <c r="T35" s="15">
        <v>4.2884121112901097</v>
      </c>
      <c r="U35" s="15">
        <v>4.3806306720553527</v>
      </c>
      <c r="V35" s="15">
        <f t="shared" si="8"/>
        <v>91.577273861867639</v>
      </c>
    </row>
    <row r="36" spans="1:26">
      <c r="A36" s="8" t="s">
        <v>16</v>
      </c>
      <c r="B36" s="16">
        <f>SUM(B33:B35)</f>
        <v>9.4788349034640866</v>
      </c>
      <c r="C36" s="16">
        <f t="shared" ref="C36:V36" si="9">SUM(C33:C35)</f>
        <v>9.2668702476899405</v>
      </c>
      <c r="D36" s="16">
        <f t="shared" si="9"/>
        <v>8.99617038142142</v>
      </c>
      <c r="E36" s="16">
        <f t="shared" si="9"/>
        <v>8.4729520461796461</v>
      </c>
      <c r="F36" s="16">
        <f t="shared" si="9"/>
        <v>8.5021624296746445</v>
      </c>
      <c r="G36" s="16">
        <f t="shared" si="9"/>
        <v>8.3873761603936039</v>
      </c>
      <c r="H36" s="16">
        <f t="shared" si="9"/>
        <v>8.1449225103579295</v>
      </c>
      <c r="I36" s="16">
        <f t="shared" si="9"/>
        <v>8.059448230291661</v>
      </c>
      <c r="J36" s="16">
        <f t="shared" si="9"/>
        <v>7.6115909876727299</v>
      </c>
      <c r="K36" s="16">
        <f t="shared" si="9"/>
        <v>7.7824345884857333</v>
      </c>
      <c r="L36" s="16">
        <f t="shared" si="9"/>
        <v>7.7004262145119586</v>
      </c>
      <c r="M36" s="16">
        <f t="shared" si="9"/>
        <v>7.6533598034561461</v>
      </c>
      <c r="N36" s="16">
        <f t="shared" si="9"/>
        <v>7.5091613748758785</v>
      </c>
      <c r="O36" s="16">
        <f t="shared" si="9"/>
        <v>7.0301930817294309</v>
      </c>
      <c r="P36" s="16">
        <f t="shared" si="9"/>
        <v>7.1703603381781544</v>
      </c>
      <c r="Q36" s="16">
        <f t="shared" si="9"/>
        <v>7.1063843559597073</v>
      </c>
      <c r="R36" s="16">
        <f t="shared" si="9"/>
        <v>7.0614456299860917</v>
      </c>
      <c r="S36" s="16">
        <f t="shared" si="9"/>
        <v>6.975847433050407</v>
      </c>
      <c r="T36" s="16">
        <f t="shared" si="9"/>
        <v>6.6252421183825163</v>
      </c>
      <c r="U36" s="16">
        <f t="shared" si="9"/>
        <v>6.677120556917834</v>
      </c>
      <c r="V36" s="16">
        <f t="shared" si="9"/>
        <v>156.21230339267953</v>
      </c>
    </row>
    <row r="37" spans="1:26">
      <c r="A37" s="8"/>
    </row>
    <row r="38" spans="1:26">
      <c r="A38" s="3" t="s">
        <v>4</v>
      </c>
      <c r="B38" s="16">
        <f>B30+B36</f>
        <v>17.169038997335146</v>
      </c>
      <c r="C38" s="16">
        <f t="shared" ref="C38:V38" si="10">C30+C36</f>
        <v>17.596810511416336</v>
      </c>
      <c r="D38" s="16">
        <f t="shared" si="10"/>
        <v>17.769952795735968</v>
      </c>
      <c r="E38" s="16">
        <f t="shared" si="10"/>
        <v>18.742523355671182</v>
      </c>
      <c r="F38" s="16">
        <f t="shared" si="10"/>
        <v>19.516014008020726</v>
      </c>
      <c r="G38" s="16">
        <f t="shared" si="10"/>
        <v>15.580969415532905</v>
      </c>
      <c r="H38" s="16">
        <f t="shared" si="10"/>
        <v>15.17755578503796</v>
      </c>
      <c r="I38" s="16">
        <f t="shared" si="10"/>
        <v>14.611172176319005</v>
      </c>
      <c r="J38" s="16">
        <f t="shared" si="10"/>
        <v>14.132323406066217</v>
      </c>
      <c r="K38" s="16">
        <f t="shared" si="10"/>
        <v>14.248974755904335</v>
      </c>
      <c r="L38" s="16">
        <f t="shared" si="10"/>
        <v>14.107249267614215</v>
      </c>
      <c r="M38" s="16">
        <f t="shared" si="10"/>
        <v>14.157388626318532</v>
      </c>
      <c r="N38" s="16">
        <f t="shared" si="10"/>
        <v>14.060366904424461</v>
      </c>
      <c r="O38" s="16">
        <f t="shared" si="10"/>
        <v>13.90626197651992</v>
      </c>
      <c r="P38" s="16">
        <f t="shared" si="10"/>
        <v>14.083450047289585</v>
      </c>
      <c r="Q38" s="16">
        <f t="shared" si="10"/>
        <v>14.055835486557319</v>
      </c>
      <c r="R38" s="16">
        <f t="shared" si="10"/>
        <v>14.050418666347367</v>
      </c>
      <c r="S38" s="16">
        <f t="shared" si="10"/>
        <v>14.047493490435066</v>
      </c>
      <c r="T38" s="16">
        <f t="shared" si="10"/>
        <v>13.925892360828055</v>
      </c>
      <c r="U38" s="16">
        <f t="shared" si="10"/>
        <v>14.087131746875052</v>
      </c>
      <c r="V38" s="16">
        <f t="shared" si="10"/>
        <v>305.02682378024934</v>
      </c>
    </row>
    <row r="39" spans="1:26">
      <c r="A39" s="3"/>
      <c r="B39" s="16"/>
      <c r="C39" s="16"/>
      <c r="D39" s="16"/>
      <c r="E39" s="16"/>
      <c r="F39" s="16"/>
      <c r="G39" s="16"/>
      <c r="H39" s="16"/>
      <c r="I39" s="16"/>
      <c r="J39" s="16"/>
      <c r="K39" s="16"/>
      <c r="L39" s="16"/>
      <c r="M39" s="16"/>
      <c r="N39" s="16"/>
      <c r="O39" s="16"/>
      <c r="P39" s="16"/>
      <c r="Q39" s="16"/>
      <c r="R39" s="16"/>
      <c r="S39" s="16"/>
      <c r="T39" s="16"/>
      <c r="U39" s="16"/>
      <c r="V39" s="16"/>
    </row>
    <row r="41" spans="1:26" ht="15.75">
      <c r="A41" s="68" t="s">
        <v>31</v>
      </c>
      <c r="B41" s="69"/>
      <c r="C41" s="69"/>
      <c r="D41" s="69"/>
      <c r="E41" s="69"/>
      <c r="F41" s="69"/>
      <c r="G41" s="69"/>
      <c r="H41" s="69"/>
      <c r="I41" s="69"/>
      <c r="J41" s="69"/>
      <c r="K41" s="69"/>
      <c r="L41" s="69"/>
      <c r="M41" s="69"/>
      <c r="N41" s="69"/>
      <c r="O41" s="69"/>
      <c r="P41" s="69"/>
      <c r="Q41" s="69"/>
      <c r="R41" s="69"/>
      <c r="S41" s="69"/>
      <c r="T41" s="69"/>
      <c r="U41" s="69"/>
      <c r="V41" s="69"/>
      <c r="W41" s="69"/>
      <c r="X41" s="69"/>
      <c r="Y41" s="69"/>
      <c r="Z41" s="69"/>
    </row>
    <row r="42" spans="1:26">
      <c r="A42" s="4" t="s">
        <v>17</v>
      </c>
      <c r="B42">
        <v>2015</v>
      </c>
      <c r="C42">
        <v>2016</v>
      </c>
      <c r="D42">
        <v>2017</v>
      </c>
      <c r="E42">
        <v>2018</v>
      </c>
      <c r="F42">
        <v>2019</v>
      </c>
      <c r="G42">
        <v>2020</v>
      </c>
      <c r="H42">
        <v>2021</v>
      </c>
      <c r="I42">
        <v>2022</v>
      </c>
      <c r="J42">
        <v>2023</v>
      </c>
      <c r="K42">
        <v>2024</v>
      </c>
      <c r="L42">
        <v>2025</v>
      </c>
      <c r="M42">
        <v>2026</v>
      </c>
      <c r="N42">
        <v>2027</v>
      </c>
      <c r="O42">
        <v>2028</v>
      </c>
      <c r="P42">
        <v>2029</v>
      </c>
      <c r="Q42">
        <v>2030</v>
      </c>
      <c r="R42">
        <v>2031</v>
      </c>
      <c r="S42">
        <v>2032</v>
      </c>
      <c r="T42">
        <v>2033</v>
      </c>
      <c r="U42">
        <v>2034</v>
      </c>
      <c r="V42" s="70" t="s">
        <v>14</v>
      </c>
    </row>
    <row r="43" spans="1:26">
      <c r="A43" s="10" t="s">
        <v>2</v>
      </c>
      <c r="B43" s="14">
        <v>1.2337232563112326</v>
      </c>
      <c r="C43" s="14">
        <v>1.2893712843064089</v>
      </c>
      <c r="D43" s="14">
        <v>1.3420965195251524</v>
      </c>
      <c r="E43" s="14">
        <v>1.3658370760739835</v>
      </c>
      <c r="F43" s="14">
        <v>1.3892921945541536</v>
      </c>
      <c r="G43" s="14">
        <v>1.418343508812961</v>
      </c>
      <c r="H43" s="14">
        <v>1.4596125020119055</v>
      </c>
      <c r="I43" s="14">
        <v>1.5049363161099114</v>
      </c>
      <c r="J43" s="14">
        <v>1.5450404786944785</v>
      </c>
      <c r="K43" s="14">
        <v>1.5759846920495622</v>
      </c>
      <c r="L43" s="14">
        <v>1.6065239447778739</v>
      </c>
      <c r="M43" s="14">
        <v>1.6352372989848762</v>
      </c>
      <c r="N43" s="14">
        <v>1.66998489198004</v>
      </c>
      <c r="O43" s="14">
        <v>1.6966132612473783</v>
      </c>
      <c r="P43" s="14">
        <v>1.7224373644388056</v>
      </c>
      <c r="Q43" s="14">
        <v>1.7546487037792715</v>
      </c>
      <c r="R43" s="14">
        <v>1.8096926167196157</v>
      </c>
      <c r="S43" s="14">
        <v>1.8335178802634526</v>
      </c>
      <c r="T43" s="14">
        <v>1.8673211109526711</v>
      </c>
      <c r="U43" s="14">
        <v>1.899558267414664</v>
      </c>
      <c r="V43" s="14">
        <f>SUM(B43:U43)</f>
        <v>31.619773169008397</v>
      </c>
    </row>
    <row r="44" spans="1:26">
      <c r="A44" s="10" t="s">
        <v>3</v>
      </c>
      <c r="B44" s="15">
        <v>0.33186309204195036</v>
      </c>
      <c r="C44" s="15">
        <v>0.61672295618511264</v>
      </c>
      <c r="D44" s="15">
        <v>0.85694195442364185</v>
      </c>
      <c r="E44" s="15">
        <v>1.0450592863859278</v>
      </c>
      <c r="F44" s="15">
        <v>1.0670774859222478</v>
      </c>
      <c r="G44" s="15">
        <v>1.0891851516598043</v>
      </c>
      <c r="H44" s="15">
        <v>1.1104263097341716</v>
      </c>
      <c r="I44" s="15">
        <v>1.1373015542771929</v>
      </c>
      <c r="J44" s="15">
        <v>1.1645210464530276</v>
      </c>
      <c r="K44" s="15">
        <v>1.1912165684019425</v>
      </c>
      <c r="L44" s="15">
        <v>1.2198038004311789</v>
      </c>
      <c r="M44" s="15">
        <v>1.2502162177702958</v>
      </c>
      <c r="N44" s="15">
        <v>1.2819518856252345</v>
      </c>
      <c r="O44" s="15">
        <v>1.3151202720777959</v>
      </c>
      <c r="P44" s="15">
        <v>1.3477699903167748</v>
      </c>
      <c r="Q44" s="15">
        <v>1.3777009605654549</v>
      </c>
      <c r="R44" s="15">
        <v>1.4082629026966784</v>
      </c>
      <c r="S44" s="15">
        <v>1.4394798585537836</v>
      </c>
      <c r="T44" s="15">
        <v>1.4712536031820711</v>
      </c>
      <c r="U44" s="15">
        <v>1.5033508936244078</v>
      </c>
      <c r="V44" s="15">
        <f>SUM(B44:U44)</f>
        <v>23.225225790328693</v>
      </c>
    </row>
    <row r="45" spans="1:26">
      <c r="A45" s="10" t="s">
        <v>4</v>
      </c>
      <c r="B45" s="14">
        <f t="shared" ref="B45:U45" si="11">SUM(B43:B44)</f>
        <v>1.5655863483531829</v>
      </c>
      <c r="C45" s="14">
        <f t="shared" si="11"/>
        <v>1.9060942404915215</v>
      </c>
      <c r="D45" s="14">
        <f t="shared" si="11"/>
        <v>2.1990384739487943</v>
      </c>
      <c r="E45" s="14">
        <f t="shared" si="11"/>
        <v>2.4108963624599111</v>
      </c>
      <c r="F45" s="14">
        <f t="shared" si="11"/>
        <v>2.4563696804764015</v>
      </c>
      <c r="G45" s="14">
        <f t="shared" si="11"/>
        <v>2.5075286604727651</v>
      </c>
      <c r="H45" s="14">
        <f t="shared" si="11"/>
        <v>2.5700388117460768</v>
      </c>
      <c r="I45" s="14">
        <f t="shared" si="11"/>
        <v>2.6422378703871043</v>
      </c>
      <c r="J45" s="14">
        <f t="shared" si="11"/>
        <v>2.7095615251475058</v>
      </c>
      <c r="K45" s="14">
        <f t="shared" si="11"/>
        <v>2.7672012604515048</v>
      </c>
      <c r="L45" s="14">
        <f t="shared" si="11"/>
        <v>2.8263277452090527</v>
      </c>
      <c r="M45" s="14">
        <f t="shared" si="11"/>
        <v>2.885453516755172</v>
      </c>
      <c r="N45" s="14">
        <f t="shared" si="11"/>
        <v>2.9519367776052743</v>
      </c>
      <c r="O45" s="14">
        <f t="shared" si="11"/>
        <v>3.0117335333251742</v>
      </c>
      <c r="P45" s="14">
        <f t="shared" si="11"/>
        <v>3.0702073547555804</v>
      </c>
      <c r="Q45" s="14">
        <f t="shared" si="11"/>
        <v>3.1323496643447264</v>
      </c>
      <c r="R45" s="14">
        <f t="shared" si="11"/>
        <v>3.2179555194162939</v>
      </c>
      <c r="S45" s="14">
        <f t="shared" si="11"/>
        <v>3.272997738817236</v>
      </c>
      <c r="T45" s="14">
        <f t="shared" si="11"/>
        <v>3.3385747141347419</v>
      </c>
      <c r="U45" s="14">
        <f t="shared" si="11"/>
        <v>3.402909161039072</v>
      </c>
      <c r="V45" s="14">
        <f>SUM(V43:V44)</f>
        <v>54.84499895933709</v>
      </c>
    </row>
    <row r="47" spans="1:26">
      <c r="A47" s="4" t="s">
        <v>19</v>
      </c>
      <c r="B47">
        <v>2015</v>
      </c>
      <c r="C47">
        <v>2016</v>
      </c>
      <c r="D47">
        <v>2017</v>
      </c>
      <c r="E47">
        <v>2018</v>
      </c>
      <c r="F47">
        <v>2019</v>
      </c>
      <c r="G47">
        <v>2020</v>
      </c>
      <c r="H47">
        <v>2021</v>
      </c>
      <c r="I47">
        <v>2022</v>
      </c>
      <c r="J47">
        <v>2023</v>
      </c>
      <c r="K47">
        <v>2024</v>
      </c>
      <c r="L47">
        <v>2025</v>
      </c>
      <c r="M47">
        <v>2026</v>
      </c>
      <c r="N47">
        <v>2027</v>
      </c>
      <c r="O47">
        <v>2028</v>
      </c>
      <c r="P47">
        <v>2029</v>
      </c>
      <c r="Q47">
        <v>2030</v>
      </c>
      <c r="R47">
        <v>2031</v>
      </c>
      <c r="S47">
        <v>2032</v>
      </c>
      <c r="T47">
        <v>2033</v>
      </c>
      <c r="U47">
        <v>2034</v>
      </c>
      <c r="V47" s="70" t="s">
        <v>14</v>
      </c>
    </row>
    <row r="48" spans="1:26">
      <c r="A48" s="10" t="s">
        <v>2</v>
      </c>
      <c r="B48" s="14">
        <v>1.2337232563112326</v>
      </c>
      <c r="C48" s="14">
        <v>1.2893712843064089</v>
      </c>
      <c r="D48" s="14">
        <v>1.3420965195251524</v>
      </c>
      <c r="E48" s="14">
        <v>1.3658370760739835</v>
      </c>
      <c r="F48" s="14">
        <v>1.3892921945541536</v>
      </c>
      <c r="G48" s="14">
        <v>1.418343508812961</v>
      </c>
      <c r="H48" s="14">
        <v>1.4596125020119055</v>
      </c>
      <c r="I48" s="14">
        <v>1.5049363161099114</v>
      </c>
      <c r="J48" s="14">
        <v>1.5450404786944785</v>
      </c>
      <c r="K48" s="14">
        <v>1.5759846920495622</v>
      </c>
      <c r="L48" s="14">
        <v>1.6065239447778739</v>
      </c>
      <c r="M48" s="14">
        <v>1.6352372989848762</v>
      </c>
      <c r="N48" s="14">
        <v>1.66998489198004</v>
      </c>
      <c r="O48" s="14">
        <v>1.6966132612473783</v>
      </c>
      <c r="P48" s="14">
        <v>1.7224373644388056</v>
      </c>
      <c r="Q48" s="14">
        <v>1.7546487037792715</v>
      </c>
      <c r="R48" s="14">
        <v>1.8096926167196157</v>
      </c>
      <c r="S48" s="14">
        <v>1.8335178802634526</v>
      </c>
      <c r="T48" s="14">
        <v>1.8673211109526711</v>
      </c>
      <c r="U48" s="14">
        <v>1.899558267414664</v>
      </c>
      <c r="V48" s="14">
        <f>SUM(B48:U48)</f>
        <v>31.619773169008397</v>
      </c>
    </row>
    <row r="49" spans="1:22">
      <c r="A49" s="10" t="s">
        <v>3</v>
      </c>
      <c r="B49" s="15">
        <v>0.30452351953529189</v>
      </c>
      <c r="C49" s="15">
        <v>0.5689741452082725</v>
      </c>
      <c r="D49" s="15">
        <v>0.79529965051644391</v>
      </c>
      <c r="E49" s="15">
        <v>0.97388705004863696</v>
      </c>
      <c r="F49" s="15">
        <v>1.000096249209913</v>
      </c>
      <c r="G49" s="15">
        <v>1.0264183520138652</v>
      </c>
      <c r="H49" s="15">
        <v>1.0519567056584966</v>
      </c>
      <c r="I49" s="15">
        <v>1.0829306933384037</v>
      </c>
      <c r="J49" s="15">
        <v>1.1143252304988955</v>
      </c>
      <c r="K49" s="15">
        <v>1.1453168976177781</v>
      </c>
      <c r="L49" s="15">
        <v>1.1782289400242572</v>
      </c>
      <c r="M49" s="15">
        <v>1.2130270845988977</v>
      </c>
      <c r="N49" s="15">
        <v>1.2492183559455274</v>
      </c>
      <c r="O49" s="15">
        <v>1.2869460764251537</v>
      </c>
      <c r="P49" s="15">
        <v>1.3242525339320814</v>
      </c>
      <c r="Q49" s="15">
        <v>1.3589260712059508</v>
      </c>
      <c r="R49" s="15">
        <v>1.394308588456344</v>
      </c>
      <c r="S49" s="15">
        <v>1.4304263229057206</v>
      </c>
      <c r="T49" s="15">
        <v>1.467182922474394</v>
      </c>
      <c r="U49" s="15">
        <v>1.5043546326610295</v>
      </c>
      <c r="V49" s="15">
        <f>SUM(B49:U49)</f>
        <v>22.470600022275352</v>
      </c>
    </row>
    <row r="50" spans="1:22">
      <c r="A50" s="10" t="s">
        <v>4</v>
      </c>
      <c r="B50" s="14">
        <f t="shared" ref="B50:U50" si="12">SUM(B48:B49)</f>
        <v>1.5382467758465244</v>
      </c>
      <c r="C50" s="14">
        <f t="shared" si="12"/>
        <v>1.8583454295146815</v>
      </c>
      <c r="D50" s="14">
        <f t="shared" si="12"/>
        <v>2.1373961700415962</v>
      </c>
      <c r="E50" s="14">
        <f t="shared" si="12"/>
        <v>2.3397241261226203</v>
      </c>
      <c r="F50" s="14">
        <f t="shared" si="12"/>
        <v>2.3893884437640667</v>
      </c>
      <c r="G50" s="14">
        <f t="shared" si="12"/>
        <v>2.4447618608268264</v>
      </c>
      <c r="H50" s="14">
        <f t="shared" si="12"/>
        <v>2.5115692076704024</v>
      </c>
      <c r="I50" s="14">
        <f t="shared" si="12"/>
        <v>2.5878670094483152</v>
      </c>
      <c r="J50" s="14">
        <f t="shared" si="12"/>
        <v>2.659365709193374</v>
      </c>
      <c r="K50" s="14">
        <f t="shared" si="12"/>
        <v>2.7213015896673403</v>
      </c>
      <c r="L50" s="14">
        <f t="shared" si="12"/>
        <v>2.7847528848021312</v>
      </c>
      <c r="M50" s="14">
        <f t="shared" si="12"/>
        <v>2.848264383583774</v>
      </c>
      <c r="N50" s="14">
        <f t="shared" si="12"/>
        <v>2.9192032479255676</v>
      </c>
      <c r="O50" s="14">
        <f t="shared" si="12"/>
        <v>2.9835593376725322</v>
      </c>
      <c r="P50" s="14">
        <f t="shared" si="12"/>
        <v>3.0466898983708868</v>
      </c>
      <c r="Q50" s="14">
        <f t="shared" si="12"/>
        <v>3.1135747749852225</v>
      </c>
      <c r="R50" s="14">
        <f t="shared" si="12"/>
        <v>3.2040012051759597</v>
      </c>
      <c r="S50" s="14">
        <f t="shared" si="12"/>
        <v>3.2639442031691734</v>
      </c>
      <c r="T50" s="14">
        <f t="shared" si="12"/>
        <v>3.334504033427065</v>
      </c>
      <c r="U50" s="14">
        <f t="shared" si="12"/>
        <v>3.4039129000756936</v>
      </c>
      <c r="V50" s="14">
        <f>SUM(V48:V49)</f>
        <v>54.090373191283746</v>
      </c>
    </row>
    <row r="52" spans="1:22">
      <c r="A52" s="4" t="s">
        <v>17</v>
      </c>
    </row>
    <row r="53" spans="1:22">
      <c r="A53" s="58" t="s">
        <v>23</v>
      </c>
      <c r="B53" s="63">
        <f>B43/B12</f>
        <v>0.29037008588802976</v>
      </c>
      <c r="C53" s="63">
        <f t="shared" ref="C53:V53" si="13">C43/C12</f>
        <v>0.2795095584579978</v>
      </c>
      <c r="D53" s="63">
        <f t="shared" si="13"/>
        <v>0.27863162714722561</v>
      </c>
      <c r="E53" s="63">
        <f t="shared" si="13"/>
        <v>0.24426274640402643</v>
      </c>
      <c r="F53" s="63">
        <f t="shared" si="13"/>
        <v>0.23029004544410719</v>
      </c>
      <c r="G53" s="63">
        <f t="shared" si="13"/>
        <v>0.31574562816782586</v>
      </c>
      <c r="H53" s="63">
        <f t="shared" si="13"/>
        <v>0.32201148466196189</v>
      </c>
      <c r="I53" s="63">
        <f t="shared" si="13"/>
        <v>0.33753366530618106</v>
      </c>
      <c r="J53" s="63">
        <f t="shared" si="13"/>
        <v>0.33199108733521843</v>
      </c>
      <c r="K53" s="63">
        <f t="shared" si="13"/>
        <v>0.33830360466267928</v>
      </c>
      <c r="L53" s="63">
        <f t="shared" si="13"/>
        <v>0.33930399719921622</v>
      </c>
      <c r="M53" s="63">
        <f t="shared" si="13"/>
        <v>0.34091219035182974</v>
      </c>
      <c r="N53" s="63">
        <f t="shared" si="13"/>
        <v>0.34357881752194264</v>
      </c>
      <c r="O53" s="63">
        <f t="shared" si="13"/>
        <v>0.32741502504759568</v>
      </c>
      <c r="P53" s="63">
        <f t="shared" si="13"/>
        <v>0.32751018621605843</v>
      </c>
      <c r="Q53" s="63">
        <f t="shared" si="13"/>
        <v>0.32982853729760953</v>
      </c>
      <c r="R53" s="63">
        <f t="shared" si="13"/>
        <v>0.33436989745707008</v>
      </c>
      <c r="S53" s="63">
        <f t="shared" si="13"/>
        <v>0.33474573668855062</v>
      </c>
      <c r="T53" s="63">
        <f t="shared" si="13"/>
        <v>0.3274761018631186</v>
      </c>
      <c r="U53" s="63">
        <f t="shared" si="13"/>
        <v>0.33095609367991308</v>
      </c>
      <c r="V53" s="63">
        <f t="shared" si="13"/>
        <v>0.31436484066572667</v>
      </c>
    </row>
    <row r="54" spans="1:22">
      <c r="A54" s="58" t="s">
        <v>24</v>
      </c>
      <c r="B54" s="63">
        <f>B44/B18</f>
        <v>2.6404478243231132E-2</v>
      </c>
      <c r="C54" s="63">
        <f t="shared" ref="C54:V54" si="14">C44/C18</f>
        <v>4.9625019070268908E-2</v>
      </c>
      <c r="D54" s="63">
        <f t="shared" si="14"/>
        <v>7.1223149116149409E-2</v>
      </c>
      <c r="E54" s="63">
        <f t="shared" si="14"/>
        <v>9.3985080694935177E-2</v>
      </c>
      <c r="F54" s="63">
        <f t="shared" si="14"/>
        <v>9.4420153295167245E-2</v>
      </c>
      <c r="G54" s="63">
        <f t="shared" si="14"/>
        <v>9.800937530856578E-2</v>
      </c>
      <c r="H54" s="63">
        <f t="shared" si="14"/>
        <v>0.10309997709037899</v>
      </c>
      <c r="I54" s="63">
        <f t="shared" si="14"/>
        <v>0.10692875079683391</v>
      </c>
      <c r="J54" s="63">
        <f t="shared" si="14"/>
        <v>0.11634247288216147</v>
      </c>
      <c r="K54" s="63">
        <f t="shared" si="14"/>
        <v>0.11642929253557269</v>
      </c>
      <c r="L54" s="63">
        <f t="shared" si="14"/>
        <v>0.12075988375707908</v>
      </c>
      <c r="M54" s="63">
        <f t="shared" si="14"/>
        <v>0.12467875943986706</v>
      </c>
      <c r="N54" s="63">
        <f t="shared" si="14"/>
        <v>0.13071418912690302</v>
      </c>
      <c r="O54" s="63">
        <f t="shared" si="14"/>
        <v>0.14417865413352118</v>
      </c>
      <c r="P54" s="63">
        <f t="shared" si="14"/>
        <v>0.14498510868302697</v>
      </c>
      <c r="Q54" s="63">
        <f t="shared" si="14"/>
        <v>0.14991258400669077</v>
      </c>
      <c r="R54" s="63">
        <f t="shared" si="14"/>
        <v>0.15457429788455906</v>
      </c>
      <c r="S54" s="63">
        <f t="shared" si="14"/>
        <v>0.16041604735930912</v>
      </c>
      <c r="T54" s="63">
        <f t="shared" si="14"/>
        <v>0.17375985331159657</v>
      </c>
      <c r="U54" s="63">
        <f t="shared" si="14"/>
        <v>0.17656454130372964</v>
      </c>
      <c r="V54" s="63">
        <f t="shared" si="14"/>
        <v>0.11339458432531623</v>
      </c>
    </row>
    <row r="56" spans="1:22">
      <c r="A56" s="4" t="s">
        <v>19</v>
      </c>
    </row>
    <row r="57" spans="1:22">
      <c r="A57" s="58" t="s">
        <v>23</v>
      </c>
      <c r="B57" s="63">
        <f>B48/B30</f>
        <v>0.16042789518349529</v>
      </c>
      <c r="C57" s="63">
        <f t="shared" ref="C57:U57" si="15">C48/C30</f>
        <v>0.15478757872023552</v>
      </c>
      <c r="D57" s="63">
        <f t="shared" si="15"/>
        <v>0.15296669738874574</v>
      </c>
      <c r="E57" s="63">
        <f t="shared" si="15"/>
        <v>0.13299845094912813</v>
      </c>
      <c r="F57" s="63">
        <f t="shared" si="15"/>
        <v>0.12614045002073465</v>
      </c>
      <c r="G57" s="63">
        <f t="shared" si="15"/>
        <v>0.19716759879350379</v>
      </c>
      <c r="H57" s="63">
        <f t="shared" si="15"/>
        <v>0.20754850210475601</v>
      </c>
      <c r="I57" s="63">
        <f t="shared" si="15"/>
        <v>0.22970081287115793</v>
      </c>
      <c r="J57" s="63">
        <f t="shared" si="15"/>
        <v>0.23694278181639142</v>
      </c>
      <c r="K57" s="63">
        <f t="shared" si="15"/>
        <v>0.24371374046203198</v>
      </c>
      <c r="L57" s="63">
        <f t="shared" si="15"/>
        <v>0.25075203910930188</v>
      </c>
      <c r="M57" s="63">
        <f t="shared" si="15"/>
        <v>0.25141913474258215</v>
      </c>
      <c r="N57" s="63">
        <f t="shared" si="15"/>
        <v>0.25491260874776922</v>
      </c>
      <c r="O57" s="63">
        <f t="shared" si="15"/>
        <v>0.2467417484040601</v>
      </c>
      <c r="P57" s="63">
        <f t="shared" si="15"/>
        <v>0.24915593995093668</v>
      </c>
      <c r="Q57" s="63">
        <f t="shared" si="15"/>
        <v>0.25248737933471621</v>
      </c>
      <c r="R57" s="63">
        <f t="shared" si="15"/>
        <v>0.25893541258556785</v>
      </c>
      <c r="S57" s="63">
        <f t="shared" si="15"/>
        <v>0.25927738257612282</v>
      </c>
      <c r="T57" s="63">
        <f t="shared" si="15"/>
        <v>0.25577462951124263</v>
      </c>
      <c r="U57" s="63">
        <f t="shared" si="15"/>
        <v>0.2563502562572556</v>
      </c>
      <c r="V57" s="63">
        <f>V48/V30</f>
        <v>0.21247774132966621</v>
      </c>
    </row>
    <row r="58" spans="1:22">
      <c r="A58" s="58" t="s">
        <v>24</v>
      </c>
      <c r="B58" s="63">
        <f>B49/B36</f>
        <v>3.2126682512847893E-2</v>
      </c>
      <c r="C58" s="63">
        <f t="shared" ref="C58:V58" si="16">C49/C36</f>
        <v>6.1398738732756857E-2</v>
      </c>
      <c r="D58" s="63">
        <f t="shared" si="16"/>
        <v>8.8404245006171653E-2</v>
      </c>
      <c r="E58" s="63">
        <f t="shared" si="16"/>
        <v>0.11494070127397348</v>
      </c>
      <c r="F58" s="63">
        <f t="shared" si="16"/>
        <v>0.11762845716982898</v>
      </c>
      <c r="G58" s="63">
        <f t="shared" si="16"/>
        <v>0.12237657312435327</v>
      </c>
      <c r="H58" s="63">
        <f t="shared" si="16"/>
        <v>0.12915490654708123</v>
      </c>
      <c r="I58" s="63">
        <f t="shared" si="16"/>
        <v>0.13436784534060017</v>
      </c>
      <c r="J58" s="63">
        <f t="shared" si="16"/>
        <v>0.14639846417175975</v>
      </c>
      <c r="K58" s="63">
        <f t="shared" si="16"/>
        <v>0.14716691603322915</v>
      </c>
      <c r="L58" s="63">
        <f t="shared" si="16"/>
        <v>0.15300827606188958</v>
      </c>
      <c r="M58" s="63">
        <f t="shared" si="16"/>
        <v>0.15849602210667169</v>
      </c>
      <c r="N58" s="63">
        <f t="shared" si="16"/>
        <v>0.16635923688165194</v>
      </c>
      <c r="O58" s="63">
        <f t="shared" si="16"/>
        <v>0.18305984792505361</v>
      </c>
      <c r="P58" s="63">
        <f t="shared" si="16"/>
        <v>0.18468423781733506</v>
      </c>
      <c r="Q58" s="63">
        <f t="shared" si="16"/>
        <v>0.19122608673231969</v>
      </c>
      <c r="R58" s="63">
        <f t="shared" si="16"/>
        <v>0.19745370303999496</v>
      </c>
      <c r="S58" s="63">
        <f t="shared" si="16"/>
        <v>0.20505412949953553</v>
      </c>
      <c r="T58" s="63">
        <f t="shared" si="16"/>
        <v>0.22145347992694814</v>
      </c>
      <c r="U58" s="63">
        <f t="shared" si="16"/>
        <v>0.22529990582578927</v>
      </c>
      <c r="V58" s="63">
        <f t="shared" si="16"/>
        <v>0.14384654431341273</v>
      </c>
    </row>
  </sheetData>
  <pageMargins left="0.7" right="0.7" top="0.75" bottom="0.75" header="0.3" footer="0.3"/>
  <pageSetup orientation="portrait" r:id="rId1"/>
  <ignoredErrors>
    <ignoredError sqref="B45:V45 B50:U51" formulaRange="1"/>
  </ignoredErrors>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A1:V33"/>
  <sheetViews>
    <sheetView workbookViewId="0">
      <pane ySplit="1" topLeftCell="A2" activePane="bottomLeft" state="frozen"/>
      <selection activeCell="I35" sqref="I35"/>
      <selection pane="bottomLeft" activeCell="B30" sqref="B30"/>
    </sheetView>
  </sheetViews>
  <sheetFormatPr defaultRowHeight="15"/>
  <cols>
    <col min="1" max="1" width="38.28515625" bestFit="1" customWidth="1"/>
    <col min="2" max="8" width="12.85546875" bestFit="1" customWidth="1"/>
    <col min="9" max="21" width="11.85546875" bestFit="1" customWidth="1"/>
    <col min="22" max="22" width="14.5703125" bestFit="1" customWidth="1"/>
  </cols>
  <sheetData>
    <row r="1" spans="1:22" ht="15.75">
      <c r="A1" s="7" t="s">
        <v>39</v>
      </c>
    </row>
    <row r="2" spans="1:22" ht="15.75">
      <c r="A2" s="7"/>
    </row>
    <row r="3" spans="1:22" ht="15.75">
      <c r="A3" s="7" t="s">
        <v>26</v>
      </c>
    </row>
    <row r="4" spans="1:22">
      <c r="A4" s="5" t="s">
        <v>21</v>
      </c>
      <c r="B4" s="6">
        <v>2015</v>
      </c>
      <c r="C4" s="6">
        <f>B4+1</f>
        <v>2016</v>
      </c>
      <c r="D4" s="6">
        <f t="shared" ref="D4:U4" si="0">C4+1</f>
        <v>2017</v>
      </c>
      <c r="E4" s="6">
        <f t="shared" si="0"/>
        <v>2018</v>
      </c>
      <c r="F4" s="6">
        <f t="shared" si="0"/>
        <v>2019</v>
      </c>
      <c r="G4" s="6">
        <f t="shared" si="0"/>
        <v>2020</v>
      </c>
      <c r="H4" s="6">
        <f t="shared" si="0"/>
        <v>2021</v>
      </c>
      <c r="I4" s="6">
        <f t="shared" si="0"/>
        <v>2022</v>
      </c>
      <c r="J4" s="6">
        <f t="shared" si="0"/>
        <v>2023</v>
      </c>
      <c r="K4" s="6">
        <f t="shared" si="0"/>
        <v>2024</v>
      </c>
      <c r="L4" s="6">
        <f t="shared" si="0"/>
        <v>2025</v>
      </c>
      <c r="M4" s="6">
        <f t="shared" si="0"/>
        <v>2026</v>
      </c>
      <c r="N4" s="6">
        <f t="shared" si="0"/>
        <v>2027</v>
      </c>
      <c r="O4" s="6">
        <f t="shared" si="0"/>
        <v>2028</v>
      </c>
      <c r="P4" s="6">
        <f t="shared" si="0"/>
        <v>2029</v>
      </c>
      <c r="Q4" s="6">
        <f t="shared" si="0"/>
        <v>2030</v>
      </c>
      <c r="R4" s="6">
        <f t="shared" si="0"/>
        <v>2031</v>
      </c>
      <c r="S4" s="6">
        <f t="shared" si="0"/>
        <v>2032</v>
      </c>
      <c r="T4" s="6">
        <f t="shared" si="0"/>
        <v>2033</v>
      </c>
      <c r="U4" s="6">
        <f t="shared" si="0"/>
        <v>2034</v>
      </c>
      <c r="V4" s="6" t="s">
        <v>14</v>
      </c>
    </row>
    <row r="5" spans="1:22">
      <c r="A5" s="3" t="s">
        <v>2</v>
      </c>
    </row>
    <row r="6" spans="1:22">
      <c r="A6" s="9" t="s">
        <v>8</v>
      </c>
      <c r="B6" s="54">
        <v>7610696.2257470191</v>
      </c>
      <c r="C6" s="54">
        <v>8349378.8213025313</v>
      </c>
      <c r="D6" s="54">
        <v>8821886.3038531113</v>
      </c>
      <c r="E6" s="54">
        <v>8656537.2692383248</v>
      </c>
      <c r="F6" s="54">
        <v>8597688.1260074396</v>
      </c>
      <c r="G6" s="54">
        <v>8561437.3915293068</v>
      </c>
      <c r="H6" s="54">
        <v>7860230.8958171746</v>
      </c>
      <c r="I6" s="54">
        <v>7853274.1966642104</v>
      </c>
      <c r="J6" s="54">
        <v>8577845.4639236387</v>
      </c>
      <c r="K6" s="54">
        <v>7942824.110557395</v>
      </c>
      <c r="L6" s="54">
        <v>7881461.3166322671</v>
      </c>
      <c r="M6" s="54">
        <v>7809914.0397732183</v>
      </c>
      <c r="N6" s="54">
        <v>7282969.7289924547</v>
      </c>
      <c r="O6" s="54">
        <v>7826464.4112425474</v>
      </c>
      <c r="P6" s="54">
        <v>7744993.4799874546</v>
      </c>
      <c r="Q6" s="54">
        <v>7300673.202094242</v>
      </c>
      <c r="R6" s="54">
        <v>7233538.8756987117</v>
      </c>
      <c r="S6" s="54">
        <v>7153048.4118407583</v>
      </c>
      <c r="T6" s="54">
        <v>6952713.1527138921</v>
      </c>
      <c r="U6" s="54">
        <v>6867832.8510454278</v>
      </c>
      <c r="V6" s="54">
        <f>SUM(B6:U6)</f>
        <v>156885408.27466115</v>
      </c>
    </row>
    <row r="7" spans="1:22">
      <c r="A7" s="10" t="s">
        <v>9</v>
      </c>
      <c r="B7" s="54">
        <v>17669034.626473766</v>
      </c>
      <c r="C7" s="54">
        <v>19441641.665350296</v>
      </c>
      <c r="D7" s="54">
        <v>20510654.990456402</v>
      </c>
      <c r="E7" s="54">
        <v>20582999.163193606</v>
      </c>
      <c r="F7" s="54">
        <v>21418169.001875881</v>
      </c>
      <c r="G7" s="54">
        <v>21940615.128573928</v>
      </c>
      <c r="H7" s="54">
        <v>18614005.484813694</v>
      </c>
      <c r="I7" s="54">
        <v>15614031.583400588</v>
      </c>
      <c r="J7" s="54">
        <v>13894674.65950253</v>
      </c>
      <c r="K7" s="54">
        <v>14017342.131804887</v>
      </c>
      <c r="L7" s="54">
        <v>13746921.661099274</v>
      </c>
      <c r="M7" s="54">
        <v>13462581.477702601</v>
      </c>
      <c r="N7" s="54">
        <v>13093944.649931926</v>
      </c>
      <c r="O7" s="54">
        <v>13666340.961273607</v>
      </c>
      <c r="P7" s="54">
        <v>13290394.438746506</v>
      </c>
      <c r="Q7" s="54">
        <v>12966232.773182394</v>
      </c>
      <c r="R7" s="54">
        <v>12639890.821777396</v>
      </c>
      <c r="S7" s="54">
        <v>12415280.226124404</v>
      </c>
      <c r="T7" s="54">
        <v>12450873.52520309</v>
      </c>
      <c r="U7" s="54">
        <v>12173520.144117568</v>
      </c>
      <c r="V7" s="54">
        <f t="shared" ref="V7:V11" si="1">SUM(B7:U7)</f>
        <v>313609149.11460435</v>
      </c>
    </row>
    <row r="8" spans="1:22">
      <c r="A8" s="10" t="s">
        <v>10</v>
      </c>
      <c r="B8" s="54">
        <v>4906627.0730173858</v>
      </c>
      <c r="C8" s="54">
        <v>5355018.5104666194</v>
      </c>
      <c r="D8" s="54">
        <v>5848578.0216836575</v>
      </c>
      <c r="E8" s="54">
        <v>6183039.5621544831</v>
      </c>
      <c r="F8" s="54">
        <v>6307693.2653727811</v>
      </c>
      <c r="G8" s="54">
        <v>7607081.5432024542</v>
      </c>
      <c r="H8" s="54">
        <v>8772048.2369465474</v>
      </c>
      <c r="I8" s="54">
        <v>9873619.5688551739</v>
      </c>
      <c r="J8" s="54">
        <v>11711459.467798721</v>
      </c>
      <c r="K8" s="54">
        <v>11652461.511016931</v>
      </c>
      <c r="L8" s="54">
        <v>11988737.315068487</v>
      </c>
      <c r="M8" s="54">
        <v>12260056.725806572</v>
      </c>
      <c r="N8" s="54">
        <v>12305861.854977841</v>
      </c>
      <c r="O8" s="54">
        <v>13115700.181167571</v>
      </c>
      <c r="P8" s="54">
        <v>13258059.763810255</v>
      </c>
      <c r="Q8" s="54">
        <v>13437867.838686926</v>
      </c>
      <c r="R8" s="54">
        <v>13535251.048535747</v>
      </c>
      <c r="S8" s="54">
        <v>13711226.230853627</v>
      </c>
      <c r="T8" s="54">
        <v>14177841.144672163</v>
      </c>
      <c r="U8" s="54">
        <v>14173642.801996589</v>
      </c>
      <c r="V8" s="54">
        <f t="shared" si="1"/>
        <v>210181871.66609049</v>
      </c>
    </row>
    <row r="9" spans="1:22">
      <c r="A9" s="10" t="s">
        <v>11</v>
      </c>
      <c r="B9" s="54">
        <v>1980474.9035731028</v>
      </c>
      <c r="C9" s="54">
        <v>2036769.0302928812</v>
      </c>
      <c r="D9" s="54">
        <v>2298794.8693079432</v>
      </c>
      <c r="E9" s="54">
        <v>2294051.4960996378</v>
      </c>
      <c r="F9" s="54">
        <v>2351623.8159180395</v>
      </c>
      <c r="G9" s="54">
        <v>2463041.5509419055</v>
      </c>
      <c r="H9" s="54">
        <v>2465030.3108948921</v>
      </c>
      <c r="I9" s="54">
        <v>2445223.7217842531</v>
      </c>
      <c r="J9" s="54">
        <v>2567502.5340719372</v>
      </c>
      <c r="K9" s="54">
        <v>2575243.7911914159</v>
      </c>
      <c r="L9" s="54">
        <v>2557302.1624658606</v>
      </c>
      <c r="M9" s="54">
        <v>2520284.419824997</v>
      </c>
      <c r="N9" s="54">
        <v>2474825.6698474879</v>
      </c>
      <c r="O9" s="54">
        <v>2459197.5062808306</v>
      </c>
      <c r="P9" s="54">
        <v>2435938.9005550938</v>
      </c>
      <c r="Q9" s="54">
        <v>2415709.7265663142</v>
      </c>
      <c r="R9" s="54">
        <v>2396259.3935216046</v>
      </c>
      <c r="S9" s="54">
        <v>2375020.5330688339</v>
      </c>
      <c r="T9" s="54">
        <v>2353382.3695135955</v>
      </c>
      <c r="U9" s="54">
        <v>2334110.6574107679</v>
      </c>
      <c r="V9" s="54">
        <f t="shared" si="1"/>
        <v>47799787.363131404</v>
      </c>
    </row>
    <row r="10" spans="1:22">
      <c r="A10" s="2" t="s">
        <v>12</v>
      </c>
      <c r="B10" s="54">
        <v>5409466.4321207469</v>
      </c>
      <c r="C10" s="54">
        <v>5537314.387097449</v>
      </c>
      <c r="D10" s="54">
        <v>5662389.289107535</v>
      </c>
      <c r="E10" s="54">
        <v>5631717.8201656584</v>
      </c>
      <c r="F10" s="54">
        <v>5639166.1660973784</v>
      </c>
      <c r="G10" s="54">
        <v>5658597.59340542</v>
      </c>
      <c r="H10" s="54">
        <v>5607379.8694318449</v>
      </c>
      <c r="I10" s="54">
        <v>5594787.2553025465</v>
      </c>
      <c r="J10" s="54">
        <v>5554848.3549666489</v>
      </c>
      <c r="K10" s="54">
        <v>5494796.1619899124</v>
      </c>
      <c r="L10" s="54">
        <v>5464779.4432206452</v>
      </c>
      <c r="M10" s="54">
        <v>5405840.5418856321</v>
      </c>
      <c r="N10" s="54">
        <v>5329673.7304811999</v>
      </c>
      <c r="O10" s="54">
        <v>5275639.4057606002</v>
      </c>
      <c r="P10" s="54">
        <v>5222707.446785748</v>
      </c>
      <c r="Q10" s="54">
        <v>5163511.1519468613</v>
      </c>
      <c r="R10" s="54">
        <v>5118307.0242642909</v>
      </c>
      <c r="S10" s="54">
        <v>5055791.713206945</v>
      </c>
      <c r="T10" s="54">
        <v>4988892.9009219231</v>
      </c>
      <c r="U10" s="54">
        <v>4922854.5490070246</v>
      </c>
      <c r="V10" s="54">
        <f t="shared" si="1"/>
        <v>107738461.23716602</v>
      </c>
    </row>
    <row r="11" spans="1:22">
      <c r="A11" s="2" t="s">
        <v>13</v>
      </c>
      <c r="B11" s="55">
        <v>1578376.4987915538</v>
      </c>
      <c r="C11" s="55">
        <v>1734572.8639494397</v>
      </c>
      <c r="D11" s="55">
        <v>1829954.4562252271</v>
      </c>
      <c r="E11" s="55">
        <v>1999922.9209899297</v>
      </c>
      <c r="F11" s="55">
        <v>2011862.7748034988</v>
      </c>
      <c r="G11" s="55">
        <v>2197690.2662753165</v>
      </c>
      <c r="H11" s="55">
        <v>2366634.9889834812</v>
      </c>
      <c r="I11" s="55">
        <v>2512873.1925990768</v>
      </c>
      <c r="J11" s="55">
        <v>2904677.2058837279</v>
      </c>
      <c r="K11" s="55">
        <v>2869521.7989688544</v>
      </c>
      <c r="L11" s="55">
        <v>2908355.5781365121</v>
      </c>
      <c r="M11" s="55">
        <v>2926408.3060387936</v>
      </c>
      <c r="N11" s="55">
        <v>2957606.238219996</v>
      </c>
      <c r="O11" s="55">
        <v>3248188.8360243607</v>
      </c>
      <c r="P11" s="55">
        <v>3254957.5657811747</v>
      </c>
      <c r="Q11" s="55">
        <v>3292856.2988544102</v>
      </c>
      <c r="R11" s="55">
        <v>3320659.3425099524</v>
      </c>
      <c r="S11" s="55">
        <v>3304776.4372669393</v>
      </c>
      <c r="T11" s="55">
        <v>3502065.6897183978</v>
      </c>
      <c r="U11" s="55">
        <v>3529698.5788086979</v>
      </c>
      <c r="V11" s="55">
        <f t="shared" si="1"/>
        <v>54251659.838829339</v>
      </c>
    </row>
    <row r="12" spans="1:22">
      <c r="A12" s="8" t="s">
        <v>15</v>
      </c>
      <c r="B12" s="56">
        <f>SUM(B6:B11)</f>
        <v>39154675.759723574</v>
      </c>
      <c r="C12" s="56">
        <f t="shared" ref="C12:V12" si="2">SUM(C6:C11)</f>
        <v>42454695.278459221</v>
      </c>
      <c r="D12" s="56">
        <f t="shared" si="2"/>
        <v>44972257.930633865</v>
      </c>
      <c r="E12" s="56">
        <f t="shared" si="2"/>
        <v>45348268.231841631</v>
      </c>
      <c r="F12" s="56">
        <f t="shared" si="2"/>
        <v>46326203.150075018</v>
      </c>
      <c r="G12" s="56">
        <f t="shared" si="2"/>
        <v>48428463.473928332</v>
      </c>
      <c r="H12" s="56">
        <f t="shared" si="2"/>
        <v>45685329.786887638</v>
      </c>
      <c r="I12" s="56">
        <f t="shared" si="2"/>
        <v>43893809.518605858</v>
      </c>
      <c r="J12" s="56">
        <f t="shared" si="2"/>
        <v>45211007.686147206</v>
      </c>
      <c r="K12" s="56">
        <f t="shared" si="2"/>
        <v>44552189.505529389</v>
      </c>
      <c r="L12" s="56">
        <f t="shared" si="2"/>
        <v>44547557.476623043</v>
      </c>
      <c r="M12" s="56">
        <f t="shared" si="2"/>
        <v>44385085.511031814</v>
      </c>
      <c r="N12" s="56">
        <f t="shared" si="2"/>
        <v>43444881.872450911</v>
      </c>
      <c r="O12" s="56">
        <f t="shared" si="2"/>
        <v>45591531.30174952</v>
      </c>
      <c r="P12" s="56">
        <f t="shared" si="2"/>
        <v>45207051.595666237</v>
      </c>
      <c r="Q12" s="56">
        <f t="shared" si="2"/>
        <v>44576850.991331145</v>
      </c>
      <c r="R12" s="56">
        <f t="shared" si="2"/>
        <v>44243906.506307706</v>
      </c>
      <c r="S12" s="56">
        <f t="shared" si="2"/>
        <v>44015143.552361511</v>
      </c>
      <c r="T12" s="56">
        <f t="shared" si="2"/>
        <v>44425768.782743059</v>
      </c>
      <c r="U12" s="56">
        <f t="shared" si="2"/>
        <v>44001659.582386076</v>
      </c>
      <c r="V12" s="56">
        <f t="shared" si="2"/>
        <v>890466337.49448276</v>
      </c>
    </row>
    <row r="13" spans="1:22">
      <c r="B13" s="54"/>
      <c r="C13" s="54"/>
      <c r="D13" s="54"/>
      <c r="E13" s="54"/>
      <c r="F13" s="54"/>
      <c r="G13" s="54"/>
      <c r="H13" s="54"/>
      <c r="I13" s="54"/>
      <c r="J13" s="54"/>
      <c r="K13" s="54"/>
      <c r="L13" s="54"/>
      <c r="M13" s="54"/>
      <c r="N13" s="54"/>
      <c r="O13" s="54"/>
      <c r="P13" s="54"/>
      <c r="Q13" s="54"/>
      <c r="R13" s="54"/>
      <c r="S13" s="54"/>
      <c r="T13" s="54"/>
      <c r="U13" s="54"/>
      <c r="V13" s="54"/>
    </row>
    <row r="14" spans="1:22">
      <c r="A14" s="3" t="s">
        <v>3</v>
      </c>
      <c r="B14" s="54"/>
      <c r="C14" s="54"/>
      <c r="D14" s="54"/>
      <c r="E14" s="54"/>
      <c r="F14" s="54"/>
      <c r="G14" s="54"/>
      <c r="H14" s="54"/>
      <c r="I14" s="54"/>
      <c r="J14" s="54"/>
      <c r="K14" s="54"/>
      <c r="L14" s="54"/>
      <c r="M14" s="54"/>
      <c r="N14" s="54"/>
      <c r="O14" s="54"/>
      <c r="P14" s="54"/>
      <c r="Q14" s="54"/>
      <c r="R14" s="54"/>
      <c r="S14" s="54"/>
      <c r="T14" s="54"/>
      <c r="U14" s="54"/>
      <c r="V14" s="54"/>
    </row>
    <row r="15" spans="1:22">
      <c r="A15" s="2" t="s">
        <v>7</v>
      </c>
      <c r="B15" s="54">
        <v>13513126.76141849</v>
      </c>
      <c r="C15" s="54">
        <v>12829110.926374193</v>
      </c>
      <c r="D15" s="54">
        <v>12079911.223576054</v>
      </c>
      <c r="E15" s="54">
        <v>10898280.29452</v>
      </c>
      <c r="F15" s="54">
        <v>11150410.715194322</v>
      </c>
      <c r="G15" s="54">
        <v>11115249.003366668</v>
      </c>
      <c r="H15" s="54">
        <v>10736715.755912393</v>
      </c>
      <c r="I15" s="54">
        <v>10386848.07862228</v>
      </c>
      <c r="J15" s="54">
        <v>10032290.922020003</v>
      </c>
      <c r="K15" s="54">
        <v>10159436.752840919</v>
      </c>
      <c r="L15" s="54">
        <v>9961232.415036533</v>
      </c>
      <c r="M15" s="54">
        <v>10035704.307184001</v>
      </c>
      <c r="N15" s="54">
        <v>9685392.5944110714</v>
      </c>
      <c r="O15" s="54">
        <v>8884065.4195162188</v>
      </c>
      <c r="P15" s="54">
        <v>8900657.7519813199</v>
      </c>
      <c r="Q15" s="54">
        <v>8739427.7426080257</v>
      </c>
      <c r="R15" s="54">
        <v>8611899.0719087012</v>
      </c>
      <c r="S15" s="54">
        <v>8390089.1269521788</v>
      </c>
      <c r="T15" s="54">
        <v>7757312.2253646916</v>
      </c>
      <c r="U15" s="54">
        <v>7497833.2899449561</v>
      </c>
      <c r="V15" s="54">
        <f>SUM(B15:U15)</f>
        <v>201364994.37875301</v>
      </c>
    </row>
    <row r="16" spans="1:22">
      <c r="A16" s="2" t="s">
        <v>6</v>
      </c>
      <c r="B16" s="54">
        <v>23092704.650086831</v>
      </c>
      <c r="C16" s="54">
        <v>21540108.9125227</v>
      </c>
      <c r="D16" s="54">
        <v>20327173.938255247</v>
      </c>
      <c r="E16" s="54">
        <v>19162241.701660376</v>
      </c>
      <c r="F16" s="54">
        <v>19383248.289378218</v>
      </c>
      <c r="G16" s="54">
        <v>19382380.649948914</v>
      </c>
      <c r="H16" s="54">
        <v>18552241.05705389</v>
      </c>
      <c r="I16" s="54">
        <v>17939250.366938695</v>
      </c>
      <c r="J16" s="54">
        <v>16287425.92656425</v>
      </c>
      <c r="K16" s="54">
        <v>16739856.211203372</v>
      </c>
      <c r="L16" s="54">
        <v>16141920.495478233</v>
      </c>
      <c r="M16" s="54">
        <v>16091316.347726939</v>
      </c>
      <c r="N16" s="54">
        <v>15153323.580418566</v>
      </c>
      <c r="O16" s="54">
        <v>12908281.405157644</v>
      </c>
      <c r="P16" s="54">
        <v>13167229.242986783</v>
      </c>
      <c r="Q16" s="54">
        <v>12724005.843798725</v>
      </c>
      <c r="R16" s="54">
        <v>12363740.83993607</v>
      </c>
      <c r="S16" s="54">
        <v>11805086.608368853</v>
      </c>
      <c r="T16" s="54">
        <v>10229226.897544557</v>
      </c>
      <c r="U16" s="54">
        <v>9960234.1218810529</v>
      </c>
      <c r="V16" s="54">
        <f>SUM(B16:U16)</f>
        <v>322950997.08690989</v>
      </c>
    </row>
    <row r="17" spans="1:22">
      <c r="A17" s="2" t="s">
        <v>5</v>
      </c>
      <c r="B17" s="55">
        <v>32425747.871166822</v>
      </c>
      <c r="C17" s="55">
        <v>32721994.517535295</v>
      </c>
      <c r="D17" s="55">
        <v>32347772.127218537</v>
      </c>
      <c r="E17" s="55">
        <v>29490325.018992156</v>
      </c>
      <c r="F17" s="55">
        <v>30204497.120957498</v>
      </c>
      <c r="G17" s="55">
        <v>29981559.495930083</v>
      </c>
      <c r="H17" s="55">
        <v>26909205.192251779</v>
      </c>
      <c r="I17" s="55">
        <v>26384916.100022562</v>
      </c>
      <c r="J17" s="55">
        <v>24250631.69516556</v>
      </c>
      <c r="K17" s="55">
        <v>24291841.282630473</v>
      </c>
      <c r="L17" s="55">
        <v>23754975.813351177</v>
      </c>
      <c r="M17" s="55">
        <v>22763197.428726546</v>
      </c>
      <c r="N17" s="55">
        <v>22241689.712821104</v>
      </c>
      <c r="O17" s="55">
        <v>20978686.983026039</v>
      </c>
      <c r="P17" s="55">
        <v>21124333.241873503</v>
      </c>
      <c r="Q17" s="55">
        <v>20682395.673260897</v>
      </c>
      <c r="R17" s="55">
        <v>20252946.530226905</v>
      </c>
      <c r="S17" s="55">
        <v>19779404.116295036</v>
      </c>
      <c r="T17" s="55">
        <v>18782677.515424311</v>
      </c>
      <c r="U17" s="55">
        <v>18930521.888849117</v>
      </c>
      <c r="V17" s="55">
        <f>SUM(B17:U17)</f>
        <v>498299319.32572538</v>
      </c>
    </row>
    <row r="18" spans="1:22">
      <c r="A18" s="8" t="s">
        <v>16</v>
      </c>
      <c r="B18" s="56">
        <f>SUM(B15:B17)</f>
        <v>69031579.282672137</v>
      </c>
      <c r="C18" s="56">
        <f t="shared" ref="C18:V18" si="3">SUM(C15:C17)</f>
        <v>67091214.356432185</v>
      </c>
      <c r="D18" s="56">
        <f t="shared" si="3"/>
        <v>64754857.289049834</v>
      </c>
      <c r="E18" s="56">
        <f t="shared" si="3"/>
        <v>59550847.015172534</v>
      </c>
      <c r="F18" s="56">
        <f t="shared" si="3"/>
        <v>60738156.125530034</v>
      </c>
      <c r="G18" s="56">
        <f t="shared" si="3"/>
        <v>60479189.149245664</v>
      </c>
      <c r="H18" s="56">
        <f t="shared" si="3"/>
        <v>56198162.005218059</v>
      </c>
      <c r="I18" s="56">
        <f t="shared" si="3"/>
        <v>54711014.545583539</v>
      </c>
      <c r="J18" s="56">
        <f t="shared" si="3"/>
        <v>50570348.543749809</v>
      </c>
      <c r="K18" s="56">
        <f t="shared" si="3"/>
        <v>51191134.246674761</v>
      </c>
      <c r="L18" s="56">
        <f t="shared" si="3"/>
        <v>49858128.723865941</v>
      </c>
      <c r="M18" s="56">
        <f t="shared" si="3"/>
        <v>48890218.083637491</v>
      </c>
      <c r="N18" s="56">
        <f t="shared" si="3"/>
        <v>47080405.887650743</v>
      </c>
      <c r="O18" s="56">
        <f t="shared" si="3"/>
        <v>42771033.807699904</v>
      </c>
      <c r="P18" s="56">
        <f t="shared" si="3"/>
        <v>43192220.236841604</v>
      </c>
      <c r="Q18" s="56">
        <f t="shared" si="3"/>
        <v>42145829.25966765</v>
      </c>
      <c r="R18" s="56">
        <f t="shared" si="3"/>
        <v>41228586.442071676</v>
      </c>
      <c r="S18" s="56">
        <f t="shared" si="3"/>
        <v>39974579.85161607</v>
      </c>
      <c r="T18" s="56">
        <f t="shared" si="3"/>
        <v>36769216.638333559</v>
      </c>
      <c r="U18" s="56">
        <f t="shared" si="3"/>
        <v>36388589.300675124</v>
      </c>
      <c r="V18" s="56">
        <f t="shared" si="3"/>
        <v>1022615310.7913883</v>
      </c>
    </row>
    <row r="19" spans="1:22">
      <c r="A19" s="8"/>
      <c r="B19" s="54"/>
      <c r="C19" s="54"/>
      <c r="D19" s="54"/>
      <c r="E19" s="54"/>
      <c r="F19" s="54"/>
      <c r="G19" s="54"/>
      <c r="H19" s="54"/>
      <c r="I19" s="54"/>
      <c r="J19" s="54"/>
      <c r="K19" s="54"/>
      <c r="L19" s="54"/>
      <c r="M19" s="54"/>
      <c r="N19" s="54"/>
      <c r="O19" s="54"/>
      <c r="P19" s="54"/>
      <c r="Q19" s="54"/>
      <c r="R19" s="54"/>
      <c r="S19" s="54"/>
      <c r="T19" s="54"/>
      <c r="U19" s="54"/>
      <c r="V19" s="54"/>
    </row>
    <row r="20" spans="1:22" s="4" customFormat="1">
      <c r="A20" s="3" t="s">
        <v>4</v>
      </c>
      <c r="B20" s="56">
        <f>B12+B18</f>
        <v>108186255.04239571</v>
      </c>
      <c r="C20" s="56">
        <f t="shared" ref="C20:V20" si="4">C12+C18</f>
        <v>109545909.63489141</v>
      </c>
      <c r="D20" s="56">
        <f t="shared" si="4"/>
        <v>109727115.21968371</v>
      </c>
      <c r="E20" s="56">
        <f t="shared" si="4"/>
        <v>104899115.24701416</v>
      </c>
      <c r="F20" s="56">
        <f t="shared" si="4"/>
        <v>107064359.27560505</v>
      </c>
      <c r="G20" s="56">
        <f t="shared" si="4"/>
        <v>108907652.623174</v>
      </c>
      <c r="H20" s="56">
        <f t="shared" si="4"/>
        <v>101883491.7921057</v>
      </c>
      <c r="I20" s="56">
        <f t="shared" si="4"/>
        <v>98604824.064189404</v>
      </c>
      <c r="J20" s="56">
        <f t="shared" si="4"/>
        <v>95781356.229897022</v>
      </c>
      <c r="K20" s="56">
        <f t="shared" si="4"/>
        <v>95743323.75220415</v>
      </c>
      <c r="L20" s="56">
        <f t="shared" si="4"/>
        <v>94405686.200488985</v>
      </c>
      <c r="M20" s="56">
        <f t="shared" si="4"/>
        <v>93275303.594669312</v>
      </c>
      <c r="N20" s="56">
        <f t="shared" si="4"/>
        <v>90525287.760101646</v>
      </c>
      <c r="O20" s="56">
        <f t="shared" si="4"/>
        <v>88362565.109449416</v>
      </c>
      <c r="P20" s="56">
        <f t="shared" si="4"/>
        <v>88399271.832507849</v>
      </c>
      <c r="Q20" s="56">
        <f t="shared" si="4"/>
        <v>86722680.250998795</v>
      </c>
      <c r="R20" s="56">
        <f t="shared" si="4"/>
        <v>85472492.948379382</v>
      </c>
      <c r="S20" s="56">
        <f t="shared" si="4"/>
        <v>83989723.403977573</v>
      </c>
      <c r="T20" s="56">
        <f t="shared" si="4"/>
        <v>81194985.421076626</v>
      </c>
      <c r="U20" s="56">
        <f t="shared" si="4"/>
        <v>80390248.8830612</v>
      </c>
      <c r="V20" s="56">
        <f t="shared" si="4"/>
        <v>1913081648.285871</v>
      </c>
    </row>
    <row r="21" spans="1:22">
      <c r="A21" s="1"/>
      <c r="B21" s="54"/>
      <c r="C21" s="54"/>
      <c r="D21" s="54"/>
      <c r="E21" s="54"/>
      <c r="F21" s="54"/>
      <c r="G21" s="54"/>
      <c r="H21" s="54"/>
      <c r="I21" s="54"/>
      <c r="J21" s="54"/>
      <c r="K21" s="54"/>
      <c r="L21" s="54"/>
      <c r="M21" s="54"/>
      <c r="N21" s="54"/>
      <c r="O21" s="54"/>
      <c r="P21" s="54"/>
      <c r="Q21" s="54"/>
      <c r="R21" s="54"/>
      <c r="S21" s="54"/>
      <c r="T21" s="54"/>
      <c r="U21" s="54"/>
      <c r="V21" s="54"/>
    </row>
    <row r="22" spans="1:22">
      <c r="A22" s="57" t="s">
        <v>22</v>
      </c>
      <c r="B22" s="54"/>
      <c r="C22" s="54"/>
      <c r="D22" s="54"/>
      <c r="E22" s="54"/>
      <c r="F22" s="54"/>
      <c r="G22" s="54"/>
      <c r="H22" s="54"/>
      <c r="I22" s="54"/>
      <c r="J22" s="54"/>
      <c r="K22" s="54"/>
      <c r="L22" s="54"/>
      <c r="M22" s="54"/>
      <c r="N22" s="54"/>
      <c r="O22" s="54"/>
      <c r="P22" s="54"/>
      <c r="Q22" s="54"/>
      <c r="R22" s="54"/>
      <c r="S22" s="54"/>
      <c r="T22" s="54"/>
      <c r="U22" s="54"/>
      <c r="V22" s="54"/>
    </row>
    <row r="23" spans="1:22">
      <c r="A23" s="57"/>
      <c r="B23" s="54"/>
      <c r="C23" s="54"/>
      <c r="D23" s="54"/>
      <c r="E23" s="54"/>
      <c r="F23" s="54"/>
      <c r="G23" s="54"/>
      <c r="H23" s="54"/>
      <c r="I23" s="54"/>
      <c r="J23" s="54"/>
      <c r="K23" s="54"/>
      <c r="L23" s="54"/>
      <c r="M23" s="54"/>
      <c r="N23" s="54"/>
      <c r="O23" s="54"/>
      <c r="P23" s="54"/>
      <c r="Q23" s="54"/>
      <c r="R23" s="54"/>
      <c r="S23" s="54"/>
      <c r="T23" s="54"/>
      <c r="U23" s="54"/>
      <c r="V23" s="54"/>
    </row>
    <row r="24" spans="1:22" ht="15.75">
      <c r="A24" s="68" t="s">
        <v>31</v>
      </c>
    </row>
    <row r="25" spans="1:22">
      <c r="A25" s="5" t="s">
        <v>21</v>
      </c>
      <c r="B25" s="6">
        <v>2015</v>
      </c>
      <c r="C25" s="6">
        <f>B25+1</f>
        <v>2016</v>
      </c>
      <c r="D25" s="6">
        <f t="shared" ref="D25:U25" si="5">C25+1</f>
        <v>2017</v>
      </c>
      <c r="E25" s="6">
        <f t="shared" si="5"/>
        <v>2018</v>
      </c>
      <c r="F25" s="6">
        <f t="shared" si="5"/>
        <v>2019</v>
      </c>
      <c r="G25" s="6">
        <f t="shared" si="5"/>
        <v>2020</v>
      </c>
      <c r="H25" s="6">
        <f t="shared" si="5"/>
        <v>2021</v>
      </c>
      <c r="I25" s="6">
        <f t="shared" si="5"/>
        <v>2022</v>
      </c>
      <c r="J25" s="6">
        <f t="shared" si="5"/>
        <v>2023</v>
      </c>
      <c r="K25" s="6">
        <f t="shared" si="5"/>
        <v>2024</v>
      </c>
      <c r="L25" s="6">
        <f t="shared" si="5"/>
        <v>2025</v>
      </c>
      <c r="M25" s="6">
        <f t="shared" si="5"/>
        <v>2026</v>
      </c>
      <c r="N25" s="6">
        <f t="shared" si="5"/>
        <v>2027</v>
      </c>
      <c r="O25" s="6">
        <f t="shared" si="5"/>
        <v>2028</v>
      </c>
      <c r="P25" s="6">
        <f t="shared" si="5"/>
        <v>2029</v>
      </c>
      <c r="Q25" s="6">
        <f t="shared" si="5"/>
        <v>2030</v>
      </c>
      <c r="R25" s="6">
        <f t="shared" si="5"/>
        <v>2031</v>
      </c>
      <c r="S25" s="6">
        <f t="shared" si="5"/>
        <v>2032</v>
      </c>
      <c r="T25" s="6">
        <f t="shared" si="5"/>
        <v>2033</v>
      </c>
      <c r="U25" s="6">
        <f t="shared" si="5"/>
        <v>2034</v>
      </c>
      <c r="V25" s="6" t="s">
        <v>14</v>
      </c>
    </row>
    <row r="26" spans="1:22">
      <c r="A26" s="10" t="s">
        <v>2</v>
      </c>
      <c r="B26" s="54">
        <v>2945436.7325815684</v>
      </c>
      <c r="C26" s="54">
        <v>3031508.4875562205</v>
      </c>
      <c r="D26" s="54">
        <v>3104759.7014868101</v>
      </c>
      <c r="E26" s="54">
        <v>3093234.9004760906</v>
      </c>
      <c r="F26" s="54">
        <v>3077106.7442850973</v>
      </c>
      <c r="G26" s="54">
        <v>3122060.6709870864</v>
      </c>
      <c r="H26" s="54">
        <v>3076032.3730994798</v>
      </c>
      <c r="I26" s="54">
        <v>3012605.4237874383</v>
      </c>
      <c r="J26" s="54">
        <v>2942308.2984587834</v>
      </c>
      <c r="K26" s="54">
        <v>2892741.2936005848</v>
      </c>
      <c r="L26" s="54">
        <v>2856828.3353751712</v>
      </c>
      <c r="M26" s="54">
        <v>2807455.6627237913</v>
      </c>
      <c r="N26" s="54">
        <v>2733441.8532573362</v>
      </c>
      <c r="O26" s="54">
        <v>2679084.5932420739</v>
      </c>
      <c r="P26" s="54">
        <v>2630696.6411595251</v>
      </c>
      <c r="Q26" s="54">
        <v>2593705.0046395455</v>
      </c>
      <c r="R26" s="54">
        <v>2546275.5968125532</v>
      </c>
      <c r="S26" s="54">
        <v>2496948.7560420348</v>
      </c>
      <c r="T26" s="54">
        <v>2463057.6336148814</v>
      </c>
      <c r="U26" s="54">
        <v>2436595.4566021911</v>
      </c>
      <c r="V26" s="54">
        <f>SUM(B26:U26)</f>
        <v>56541884.159788266</v>
      </c>
    </row>
    <row r="27" spans="1:22">
      <c r="A27" s="10" t="s">
        <v>3</v>
      </c>
      <c r="B27" s="55">
        <v>169764.91845203019</v>
      </c>
      <c r="C27" s="55">
        <v>300007.69574787369</v>
      </c>
      <c r="D27" s="55">
        <v>412743.50144062954</v>
      </c>
      <c r="E27" s="55">
        <v>511847.31534597778</v>
      </c>
      <c r="F27" s="55">
        <v>537767.88738036214</v>
      </c>
      <c r="G27" s="55">
        <v>616296.47391642572</v>
      </c>
      <c r="H27" s="55">
        <v>636938.43405660463</v>
      </c>
      <c r="I27" s="55">
        <v>645297.72974538023</v>
      </c>
      <c r="J27" s="55">
        <v>659810.44288105762</v>
      </c>
      <c r="K27" s="55">
        <v>667250.57678394101</v>
      </c>
      <c r="L27" s="55">
        <v>682650.48473705945</v>
      </c>
      <c r="M27" s="55">
        <v>691983.07422489545</v>
      </c>
      <c r="N27" s="55">
        <v>705397.84818657034</v>
      </c>
      <c r="O27" s="55">
        <v>716466.09226458403</v>
      </c>
      <c r="P27" s="55">
        <v>729388.91945443011</v>
      </c>
      <c r="Q27" s="55">
        <v>740826.30430495879</v>
      </c>
      <c r="R27" s="55">
        <v>752618.45630480302</v>
      </c>
      <c r="S27" s="55">
        <v>764780.64965034695</v>
      </c>
      <c r="T27" s="55">
        <v>777263.22345686809</v>
      </c>
      <c r="U27" s="55">
        <v>789948.79524552834</v>
      </c>
      <c r="V27" s="55">
        <f>SUM(B27:U27)</f>
        <v>12509048.823580328</v>
      </c>
    </row>
    <row r="28" spans="1:22">
      <c r="A28" s="10" t="s">
        <v>4</v>
      </c>
      <c r="B28" s="56">
        <f>SUM(B26:B27)</f>
        <v>3115201.6510335985</v>
      </c>
      <c r="C28" s="56">
        <f t="shared" ref="C28:V28" si="6">SUM(C26:C27)</f>
        <v>3331516.1833040942</v>
      </c>
      <c r="D28" s="56">
        <f t="shared" si="6"/>
        <v>3517503.2029274395</v>
      </c>
      <c r="E28" s="56">
        <f t="shared" si="6"/>
        <v>3605082.2158220685</v>
      </c>
      <c r="F28" s="56">
        <f t="shared" si="6"/>
        <v>3614874.6316654594</v>
      </c>
      <c r="G28" s="56">
        <f t="shared" si="6"/>
        <v>3738357.1449035122</v>
      </c>
      <c r="H28" s="56">
        <f t="shared" si="6"/>
        <v>3712970.8071560846</v>
      </c>
      <c r="I28" s="56">
        <f t="shared" si="6"/>
        <v>3657903.1535328184</v>
      </c>
      <c r="J28" s="56">
        <f t="shared" si="6"/>
        <v>3602118.7413398409</v>
      </c>
      <c r="K28" s="56">
        <f t="shared" si="6"/>
        <v>3559991.870384526</v>
      </c>
      <c r="L28" s="56">
        <f t="shared" si="6"/>
        <v>3539478.8201122307</v>
      </c>
      <c r="M28" s="56">
        <f t="shared" si="6"/>
        <v>3499438.7369486867</v>
      </c>
      <c r="N28" s="56">
        <f t="shared" si="6"/>
        <v>3438839.7014439064</v>
      </c>
      <c r="O28" s="56">
        <f t="shared" si="6"/>
        <v>3395550.6855066577</v>
      </c>
      <c r="P28" s="56">
        <f t="shared" si="6"/>
        <v>3360085.5606139554</v>
      </c>
      <c r="Q28" s="56">
        <f t="shared" si="6"/>
        <v>3334531.3089445042</v>
      </c>
      <c r="R28" s="56">
        <f t="shared" si="6"/>
        <v>3298894.0531173563</v>
      </c>
      <c r="S28" s="56">
        <f t="shared" si="6"/>
        <v>3261729.4056923818</v>
      </c>
      <c r="T28" s="56">
        <f t="shared" si="6"/>
        <v>3240320.8570717494</v>
      </c>
      <c r="U28" s="56">
        <f t="shared" si="6"/>
        <v>3226544.2518477193</v>
      </c>
      <c r="V28" s="56">
        <f t="shared" si="6"/>
        <v>69050932.98336859</v>
      </c>
    </row>
    <row r="29" spans="1:22">
      <c r="A29" s="1"/>
      <c r="B29" s="54"/>
      <c r="C29" s="54"/>
      <c r="D29" s="54"/>
      <c r="E29" s="54"/>
      <c r="F29" s="54"/>
      <c r="G29" s="54"/>
      <c r="H29" s="54"/>
      <c r="I29" s="54"/>
      <c r="J29" s="54"/>
      <c r="K29" s="54"/>
      <c r="L29" s="54"/>
      <c r="M29" s="54"/>
      <c r="N29" s="54"/>
      <c r="O29" s="54"/>
      <c r="P29" s="54"/>
      <c r="Q29" s="54"/>
      <c r="R29" s="54"/>
      <c r="S29" s="54"/>
      <c r="T29" s="54"/>
      <c r="U29" s="54"/>
      <c r="V29" s="54"/>
    </row>
    <row r="30" spans="1:22">
      <c r="A30" s="57" t="s">
        <v>22</v>
      </c>
      <c r="B30" s="54"/>
      <c r="C30" s="54"/>
      <c r="D30" s="54"/>
      <c r="E30" s="54"/>
      <c r="F30" s="54"/>
      <c r="G30" s="54"/>
      <c r="H30" s="54"/>
      <c r="I30" s="54"/>
      <c r="J30" s="54"/>
      <c r="K30" s="54"/>
      <c r="L30" s="54"/>
      <c r="M30" s="54"/>
      <c r="N30" s="54"/>
      <c r="O30" s="54"/>
      <c r="P30" s="54"/>
      <c r="Q30" s="54"/>
      <c r="R30" s="54"/>
      <c r="S30" s="54"/>
      <c r="T30" s="54"/>
      <c r="U30" s="54"/>
      <c r="V30" s="54"/>
    </row>
    <row r="31" spans="1:22">
      <c r="A31" s="1"/>
    </row>
    <row r="32" spans="1:22">
      <c r="A32" s="58" t="s">
        <v>23</v>
      </c>
      <c r="B32" s="63">
        <f>B26/B12</f>
        <v>7.522567038114486E-2</v>
      </c>
      <c r="C32" s="63">
        <f t="shared" ref="C32:V32" si="7">C26/C12</f>
        <v>7.1405729511721541E-2</v>
      </c>
      <c r="D32" s="63">
        <f t="shared" si="7"/>
        <v>6.90372208190137E-2</v>
      </c>
      <c r="E32" s="63">
        <f t="shared" si="7"/>
        <v>6.8210651058647306E-2</v>
      </c>
      <c r="F32" s="63">
        <f t="shared" si="7"/>
        <v>6.6422597472897249E-2</v>
      </c>
      <c r="G32" s="63">
        <f t="shared" si="7"/>
        <v>6.446747319720067E-2</v>
      </c>
      <c r="H32" s="63">
        <f t="shared" si="7"/>
        <v>6.7330856260609639E-2</v>
      </c>
      <c r="I32" s="63">
        <f t="shared" si="7"/>
        <v>6.8633947630142356E-2</v>
      </c>
      <c r="J32" s="63">
        <f t="shared" si="7"/>
        <v>6.5079467347513159E-2</v>
      </c>
      <c r="K32" s="63">
        <f t="shared" si="7"/>
        <v>6.4929273414083624E-2</v>
      </c>
      <c r="L32" s="63">
        <f t="shared" si="7"/>
        <v>6.4129853513839277E-2</v>
      </c>
      <c r="M32" s="63">
        <f t="shared" si="7"/>
        <v>6.3252230572497251E-2</v>
      </c>
      <c r="N32" s="63">
        <f t="shared" si="7"/>
        <v>6.2917465428549244E-2</v>
      </c>
      <c r="O32" s="63">
        <f t="shared" si="7"/>
        <v>5.876276836394103E-2</v>
      </c>
      <c r="P32" s="63">
        <f t="shared" si="7"/>
        <v>5.8192174634359835E-2</v>
      </c>
      <c r="Q32" s="63">
        <f t="shared" si="7"/>
        <v>5.8185020856317174E-2</v>
      </c>
      <c r="R32" s="63">
        <f t="shared" si="7"/>
        <v>5.7550876445540342E-2</v>
      </c>
      <c r="S32" s="63">
        <f t="shared" si="7"/>
        <v>5.6729310744416915E-2</v>
      </c>
      <c r="T32" s="63">
        <f t="shared" si="7"/>
        <v>5.5442093656500602E-2</v>
      </c>
      <c r="U32" s="63">
        <f t="shared" si="7"/>
        <v>5.5375080843031735E-2</v>
      </c>
      <c r="V32" s="63">
        <f t="shared" si="7"/>
        <v>6.3496936132230369E-2</v>
      </c>
    </row>
    <row r="33" spans="1:22">
      <c r="A33" s="58" t="s">
        <v>24</v>
      </c>
      <c r="B33" s="63">
        <f>B27/B18</f>
        <v>2.4592356167439369E-3</v>
      </c>
      <c r="C33" s="63">
        <f t="shared" ref="C33:V33" si="8">C27/C18</f>
        <v>4.4716390756327287E-3</v>
      </c>
      <c r="D33" s="63">
        <f t="shared" si="8"/>
        <v>6.3739388629681258E-3</v>
      </c>
      <c r="E33" s="63">
        <f t="shared" si="8"/>
        <v>8.5951307328268212E-3</v>
      </c>
      <c r="F33" s="63">
        <f t="shared" si="8"/>
        <v>8.8538724532390353E-3</v>
      </c>
      <c r="G33" s="63">
        <f t="shared" si="8"/>
        <v>1.0190223820553861E-2</v>
      </c>
      <c r="H33" s="63">
        <f t="shared" si="8"/>
        <v>1.1333794760004148E-2</v>
      </c>
      <c r="I33" s="63">
        <f t="shared" si="8"/>
        <v>1.179465844501454E-2</v>
      </c>
      <c r="J33" s="63">
        <f t="shared" si="8"/>
        <v>1.3047377799072066E-2</v>
      </c>
      <c r="K33" s="63">
        <f t="shared" si="8"/>
        <v>1.3034494871097407E-2</v>
      </c>
      <c r="L33" s="63">
        <f t="shared" si="8"/>
        <v>1.3691859325845303E-2</v>
      </c>
      <c r="M33" s="63">
        <f t="shared" si="8"/>
        <v>1.4153814430549397E-2</v>
      </c>
      <c r="N33" s="63">
        <f t="shared" si="8"/>
        <v>1.4982832770598462E-2</v>
      </c>
      <c r="O33" s="63">
        <f t="shared" si="8"/>
        <v>1.6751198848403832E-2</v>
      </c>
      <c r="P33" s="63">
        <f t="shared" si="8"/>
        <v>1.6887043904084475E-2</v>
      </c>
      <c r="Q33" s="63">
        <f t="shared" si="8"/>
        <v>1.7577689591551312E-2</v>
      </c>
      <c r="R33" s="63">
        <f t="shared" si="8"/>
        <v>1.8254772264925244E-2</v>
      </c>
      <c r="S33" s="63">
        <f t="shared" si="8"/>
        <v>1.9131674491368766E-2</v>
      </c>
      <c r="T33" s="63">
        <f t="shared" si="8"/>
        <v>2.11389660841057E-2</v>
      </c>
      <c r="U33" s="63">
        <f t="shared" si="8"/>
        <v>2.1708695237352121E-2</v>
      </c>
      <c r="V33" s="63">
        <f t="shared" si="8"/>
        <v>1.2232409090276326E-2</v>
      </c>
    </row>
  </sheetData>
  <pageMargins left="0.7" right="0.7" top="0.75" bottom="0.75" header="0.3" footer="0.3"/>
  <pageSetup orientation="portrait" r:id="rId1"/>
  <ignoredErrors>
    <ignoredError sqref="B28" formulaRange="1"/>
  </ignoredErrors>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A1:V80"/>
  <sheetViews>
    <sheetView workbookViewId="0">
      <pane ySplit="1" topLeftCell="A44" activePane="bottomLeft" state="frozen"/>
      <selection activeCell="I35" sqref="I35"/>
      <selection pane="bottomLeft" activeCell="C73" sqref="C73"/>
    </sheetView>
  </sheetViews>
  <sheetFormatPr defaultRowHeight="15"/>
  <cols>
    <col min="1" max="1" width="44.140625" customWidth="1"/>
    <col min="2" max="21" width="14.28515625" bestFit="1" customWidth="1"/>
    <col min="22" max="22" width="14.5703125" bestFit="1" customWidth="1"/>
  </cols>
  <sheetData>
    <row r="1" spans="1:22" ht="15.75">
      <c r="A1" s="7" t="s">
        <v>39</v>
      </c>
    </row>
    <row r="2" spans="1:22" ht="15.75">
      <c r="A2" s="7"/>
    </row>
    <row r="3" spans="1:22" ht="15.75">
      <c r="A3" s="7" t="s">
        <v>26</v>
      </c>
    </row>
    <row r="4" spans="1:22">
      <c r="A4" s="28" t="s">
        <v>36</v>
      </c>
      <c r="B4" s="29">
        <v>2015</v>
      </c>
      <c r="C4" s="29">
        <f>B4+1</f>
        <v>2016</v>
      </c>
      <c r="D4" s="29">
        <f t="shared" ref="D4:U4" si="0">C4+1</f>
        <v>2017</v>
      </c>
      <c r="E4" s="29">
        <f t="shared" si="0"/>
        <v>2018</v>
      </c>
      <c r="F4" s="29">
        <f t="shared" si="0"/>
        <v>2019</v>
      </c>
      <c r="G4" s="29">
        <f t="shared" si="0"/>
        <v>2020</v>
      </c>
      <c r="H4" s="29">
        <f t="shared" si="0"/>
        <v>2021</v>
      </c>
      <c r="I4" s="29">
        <f t="shared" si="0"/>
        <v>2022</v>
      </c>
      <c r="J4" s="29">
        <f t="shared" si="0"/>
        <v>2023</v>
      </c>
      <c r="K4" s="29">
        <f t="shared" si="0"/>
        <v>2024</v>
      </c>
      <c r="L4" s="29">
        <f t="shared" si="0"/>
        <v>2025</v>
      </c>
      <c r="M4" s="29">
        <f t="shared" si="0"/>
        <v>2026</v>
      </c>
      <c r="N4" s="29">
        <f t="shared" si="0"/>
        <v>2027</v>
      </c>
      <c r="O4" s="29">
        <f t="shared" si="0"/>
        <v>2028</v>
      </c>
      <c r="P4" s="29">
        <f t="shared" si="0"/>
        <v>2029</v>
      </c>
      <c r="Q4" s="29">
        <f t="shared" si="0"/>
        <v>2030</v>
      </c>
      <c r="R4" s="29">
        <f t="shared" si="0"/>
        <v>2031</v>
      </c>
      <c r="S4" s="29">
        <f t="shared" si="0"/>
        <v>2032</v>
      </c>
      <c r="T4" s="29">
        <f t="shared" si="0"/>
        <v>2033</v>
      </c>
      <c r="U4" s="29">
        <f t="shared" si="0"/>
        <v>2034</v>
      </c>
      <c r="V4" s="29" t="s">
        <v>14</v>
      </c>
    </row>
    <row r="5" spans="1:22">
      <c r="A5" s="53" t="s">
        <v>2</v>
      </c>
      <c r="B5" s="31"/>
      <c r="C5" s="31"/>
      <c r="D5" s="31"/>
      <c r="E5" s="31"/>
      <c r="F5" s="31"/>
      <c r="G5" s="31"/>
      <c r="H5" s="31"/>
      <c r="I5" s="31"/>
      <c r="J5" s="31"/>
      <c r="K5" s="31"/>
      <c r="L5" s="31"/>
      <c r="M5" s="31"/>
      <c r="N5" s="31"/>
      <c r="O5" s="31"/>
      <c r="P5" s="31"/>
      <c r="Q5" s="31"/>
      <c r="R5" s="31"/>
      <c r="S5" s="31"/>
      <c r="T5" s="31"/>
      <c r="U5" s="31"/>
      <c r="V5" s="31"/>
    </row>
    <row r="6" spans="1:22">
      <c r="A6" s="32" t="s">
        <v>8</v>
      </c>
      <c r="B6" s="33">
        <v>254739.83996317745</v>
      </c>
      <c r="C6" s="33">
        <v>290538.55176814739</v>
      </c>
      <c r="D6" s="33">
        <v>316545.96027811524</v>
      </c>
      <c r="E6" s="33">
        <v>354170.16930757702</v>
      </c>
      <c r="F6" s="33">
        <v>358864.30502769863</v>
      </c>
      <c r="G6" s="33">
        <v>365584.15260106325</v>
      </c>
      <c r="H6" s="33">
        <v>371470.85241700715</v>
      </c>
      <c r="I6" s="33">
        <v>378294.64970908361</v>
      </c>
      <c r="J6" s="33">
        <v>421835.4051521658</v>
      </c>
      <c r="K6" s="33">
        <v>426934.14091145853</v>
      </c>
      <c r="L6" s="33">
        <v>433897.53080300748</v>
      </c>
      <c r="M6" s="33">
        <v>440172.10797653155</v>
      </c>
      <c r="N6" s="33">
        <v>443753.12614447484</v>
      </c>
      <c r="O6" s="33">
        <v>490020.07502445299</v>
      </c>
      <c r="P6" s="33">
        <v>496659.86594988353</v>
      </c>
      <c r="Q6" s="33">
        <v>504363.52810946666</v>
      </c>
      <c r="R6" s="33">
        <v>513696.90013452433</v>
      </c>
      <c r="S6" s="33">
        <v>521607.83631572354</v>
      </c>
      <c r="T6" s="33">
        <v>558168.70788260316</v>
      </c>
      <c r="U6" s="33">
        <v>566767.64492098149</v>
      </c>
      <c r="V6" s="33">
        <f>SUM(B6:U6)</f>
        <v>8508085.3503971435</v>
      </c>
    </row>
    <row r="7" spans="1:22">
      <c r="A7" s="34" t="s">
        <v>9</v>
      </c>
      <c r="B7" s="33">
        <v>5048736.0805743113</v>
      </c>
      <c r="C7" s="33">
        <v>5759117.6308321115</v>
      </c>
      <c r="D7" s="33">
        <v>6274642.0731840339</v>
      </c>
      <c r="E7" s="33">
        <v>6650940.536262393</v>
      </c>
      <c r="F7" s="33">
        <v>6551894.4474364892</v>
      </c>
      <c r="G7" s="33">
        <v>5737233.1983407959</v>
      </c>
      <c r="H7" s="33">
        <v>4954324.4073016029</v>
      </c>
      <c r="I7" s="33">
        <v>4231135.2862411113</v>
      </c>
      <c r="J7" s="33">
        <v>3894750.6020140611</v>
      </c>
      <c r="K7" s="33">
        <v>3941826.5561077064</v>
      </c>
      <c r="L7" s="33">
        <v>3898398.3117315583</v>
      </c>
      <c r="M7" s="33">
        <v>3846514.9310563207</v>
      </c>
      <c r="N7" s="33">
        <v>3769683.5460744482</v>
      </c>
      <c r="O7" s="33">
        <v>4044427.4982903497</v>
      </c>
      <c r="P7" s="33">
        <v>3980436.631245025</v>
      </c>
      <c r="Q7" s="33">
        <v>3922646.7838084549</v>
      </c>
      <c r="R7" s="33">
        <v>3874604.7225999767</v>
      </c>
      <c r="S7" s="33">
        <v>3812896.5600032881</v>
      </c>
      <c r="T7" s="33">
        <v>3951441.8646723931</v>
      </c>
      <c r="U7" s="33">
        <v>3882798.783855157</v>
      </c>
      <c r="V7" s="33">
        <f t="shared" ref="V7:V11" si="1">SUM(B7:U7)</f>
        <v>92028450.451631591</v>
      </c>
    </row>
    <row r="8" spans="1:22">
      <c r="A8" s="34" t="s">
        <v>10</v>
      </c>
      <c r="B8" s="33">
        <v>945382.02356111456</v>
      </c>
      <c r="C8" s="33">
        <v>1048418.8737027147</v>
      </c>
      <c r="D8" s="33">
        <v>1136016.816755048</v>
      </c>
      <c r="E8" s="33">
        <v>1258616.9654174724</v>
      </c>
      <c r="F8" s="33">
        <v>1274077.248611219</v>
      </c>
      <c r="G8" s="33">
        <v>1592169.5693106323</v>
      </c>
      <c r="H8" s="33">
        <v>1913581.2863597304</v>
      </c>
      <c r="I8" s="33">
        <v>2245293.7246359717</v>
      </c>
      <c r="J8" s="33">
        <v>2817002.882666389</v>
      </c>
      <c r="K8" s="33">
        <v>2850424.9778794521</v>
      </c>
      <c r="L8" s="33">
        <v>2958330.7483586911</v>
      </c>
      <c r="M8" s="33">
        <v>3063217.2624947503</v>
      </c>
      <c r="N8" s="33">
        <v>3150250.4490368376</v>
      </c>
      <c r="O8" s="33">
        <v>3533872.8486645538</v>
      </c>
      <c r="P8" s="33">
        <v>3649661.9918071022</v>
      </c>
      <c r="Q8" s="33">
        <v>3774833.5612409422</v>
      </c>
      <c r="R8" s="33">
        <v>3913756.1418963727</v>
      </c>
      <c r="S8" s="33">
        <v>4042717.618769295</v>
      </c>
      <c r="T8" s="33">
        <v>4392155.3324271496</v>
      </c>
      <c r="U8" s="33">
        <v>4533396.8003598303</v>
      </c>
      <c r="V8" s="33">
        <f t="shared" si="1"/>
        <v>54093177.123955272</v>
      </c>
    </row>
    <row r="9" spans="1:22">
      <c r="A9" s="34" t="s">
        <v>11</v>
      </c>
      <c r="B9" s="33">
        <v>1351165.0041822565</v>
      </c>
      <c r="C9" s="33">
        <v>1421112.3433428211</v>
      </c>
      <c r="D9" s="33">
        <v>1486212.4488922975</v>
      </c>
      <c r="E9" s="33">
        <v>1501153.6990850314</v>
      </c>
      <c r="F9" s="33">
        <v>1519419.3583912353</v>
      </c>
      <c r="G9" s="33">
        <v>1536632.5673786085</v>
      </c>
      <c r="H9" s="33">
        <v>1550715.2838762463</v>
      </c>
      <c r="I9" s="33">
        <v>1567903.2088113774</v>
      </c>
      <c r="J9" s="33">
        <v>1583386.3341867053</v>
      </c>
      <c r="K9" s="33">
        <v>1600556.5662837795</v>
      </c>
      <c r="L9" s="33">
        <v>1617582.2773239322</v>
      </c>
      <c r="M9" s="33">
        <v>1631114.2621351571</v>
      </c>
      <c r="N9" s="33">
        <v>1636016.4528039077</v>
      </c>
      <c r="O9" s="33">
        <v>1651415.6558080562</v>
      </c>
      <c r="P9" s="33">
        <v>1664830.3010954638</v>
      </c>
      <c r="Q9" s="33">
        <v>1680690.9718901152</v>
      </c>
      <c r="R9" s="33">
        <v>1701447.1642804006</v>
      </c>
      <c r="S9" s="33">
        <v>1717664.3520476623</v>
      </c>
      <c r="T9" s="33">
        <v>1734325.1257170362</v>
      </c>
      <c r="U9" s="33">
        <v>1750452.092624468</v>
      </c>
      <c r="V9" s="33">
        <f t="shared" si="1"/>
        <v>31903795.470156554</v>
      </c>
    </row>
    <row r="10" spans="1:22">
      <c r="A10" s="35" t="s">
        <v>12</v>
      </c>
      <c r="B10" s="33">
        <v>659930.88777083508</v>
      </c>
      <c r="C10" s="33">
        <v>692290.61673879868</v>
      </c>
      <c r="D10" s="33">
        <v>722372.75522266026</v>
      </c>
      <c r="E10" s="33">
        <v>729058.61784221232</v>
      </c>
      <c r="F10" s="33">
        <v>737187.68565069686</v>
      </c>
      <c r="G10" s="33">
        <v>745296.69473025447</v>
      </c>
      <c r="H10" s="33">
        <v>751384.36185369396</v>
      </c>
      <c r="I10" s="33">
        <v>759250.58286518883</v>
      </c>
      <c r="J10" s="33">
        <v>766473.57119369146</v>
      </c>
      <c r="K10" s="33">
        <v>773739.66503952187</v>
      </c>
      <c r="L10" s="33">
        <v>782029.73703070427</v>
      </c>
      <c r="M10" s="33">
        <v>787978.0451192453</v>
      </c>
      <c r="N10" s="33">
        <v>789859.35854076024</v>
      </c>
      <c r="O10" s="33">
        <v>796892.15710895089</v>
      </c>
      <c r="P10" s="33">
        <v>803083.79286103987</v>
      </c>
      <c r="Q10" s="33">
        <v>809787.2302772135</v>
      </c>
      <c r="R10" s="33">
        <v>819413.47719908215</v>
      </c>
      <c r="S10" s="33">
        <v>826573.67954919057</v>
      </c>
      <c r="T10" s="33">
        <v>833506.74387416802</v>
      </c>
      <c r="U10" s="33">
        <v>840765.79185434652</v>
      </c>
      <c r="V10" s="33">
        <f t="shared" si="1"/>
        <v>15426875.452322256</v>
      </c>
    </row>
    <row r="11" spans="1:22">
      <c r="A11" s="35" t="s">
        <v>13</v>
      </c>
      <c r="B11" s="36">
        <v>140516.91940431669</v>
      </c>
      <c r="C11" s="36">
        <v>158270.06571358102</v>
      </c>
      <c r="D11" s="36">
        <v>172680.17180902115</v>
      </c>
      <c r="E11" s="36">
        <v>194045.02057839403</v>
      </c>
      <c r="F11" s="36">
        <v>196620.6699298342</v>
      </c>
      <c r="G11" s="36">
        <v>217189.85443378854</v>
      </c>
      <c r="H11" s="36">
        <v>237651.46202680393</v>
      </c>
      <c r="I11" s="36">
        <v>259007.38133461689</v>
      </c>
      <c r="J11" s="36">
        <v>308378.69000328868</v>
      </c>
      <c r="K11" s="36">
        <v>312217.0246485442</v>
      </c>
      <c r="L11" s="36">
        <v>322229.74366874137</v>
      </c>
      <c r="M11" s="36">
        <v>331962.95809112437</v>
      </c>
      <c r="N11" s="36">
        <v>339541.31256908603</v>
      </c>
      <c r="O11" s="36">
        <v>381004.23110428633</v>
      </c>
      <c r="P11" s="36">
        <v>391730.57373573771</v>
      </c>
      <c r="Q11" s="36">
        <v>403267.14431155781</v>
      </c>
      <c r="R11" s="36">
        <v>416301.01208084746</v>
      </c>
      <c r="S11" s="36">
        <v>428464.46730277874</v>
      </c>
      <c r="T11" s="36">
        <v>464746.15981133177</v>
      </c>
      <c r="U11" s="36">
        <v>477824.38621789188</v>
      </c>
      <c r="V11" s="36">
        <f t="shared" si="1"/>
        <v>6153649.2487755734</v>
      </c>
    </row>
    <row r="12" spans="1:22">
      <c r="A12" s="37" t="s">
        <v>15</v>
      </c>
      <c r="B12" s="38">
        <f>SUM(B6:B11)</f>
        <v>8400470.7554560117</v>
      </c>
      <c r="C12" s="38">
        <f t="shared" ref="C12:V12" si="2">SUM(C6:C11)</f>
        <v>9369748.082098173</v>
      </c>
      <c r="D12" s="38">
        <f t="shared" si="2"/>
        <v>10108470.226141175</v>
      </c>
      <c r="E12" s="38">
        <f t="shared" si="2"/>
        <v>10687985.008493081</v>
      </c>
      <c r="F12" s="38">
        <f t="shared" si="2"/>
        <v>10638063.715047173</v>
      </c>
      <c r="G12" s="38">
        <f t="shared" si="2"/>
        <v>10194106.036795143</v>
      </c>
      <c r="H12" s="38">
        <f t="shared" si="2"/>
        <v>9779127.6538350862</v>
      </c>
      <c r="I12" s="38">
        <f t="shared" si="2"/>
        <v>9440884.8335973509</v>
      </c>
      <c r="J12" s="38">
        <f t="shared" si="2"/>
        <v>9791827.4852163009</v>
      </c>
      <c r="K12" s="38">
        <f t="shared" si="2"/>
        <v>9905698.9308704622</v>
      </c>
      <c r="L12" s="38">
        <f t="shared" si="2"/>
        <v>10012468.348916633</v>
      </c>
      <c r="M12" s="38">
        <f t="shared" si="2"/>
        <v>10100959.566873129</v>
      </c>
      <c r="N12" s="38">
        <f t="shared" si="2"/>
        <v>10129104.245169513</v>
      </c>
      <c r="O12" s="38">
        <f t="shared" si="2"/>
        <v>10897632.46600065</v>
      </c>
      <c r="P12" s="38">
        <f t="shared" si="2"/>
        <v>10986403.156694254</v>
      </c>
      <c r="Q12" s="38">
        <f t="shared" si="2"/>
        <v>11095589.219637752</v>
      </c>
      <c r="R12" s="38">
        <f t="shared" si="2"/>
        <v>11239219.418191204</v>
      </c>
      <c r="S12" s="38">
        <f t="shared" si="2"/>
        <v>11349924.513987938</v>
      </c>
      <c r="T12" s="38">
        <f t="shared" si="2"/>
        <v>11934343.934384681</v>
      </c>
      <c r="U12" s="38">
        <f t="shared" si="2"/>
        <v>12052005.499832675</v>
      </c>
      <c r="V12" s="38">
        <f t="shared" si="2"/>
        <v>208114033.09723836</v>
      </c>
    </row>
    <row r="13" spans="1:22">
      <c r="A13" s="31"/>
      <c r="B13" s="33"/>
      <c r="C13" s="33"/>
      <c r="D13" s="33"/>
      <c r="E13" s="33"/>
      <c r="F13" s="33"/>
      <c r="G13" s="33"/>
      <c r="H13" s="33"/>
      <c r="I13" s="33"/>
      <c r="J13" s="33"/>
      <c r="K13" s="33"/>
      <c r="L13" s="33"/>
      <c r="M13" s="33"/>
      <c r="N13" s="33"/>
      <c r="O13" s="33"/>
      <c r="P13" s="33"/>
      <c r="Q13" s="33"/>
      <c r="R13" s="33"/>
      <c r="S13" s="33"/>
      <c r="T13" s="33"/>
      <c r="U13" s="33"/>
      <c r="V13" s="33"/>
    </row>
    <row r="14" spans="1:22">
      <c r="A14" s="53" t="s">
        <v>3</v>
      </c>
      <c r="B14" s="33"/>
      <c r="C14" s="33"/>
      <c r="D14" s="33"/>
      <c r="E14" s="33"/>
      <c r="F14" s="33"/>
      <c r="G14" s="33"/>
      <c r="H14" s="33"/>
      <c r="I14" s="33"/>
      <c r="J14" s="33"/>
      <c r="K14" s="33"/>
      <c r="L14" s="33"/>
      <c r="M14" s="33"/>
      <c r="N14" s="33"/>
      <c r="O14" s="33"/>
      <c r="P14" s="33"/>
      <c r="Q14" s="33"/>
      <c r="R14" s="33"/>
      <c r="S14" s="33"/>
      <c r="T14" s="33"/>
      <c r="U14" s="33"/>
      <c r="V14" s="33"/>
    </row>
    <row r="15" spans="1:22">
      <c r="A15" s="35" t="s">
        <v>7</v>
      </c>
      <c r="B15" s="33">
        <v>1488991.2195158722</v>
      </c>
      <c r="C15" s="33">
        <v>1415107.2621737556</v>
      </c>
      <c r="D15" s="33">
        <v>1358229.6068825587</v>
      </c>
      <c r="E15" s="33">
        <v>1265288.1643737897</v>
      </c>
      <c r="F15" s="33">
        <v>1256020.1107716439</v>
      </c>
      <c r="G15" s="33">
        <v>1265393.5837519027</v>
      </c>
      <c r="H15" s="33">
        <v>1278022.4403795761</v>
      </c>
      <c r="I15" s="33">
        <v>1275237.4934732988</v>
      </c>
      <c r="J15" s="33">
        <v>1271780.1794725617</v>
      </c>
      <c r="K15" s="33">
        <v>1287830.3727962165</v>
      </c>
      <c r="L15" s="33">
        <v>1303017.5420038505</v>
      </c>
      <c r="M15" s="33">
        <v>1354609.2181032731</v>
      </c>
      <c r="N15" s="33">
        <v>1346699.9104112233</v>
      </c>
      <c r="O15" s="33">
        <v>1267324.2267608761</v>
      </c>
      <c r="P15" s="33">
        <v>1265286.2906434857</v>
      </c>
      <c r="Q15" s="33">
        <v>1278575.6493895384</v>
      </c>
      <c r="R15" s="33">
        <v>1298955.2690558271</v>
      </c>
      <c r="S15" s="33">
        <v>1308457.6493427004</v>
      </c>
      <c r="T15" s="33">
        <v>1250098.0080120708</v>
      </c>
      <c r="U15" s="33">
        <v>1221754.7843078014</v>
      </c>
      <c r="V15" s="33">
        <f>SUM(B15:U15)</f>
        <v>26056678.981621824</v>
      </c>
    </row>
    <row r="16" spans="1:22">
      <c r="A16" s="35" t="s">
        <v>6</v>
      </c>
      <c r="B16" s="33">
        <v>6089924.2533044033</v>
      </c>
      <c r="C16" s="33">
        <v>5967011.4916806519</v>
      </c>
      <c r="D16" s="33">
        <v>5946269.2045291541</v>
      </c>
      <c r="E16" s="33">
        <v>6079520.2051651804</v>
      </c>
      <c r="F16" s="33">
        <v>5995870.8693982</v>
      </c>
      <c r="G16" s="33">
        <v>6131498.820182357</v>
      </c>
      <c r="H16" s="33">
        <v>6192692.2863948504</v>
      </c>
      <c r="I16" s="33">
        <v>6179197.7508690124</v>
      </c>
      <c r="J16" s="33">
        <v>5795482.5016768249</v>
      </c>
      <c r="K16" s="33">
        <v>5958875.0513016023</v>
      </c>
      <c r="L16" s="33">
        <v>5932001.8727036864</v>
      </c>
      <c r="M16" s="33">
        <v>6104625.2937569963</v>
      </c>
      <c r="N16" s="33">
        <v>5924506.5573552409</v>
      </c>
      <c r="O16" s="33">
        <v>5179721.5016776156</v>
      </c>
      <c r="P16" s="33">
        <v>5265627.9244614057</v>
      </c>
      <c r="Q16" s="33">
        <v>5235995.3361750711</v>
      </c>
      <c r="R16" s="33">
        <v>5244891.6734571904</v>
      </c>
      <c r="S16" s="33">
        <v>5177724.3505907692</v>
      </c>
      <c r="T16" s="33">
        <v>4635078.926766918</v>
      </c>
      <c r="U16" s="33">
        <v>4562582.5816308782</v>
      </c>
      <c r="V16" s="33">
        <f>SUM(B16:U16)</f>
        <v>113599098.453078</v>
      </c>
    </row>
    <row r="17" spans="1:22">
      <c r="A17" s="35" t="s">
        <v>5</v>
      </c>
      <c r="B17" s="36">
        <v>8050751.089020323</v>
      </c>
      <c r="C17" s="36">
        <v>8484931.3642556202</v>
      </c>
      <c r="D17" s="36">
        <v>9052863.8197886981</v>
      </c>
      <c r="E17" s="36">
        <v>8506562.6053938307</v>
      </c>
      <c r="F17" s="36">
        <v>8735222.9536700882</v>
      </c>
      <c r="G17" s="36">
        <v>8817950.4058494903</v>
      </c>
      <c r="H17" s="36">
        <v>8936853.3043070752</v>
      </c>
      <c r="I17" s="36">
        <v>9110685.4206948262</v>
      </c>
      <c r="J17" s="36">
        <v>8762127.9503927901</v>
      </c>
      <c r="K17" s="36">
        <v>8832431.1839768402</v>
      </c>
      <c r="L17" s="36">
        <v>8987503.7626353092</v>
      </c>
      <c r="M17" s="36">
        <v>8982636.6662026197</v>
      </c>
      <c r="N17" s="36">
        <v>9122814.7490549088</v>
      </c>
      <c r="O17" s="36">
        <v>8942794.9666692391</v>
      </c>
      <c r="P17" s="36">
        <v>9026208.8395057935</v>
      </c>
      <c r="Q17" s="36">
        <v>9170258.0963533781</v>
      </c>
      <c r="R17" s="36">
        <v>9333952.4819978736</v>
      </c>
      <c r="S17" s="36">
        <v>9505067.5162008647</v>
      </c>
      <c r="T17" s="36">
        <v>9436567.5244402438</v>
      </c>
      <c r="U17" s="36">
        <v>9657801.5371140223</v>
      </c>
      <c r="V17" s="36">
        <f>SUM(B17:U17)</f>
        <v>179455986.23752385</v>
      </c>
    </row>
    <row r="18" spans="1:22">
      <c r="A18" s="37" t="s">
        <v>16</v>
      </c>
      <c r="B18" s="38">
        <f>SUM(B15:B17)</f>
        <v>15629666.561840598</v>
      </c>
      <c r="C18" s="38">
        <f t="shared" ref="C18:V18" si="3">SUM(C15:C17)</f>
        <v>15867050.118110027</v>
      </c>
      <c r="D18" s="38">
        <f t="shared" si="3"/>
        <v>16357362.63120041</v>
      </c>
      <c r="E18" s="38">
        <f t="shared" si="3"/>
        <v>15851370.974932801</v>
      </c>
      <c r="F18" s="38">
        <f t="shared" si="3"/>
        <v>15987113.933839932</v>
      </c>
      <c r="G18" s="38">
        <f t="shared" si="3"/>
        <v>16214842.809783749</v>
      </c>
      <c r="H18" s="38">
        <f t="shared" si="3"/>
        <v>16407568.031081501</v>
      </c>
      <c r="I18" s="38">
        <f t="shared" si="3"/>
        <v>16565120.665037137</v>
      </c>
      <c r="J18" s="38">
        <f t="shared" si="3"/>
        <v>15829390.631542176</v>
      </c>
      <c r="K18" s="38">
        <f t="shared" si="3"/>
        <v>16079136.608074659</v>
      </c>
      <c r="L18" s="38">
        <f t="shared" si="3"/>
        <v>16222523.177342847</v>
      </c>
      <c r="M18" s="38">
        <f t="shared" si="3"/>
        <v>16441871.17806289</v>
      </c>
      <c r="N18" s="38">
        <f t="shared" si="3"/>
        <v>16394021.216821373</v>
      </c>
      <c r="O18" s="38">
        <f t="shared" si="3"/>
        <v>15389840.695107732</v>
      </c>
      <c r="P18" s="38">
        <f t="shared" si="3"/>
        <v>15557123.054610685</v>
      </c>
      <c r="Q18" s="38">
        <f t="shared" si="3"/>
        <v>15684829.081917988</v>
      </c>
      <c r="R18" s="38">
        <f t="shared" si="3"/>
        <v>15877799.424510891</v>
      </c>
      <c r="S18" s="38">
        <f t="shared" si="3"/>
        <v>15991249.516134335</v>
      </c>
      <c r="T18" s="38">
        <f t="shared" si="3"/>
        <v>15321744.459219232</v>
      </c>
      <c r="U18" s="38">
        <f t="shared" si="3"/>
        <v>15442138.903052703</v>
      </c>
      <c r="V18" s="38">
        <f t="shared" si="3"/>
        <v>319111763.67222369</v>
      </c>
    </row>
    <row r="19" spans="1:22">
      <c r="A19" s="37"/>
      <c r="B19" s="33"/>
      <c r="C19" s="33"/>
      <c r="D19" s="33"/>
      <c r="E19" s="33"/>
      <c r="F19" s="33"/>
      <c r="G19" s="33"/>
      <c r="H19" s="33"/>
      <c r="I19" s="33"/>
      <c r="J19" s="33"/>
      <c r="K19" s="33"/>
      <c r="L19" s="33"/>
      <c r="M19" s="33"/>
      <c r="N19" s="33"/>
      <c r="O19" s="33"/>
      <c r="P19" s="33"/>
      <c r="Q19" s="33"/>
      <c r="R19" s="33"/>
      <c r="S19" s="33"/>
      <c r="T19" s="33"/>
      <c r="U19" s="33"/>
      <c r="V19" s="33"/>
    </row>
    <row r="20" spans="1:22" s="4" customFormat="1">
      <c r="A20" s="30" t="s">
        <v>4</v>
      </c>
      <c r="B20" s="38">
        <f>B12+B18</f>
        <v>24030137.317296609</v>
      </c>
      <c r="C20" s="38">
        <f t="shared" ref="C20:V20" si="4">C12+C18</f>
        <v>25236798.200208202</v>
      </c>
      <c r="D20" s="38">
        <f t="shared" si="4"/>
        <v>26465832.857341588</v>
      </c>
      <c r="E20" s="38">
        <f t="shared" si="4"/>
        <v>26539355.983425882</v>
      </c>
      <c r="F20" s="38">
        <f t="shared" si="4"/>
        <v>26625177.648887105</v>
      </c>
      <c r="G20" s="38">
        <f t="shared" si="4"/>
        <v>26408948.846578892</v>
      </c>
      <c r="H20" s="38">
        <f t="shared" si="4"/>
        <v>26186695.684916586</v>
      </c>
      <c r="I20" s="38">
        <f t="shared" si="4"/>
        <v>26006005.498634487</v>
      </c>
      <c r="J20" s="38">
        <f t="shared" si="4"/>
        <v>25621218.116758477</v>
      </c>
      <c r="K20" s="38">
        <f t="shared" si="4"/>
        <v>25984835.538945124</v>
      </c>
      <c r="L20" s="38">
        <f t="shared" si="4"/>
        <v>26234991.526259482</v>
      </c>
      <c r="M20" s="38">
        <f t="shared" si="4"/>
        <v>26542830.744936019</v>
      </c>
      <c r="N20" s="38">
        <f t="shared" si="4"/>
        <v>26523125.461990885</v>
      </c>
      <c r="O20" s="38">
        <f t="shared" si="4"/>
        <v>26287473.161108382</v>
      </c>
      <c r="P20" s="38">
        <f t="shared" si="4"/>
        <v>26543526.21130494</v>
      </c>
      <c r="Q20" s="38">
        <f t="shared" si="4"/>
        <v>26780418.301555738</v>
      </c>
      <c r="R20" s="38">
        <f t="shared" si="4"/>
        <v>27117018.842702094</v>
      </c>
      <c r="S20" s="38">
        <f t="shared" si="4"/>
        <v>27341174.030122273</v>
      </c>
      <c r="T20" s="38">
        <f t="shared" si="4"/>
        <v>27256088.393603913</v>
      </c>
      <c r="U20" s="38">
        <f t="shared" si="4"/>
        <v>27494144.402885377</v>
      </c>
      <c r="V20" s="38">
        <f t="shared" si="4"/>
        <v>527225796.76946205</v>
      </c>
    </row>
    <row r="21" spans="1:22">
      <c r="A21" s="1"/>
    </row>
    <row r="22" spans="1:22" s="6" customFormat="1">
      <c r="A22" s="17" t="s">
        <v>35</v>
      </c>
      <c r="B22" s="18">
        <v>2015</v>
      </c>
      <c r="C22" s="18">
        <f>B22+1</f>
        <v>2016</v>
      </c>
      <c r="D22" s="18">
        <f t="shared" ref="D22:U22" si="5">C22+1</f>
        <v>2017</v>
      </c>
      <c r="E22" s="18">
        <f t="shared" si="5"/>
        <v>2018</v>
      </c>
      <c r="F22" s="18">
        <f t="shared" si="5"/>
        <v>2019</v>
      </c>
      <c r="G22" s="18">
        <f t="shared" si="5"/>
        <v>2020</v>
      </c>
      <c r="H22" s="18">
        <f t="shared" si="5"/>
        <v>2021</v>
      </c>
      <c r="I22" s="18">
        <f t="shared" si="5"/>
        <v>2022</v>
      </c>
      <c r="J22" s="18">
        <f t="shared" si="5"/>
        <v>2023</v>
      </c>
      <c r="K22" s="18">
        <f t="shared" si="5"/>
        <v>2024</v>
      </c>
      <c r="L22" s="18">
        <f t="shared" si="5"/>
        <v>2025</v>
      </c>
      <c r="M22" s="18">
        <f t="shared" si="5"/>
        <v>2026</v>
      </c>
      <c r="N22" s="18">
        <f t="shared" si="5"/>
        <v>2027</v>
      </c>
      <c r="O22" s="18">
        <f t="shared" si="5"/>
        <v>2028</v>
      </c>
      <c r="P22" s="18">
        <f t="shared" si="5"/>
        <v>2029</v>
      </c>
      <c r="Q22" s="18">
        <f t="shared" si="5"/>
        <v>2030</v>
      </c>
      <c r="R22" s="18">
        <f t="shared" si="5"/>
        <v>2031</v>
      </c>
      <c r="S22" s="18">
        <f t="shared" si="5"/>
        <v>2032</v>
      </c>
      <c r="T22" s="18">
        <f t="shared" si="5"/>
        <v>2033</v>
      </c>
      <c r="U22" s="18">
        <f t="shared" si="5"/>
        <v>2034</v>
      </c>
      <c r="V22" s="18" t="s">
        <v>14</v>
      </c>
    </row>
    <row r="23" spans="1:22">
      <c r="A23" s="51" t="s">
        <v>2</v>
      </c>
      <c r="B23" s="20"/>
      <c r="C23" s="20"/>
      <c r="D23" s="20"/>
      <c r="E23" s="20"/>
      <c r="F23" s="20"/>
      <c r="G23" s="20"/>
      <c r="H23" s="20"/>
      <c r="I23" s="20"/>
      <c r="J23" s="20"/>
      <c r="K23" s="20"/>
      <c r="L23" s="20"/>
      <c r="M23" s="20"/>
      <c r="N23" s="20"/>
      <c r="O23" s="20"/>
      <c r="P23" s="20"/>
      <c r="Q23" s="20"/>
      <c r="R23" s="20"/>
      <c r="S23" s="20"/>
      <c r="T23" s="20"/>
      <c r="U23" s="20"/>
      <c r="V23" s="20"/>
    </row>
    <row r="24" spans="1:22">
      <c r="A24" s="21" t="s">
        <v>8</v>
      </c>
      <c r="B24" s="22">
        <v>1870037.6623604668</v>
      </c>
      <c r="C24" s="22">
        <v>2138592.9260682175</v>
      </c>
      <c r="D24" s="22">
        <v>2335623.5133209256</v>
      </c>
      <c r="E24" s="22">
        <v>2619705.7068236494</v>
      </c>
      <c r="F24" s="22">
        <v>2658595.9404301918</v>
      </c>
      <c r="G24" s="22">
        <v>2717072.8346421332</v>
      </c>
      <c r="H24" s="22">
        <v>2767684.1948299129</v>
      </c>
      <c r="I24" s="22">
        <v>2824432.6119250818</v>
      </c>
      <c r="J24" s="22">
        <v>3155069.6073842361</v>
      </c>
      <c r="K24" s="22">
        <v>3194541.3208583249</v>
      </c>
      <c r="L24" s="22">
        <v>3247983.445852112</v>
      </c>
      <c r="M24" s="22">
        <v>3295806.1861720607</v>
      </c>
      <c r="N24" s="22">
        <v>3323315.3033199371</v>
      </c>
      <c r="O24" s="22">
        <v>3671423.8688881011</v>
      </c>
      <c r="P24" s="22">
        <v>3722321.0465056556</v>
      </c>
      <c r="Q24" s="22">
        <v>3781437.559928095</v>
      </c>
      <c r="R24" s="22">
        <v>3853185.6621450372</v>
      </c>
      <c r="S24" s="22">
        <v>3915312.879216461</v>
      </c>
      <c r="T24" s="22">
        <v>4193115.801216465</v>
      </c>
      <c r="U24" s="22">
        <v>4260575.321712059</v>
      </c>
      <c r="V24" s="22">
        <f>SUM(B24:U24)</f>
        <v>63545833.393599123</v>
      </c>
    </row>
    <row r="25" spans="1:22">
      <c r="A25" s="23" t="s">
        <v>9</v>
      </c>
      <c r="B25" s="22">
        <v>1511942.8773691582</v>
      </c>
      <c r="C25" s="22">
        <v>1729072.3108108372</v>
      </c>
      <c r="D25" s="22">
        <v>1888373.3767821875</v>
      </c>
      <c r="E25" s="22">
        <v>2471065.8906062045</v>
      </c>
      <c r="F25" s="22">
        <v>2686874.492451509</v>
      </c>
      <c r="G25" s="22">
        <v>2965557.2210151944</v>
      </c>
      <c r="H25" s="22">
        <v>3178485.0408721282</v>
      </c>
      <c r="I25" s="22">
        <v>3338435.2184326523</v>
      </c>
      <c r="J25" s="22">
        <v>3762536.9136194717</v>
      </c>
      <c r="K25" s="22">
        <v>3809608.388252703</v>
      </c>
      <c r="L25" s="22">
        <v>3769190.0645647808</v>
      </c>
      <c r="M25" s="22">
        <v>3719989.9501947891</v>
      </c>
      <c r="N25" s="22">
        <v>3646449.5958925942</v>
      </c>
      <c r="O25" s="22">
        <v>3913928.6839120244</v>
      </c>
      <c r="P25" s="22">
        <v>3853192.2151633799</v>
      </c>
      <c r="Q25" s="22">
        <v>3798635.8465482532</v>
      </c>
      <c r="R25" s="22">
        <v>3753838.5762157366</v>
      </c>
      <c r="S25" s="22">
        <v>3696686.2154331575</v>
      </c>
      <c r="T25" s="22">
        <v>3834088.7970010745</v>
      </c>
      <c r="U25" s="22">
        <v>3770016.7667366359</v>
      </c>
      <c r="V25" s="22">
        <f t="shared" ref="V25:V29" si="6">SUM(B25:U25)</f>
        <v>65097968.441874459</v>
      </c>
    </row>
    <row r="26" spans="1:22">
      <c r="A26" s="23" t="s">
        <v>10</v>
      </c>
      <c r="B26" s="22">
        <v>639573.40609009541</v>
      </c>
      <c r="C26" s="22">
        <v>760058.60205699748</v>
      </c>
      <c r="D26" s="22">
        <v>836651.74260918074</v>
      </c>
      <c r="E26" s="22">
        <v>951188.11038285447</v>
      </c>
      <c r="F26" s="22">
        <v>966734.54462578427</v>
      </c>
      <c r="G26" s="22">
        <v>1270055.4122788238</v>
      </c>
      <c r="H26" s="22">
        <v>1577144.0639317997</v>
      </c>
      <c r="I26" s="22">
        <v>1896329.2829231699</v>
      </c>
      <c r="J26" s="22">
        <v>2448440.9929597978</v>
      </c>
      <c r="K26" s="22">
        <v>2479758.2719681906</v>
      </c>
      <c r="L26" s="22">
        <v>2583163.6828004178</v>
      </c>
      <c r="M26" s="22">
        <v>2683036.8260787027</v>
      </c>
      <c r="N26" s="22">
        <v>2767117.3803898776</v>
      </c>
      <c r="O26" s="22">
        <v>3137304.3649362829</v>
      </c>
      <c r="P26" s="22">
        <v>3248967.2072337978</v>
      </c>
      <c r="Q26" s="22">
        <v>3368956.6830990091</v>
      </c>
      <c r="R26" s="22">
        <v>3502070.0529766423</v>
      </c>
      <c r="S26" s="22">
        <v>3629047.3947387794</v>
      </c>
      <c r="T26" s="22">
        <v>3968149.8029700555</v>
      </c>
      <c r="U26" s="22">
        <v>4107045.2002779185</v>
      </c>
      <c r="V26" s="22">
        <f t="shared" si="6"/>
        <v>46820793.025328182</v>
      </c>
    </row>
    <row r="27" spans="1:22">
      <c r="A27" s="23" t="s">
        <v>11</v>
      </c>
      <c r="B27" s="22">
        <v>979707.24849860882</v>
      </c>
      <c r="C27" s="22">
        <v>1044376.9425607627</v>
      </c>
      <c r="D27" s="22">
        <v>1106041.360099508</v>
      </c>
      <c r="E27" s="22">
        <v>1122295.7607428625</v>
      </c>
      <c r="F27" s="22">
        <v>1141093.6810863179</v>
      </c>
      <c r="G27" s="22">
        <v>1160972.5512798645</v>
      </c>
      <c r="H27" s="22">
        <v>1177330.4968708602</v>
      </c>
      <c r="I27" s="22">
        <v>1196077.4291540962</v>
      </c>
      <c r="J27" s="22">
        <v>1213240.5333506968</v>
      </c>
      <c r="K27" s="22">
        <v>1230036.4930893446</v>
      </c>
      <c r="L27" s="22">
        <v>1246981.7065859258</v>
      </c>
      <c r="M27" s="22">
        <v>1260352.9805259143</v>
      </c>
      <c r="N27" s="22">
        <v>1265553.3096553069</v>
      </c>
      <c r="O27" s="22">
        <v>1281228.8453851333</v>
      </c>
      <c r="P27" s="22">
        <v>1294794.6825103725</v>
      </c>
      <c r="Q27" s="22">
        <v>1310917.7397579995</v>
      </c>
      <c r="R27" s="22">
        <v>1332129.523946313</v>
      </c>
      <c r="S27" s="22">
        <v>1349342.1947652444</v>
      </c>
      <c r="T27" s="22">
        <v>1367242.4709477164</v>
      </c>
      <c r="U27" s="22">
        <v>1384531.624111119</v>
      </c>
      <c r="V27" s="22">
        <f t="shared" si="6"/>
        <v>24464247.574923966</v>
      </c>
    </row>
    <row r="28" spans="1:22">
      <c r="A28" s="24" t="s">
        <v>12</v>
      </c>
      <c r="B28" s="22">
        <v>722508.37704428041</v>
      </c>
      <c r="C28" s="22">
        <v>770898.82235768123</v>
      </c>
      <c r="D28" s="22">
        <v>816611.81476000638</v>
      </c>
      <c r="E28" s="22">
        <v>828584.94069090555</v>
      </c>
      <c r="F28" s="22">
        <v>842262.84257029672</v>
      </c>
      <c r="G28" s="22">
        <v>857462.17392212013</v>
      </c>
      <c r="H28" s="22">
        <v>869225.578705861</v>
      </c>
      <c r="I28" s="22">
        <v>882818.13764612656</v>
      </c>
      <c r="J28" s="22">
        <v>895821.93758961558</v>
      </c>
      <c r="K28" s="22">
        <v>908529.99364395533</v>
      </c>
      <c r="L28" s="22">
        <v>921198.3715418356</v>
      </c>
      <c r="M28" s="22">
        <v>931175.44681843137</v>
      </c>
      <c r="N28" s="22">
        <v>934386.65248693898</v>
      </c>
      <c r="O28" s="22">
        <v>946394.6964221691</v>
      </c>
      <c r="P28" s="22">
        <v>957166.80512296897</v>
      </c>
      <c r="Q28" s="22">
        <v>968465.07189903804</v>
      </c>
      <c r="R28" s="22">
        <v>984789.32611971698</v>
      </c>
      <c r="S28" s="22">
        <v>997935.48913870496</v>
      </c>
      <c r="T28" s="22">
        <v>1010435.4236668256</v>
      </c>
      <c r="U28" s="22">
        <v>1023471.9303348276</v>
      </c>
      <c r="V28" s="22">
        <f t="shared" si="6"/>
        <v>18070143.832482312</v>
      </c>
    </row>
    <row r="29" spans="1:22">
      <c r="A29" s="24" t="s">
        <v>13</v>
      </c>
      <c r="B29" s="25">
        <v>103564.41159911809</v>
      </c>
      <c r="C29" s="25">
        <v>119010.22675074592</v>
      </c>
      <c r="D29" s="25">
        <v>129715.37410343307</v>
      </c>
      <c r="E29" s="25">
        <v>144633.70584221161</v>
      </c>
      <c r="F29" s="25">
        <v>146766.39779846731</v>
      </c>
      <c r="G29" s="25">
        <v>161132.99337425231</v>
      </c>
      <c r="H29" s="25">
        <v>175341.21834712371</v>
      </c>
      <c r="I29" s="25">
        <v>190321.72035335426</v>
      </c>
      <c r="J29" s="25">
        <v>224334.95166193988</v>
      </c>
      <c r="K29" s="25">
        <v>227027.78957779374</v>
      </c>
      <c r="L29" s="25">
        <v>232144.07219464061</v>
      </c>
      <c r="M29" s="25">
        <v>236759.83132082713</v>
      </c>
      <c r="N29" s="25">
        <v>240122.40357751993</v>
      </c>
      <c r="O29" s="25">
        <v>266065.36439724552</v>
      </c>
      <c r="P29" s="25">
        <v>271072.79587716935</v>
      </c>
      <c r="Q29" s="25">
        <v>276842.986760789</v>
      </c>
      <c r="R29" s="25">
        <v>283513.84861682868</v>
      </c>
      <c r="S29" s="25">
        <v>289364.66237559967</v>
      </c>
      <c r="T29" s="25">
        <v>311104.04885295103</v>
      </c>
      <c r="U29" s="25">
        <v>317697.21003373014</v>
      </c>
      <c r="V29" s="25">
        <f t="shared" si="6"/>
        <v>4346536.0134157408</v>
      </c>
    </row>
    <row r="30" spans="1:22">
      <c r="A30" s="26" t="s">
        <v>15</v>
      </c>
      <c r="B30" s="27">
        <f>SUM(B24:B29)</f>
        <v>5827333.9829617282</v>
      </c>
      <c r="C30" s="27">
        <f t="shared" ref="C30:V30" si="7">SUM(C24:C29)</f>
        <v>6562009.8306052433</v>
      </c>
      <c r="D30" s="27">
        <f t="shared" si="7"/>
        <v>7113017.1816752404</v>
      </c>
      <c r="E30" s="27">
        <f t="shared" si="7"/>
        <v>8137474.1150886882</v>
      </c>
      <c r="F30" s="27">
        <f t="shared" si="7"/>
        <v>8442327.8989625666</v>
      </c>
      <c r="G30" s="27">
        <f t="shared" si="7"/>
        <v>9132253.1865123883</v>
      </c>
      <c r="H30" s="27">
        <f t="shared" si="7"/>
        <v>9745210.5935576838</v>
      </c>
      <c r="I30" s="27">
        <f t="shared" si="7"/>
        <v>10328414.400434479</v>
      </c>
      <c r="J30" s="27">
        <f t="shared" si="7"/>
        <v>11699444.936565759</v>
      </c>
      <c r="K30" s="27">
        <f t="shared" si="7"/>
        <v>11849502.257390309</v>
      </c>
      <c r="L30" s="27">
        <f t="shared" si="7"/>
        <v>12000661.343539713</v>
      </c>
      <c r="M30" s="27">
        <f t="shared" si="7"/>
        <v>12127121.221110728</v>
      </c>
      <c r="N30" s="27">
        <f t="shared" si="7"/>
        <v>12176944.645322174</v>
      </c>
      <c r="O30" s="27">
        <f t="shared" si="7"/>
        <v>13216345.823940957</v>
      </c>
      <c r="P30" s="27">
        <f t="shared" si="7"/>
        <v>13347514.752413346</v>
      </c>
      <c r="Q30" s="27">
        <f t="shared" si="7"/>
        <v>13505255.887993185</v>
      </c>
      <c r="R30" s="27">
        <f t="shared" si="7"/>
        <v>13709526.990020275</v>
      </c>
      <c r="S30" s="27">
        <f t="shared" si="7"/>
        <v>13877688.835667947</v>
      </c>
      <c r="T30" s="27">
        <f t="shared" si="7"/>
        <v>14684136.344655087</v>
      </c>
      <c r="U30" s="27">
        <f t="shared" si="7"/>
        <v>14863338.053206289</v>
      </c>
      <c r="V30" s="27">
        <f t="shared" si="7"/>
        <v>222345522.28162378</v>
      </c>
    </row>
    <row r="31" spans="1:22">
      <c r="A31" s="20"/>
      <c r="B31" s="22"/>
      <c r="C31" s="22"/>
      <c r="D31" s="22"/>
      <c r="E31" s="22"/>
      <c r="F31" s="22"/>
      <c r="G31" s="22"/>
      <c r="H31" s="22"/>
      <c r="I31" s="22"/>
      <c r="J31" s="22"/>
      <c r="K31" s="22"/>
      <c r="L31" s="22"/>
      <c r="M31" s="22"/>
      <c r="N31" s="22"/>
      <c r="O31" s="22"/>
      <c r="P31" s="22"/>
      <c r="Q31" s="22"/>
      <c r="R31" s="22"/>
      <c r="S31" s="22"/>
      <c r="T31" s="22"/>
      <c r="U31" s="22"/>
      <c r="V31" s="22"/>
    </row>
    <row r="32" spans="1:22">
      <c r="A32" s="51" t="s">
        <v>3</v>
      </c>
      <c r="B32" s="22"/>
      <c r="C32" s="22"/>
      <c r="D32" s="22"/>
      <c r="E32" s="22"/>
      <c r="F32" s="22"/>
      <c r="G32" s="22"/>
      <c r="H32" s="22"/>
      <c r="I32" s="22"/>
      <c r="J32" s="22"/>
      <c r="K32" s="22"/>
      <c r="L32" s="22"/>
      <c r="M32" s="22"/>
      <c r="N32" s="22"/>
      <c r="O32" s="22"/>
      <c r="P32" s="22"/>
      <c r="Q32" s="22"/>
      <c r="R32" s="22"/>
      <c r="S32" s="22"/>
      <c r="T32" s="22"/>
      <c r="U32" s="22"/>
      <c r="V32" s="22"/>
    </row>
    <row r="33" spans="1:22">
      <c r="A33" s="24" t="s">
        <v>7</v>
      </c>
      <c r="B33" s="22">
        <v>1920798.6731754751</v>
      </c>
      <c r="C33" s="22">
        <v>1825488.3682041448</v>
      </c>
      <c r="D33" s="22">
        <v>1752116.1928785008</v>
      </c>
      <c r="E33" s="22">
        <v>1632221.7320421888</v>
      </c>
      <c r="F33" s="22">
        <v>1620265.9428954208</v>
      </c>
      <c r="G33" s="22">
        <v>1632357.7230399544</v>
      </c>
      <c r="H33" s="22">
        <v>1648648.9480896532</v>
      </c>
      <c r="I33" s="22">
        <v>1645056.3665805554</v>
      </c>
      <c r="J33" s="22">
        <v>1640596.4315196045</v>
      </c>
      <c r="K33" s="22">
        <v>1661301.1809071193</v>
      </c>
      <c r="L33" s="22">
        <v>1680892.6291849671</v>
      </c>
      <c r="M33" s="22">
        <v>1747445.8913532223</v>
      </c>
      <c r="N33" s="22">
        <v>1737242.8844304781</v>
      </c>
      <c r="O33" s="22">
        <v>1634848.2525215303</v>
      </c>
      <c r="P33" s="22">
        <v>1632219.3149300967</v>
      </c>
      <c r="Q33" s="22">
        <v>1649362.5877125047</v>
      </c>
      <c r="R33" s="22">
        <v>1675652.2970820169</v>
      </c>
      <c r="S33" s="22">
        <v>1687910.3676520835</v>
      </c>
      <c r="T33" s="22">
        <v>1612626.4303355713</v>
      </c>
      <c r="U33" s="22">
        <v>1576063.6717570638</v>
      </c>
      <c r="V33" s="22">
        <f>SUM(B33:U33)</f>
        <v>33613115.88629216</v>
      </c>
    </row>
    <row r="34" spans="1:22">
      <c r="A34" s="24" t="s">
        <v>6</v>
      </c>
      <c r="B34" s="22">
        <v>1157085.6081278366</v>
      </c>
      <c r="C34" s="22">
        <v>1157085.6081278366</v>
      </c>
      <c r="D34" s="22">
        <v>1157085.6081278366</v>
      </c>
      <c r="E34" s="22">
        <v>1157085.6081278366</v>
      </c>
      <c r="F34" s="22">
        <v>1157085.6081278366</v>
      </c>
      <c r="G34" s="22">
        <v>1157085.6081278366</v>
      </c>
      <c r="H34" s="22">
        <v>1157085.6081278366</v>
      </c>
      <c r="I34" s="22">
        <v>1157085.6081278366</v>
      </c>
      <c r="J34" s="22">
        <v>1157085.6081278366</v>
      </c>
      <c r="K34" s="22">
        <v>1157085.6081278366</v>
      </c>
      <c r="L34" s="22">
        <v>1157085.6081278366</v>
      </c>
      <c r="M34" s="22">
        <v>1157085.6081278366</v>
      </c>
      <c r="N34" s="22">
        <v>1157085.6081278366</v>
      </c>
      <c r="O34" s="22">
        <v>1157085.6081278366</v>
      </c>
      <c r="P34" s="22">
        <v>1157085.6081278366</v>
      </c>
      <c r="Q34" s="22">
        <v>1157085.6081278366</v>
      </c>
      <c r="R34" s="22">
        <v>1157085.6081278366</v>
      </c>
      <c r="S34" s="22">
        <v>1157085.6081278366</v>
      </c>
      <c r="T34" s="22">
        <v>1157085.6081278366</v>
      </c>
      <c r="U34" s="22">
        <v>1157085.6081278366</v>
      </c>
      <c r="V34" s="22">
        <f>SUM(B34:U34)</f>
        <v>23141712.162556726</v>
      </c>
    </row>
    <row r="35" spans="1:22">
      <c r="A35" s="24" t="s">
        <v>5</v>
      </c>
      <c r="B35" s="25">
        <v>8902013.6470431313</v>
      </c>
      <c r="C35" s="25">
        <v>9398035.1610651929</v>
      </c>
      <c r="D35" s="25">
        <v>10023217.058526278</v>
      </c>
      <c r="E35" s="25">
        <v>9527605.8355349638</v>
      </c>
      <c r="F35" s="25">
        <v>9760111.2282555662</v>
      </c>
      <c r="G35" s="25">
        <v>9854499.2658577226</v>
      </c>
      <c r="H35" s="25">
        <v>9985212.2417140305</v>
      </c>
      <c r="I35" s="25">
        <v>10172265.943059579</v>
      </c>
      <c r="J35" s="25">
        <v>9837946.1326383818</v>
      </c>
      <c r="K35" s="25">
        <v>9913132.2668262161</v>
      </c>
      <c r="L35" s="25">
        <v>10083384.098383427</v>
      </c>
      <c r="M35" s="25">
        <v>10094707.119340014</v>
      </c>
      <c r="N35" s="25">
        <v>10251654.485533245</v>
      </c>
      <c r="O35" s="25">
        <v>10088051.187808707</v>
      </c>
      <c r="P35" s="25">
        <v>10177488.513242215</v>
      </c>
      <c r="Q35" s="25">
        <v>10338961.211089807</v>
      </c>
      <c r="R35" s="25">
        <v>10521364.869382976</v>
      </c>
      <c r="S35" s="25">
        <v>10712940.53863509</v>
      </c>
      <c r="T35" s="25">
        <v>10665102.851386853</v>
      </c>
      <c r="U35" s="25">
        <v>10897198.237295965</v>
      </c>
      <c r="V35" s="25">
        <f>SUM(B35:U35)</f>
        <v>201204891.89261934</v>
      </c>
    </row>
    <row r="36" spans="1:22">
      <c r="A36" s="26" t="s">
        <v>16</v>
      </c>
      <c r="B36" s="27">
        <f>SUM(B33:B35)</f>
        <v>11979897.928346444</v>
      </c>
      <c r="C36" s="27">
        <f t="shared" ref="C36:V36" si="8">SUM(C33:C35)</f>
        <v>12380609.137397174</v>
      </c>
      <c r="D36" s="27">
        <f t="shared" si="8"/>
        <v>12932418.859532615</v>
      </c>
      <c r="E36" s="27">
        <f t="shared" si="8"/>
        <v>12316913.17570499</v>
      </c>
      <c r="F36" s="27">
        <f t="shared" si="8"/>
        <v>12537462.779278824</v>
      </c>
      <c r="G36" s="27">
        <f t="shared" si="8"/>
        <v>12643942.597025514</v>
      </c>
      <c r="H36" s="27">
        <f t="shared" si="8"/>
        <v>12790946.79793152</v>
      </c>
      <c r="I36" s="27">
        <f t="shared" si="8"/>
        <v>12974407.917767972</v>
      </c>
      <c r="J36" s="27">
        <f t="shared" si="8"/>
        <v>12635628.172285823</v>
      </c>
      <c r="K36" s="27">
        <f t="shared" si="8"/>
        <v>12731519.055861171</v>
      </c>
      <c r="L36" s="27">
        <f t="shared" si="8"/>
        <v>12921362.335696232</v>
      </c>
      <c r="M36" s="27">
        <f t="shared" si="8"/>
        <v>12999238.618821073</v>
      </c>
      <c r="N36" s="27">
        <f t="shared" si="8"/>
        <v>13145982.97809156</v>
      </c>
      <c r="O36" s="27">
        <f t="shared" si="8"/>
        <v>12879985.048458073</v>
      </c>
      <c r="P36" s="27">
        <f t="shared" si="8"/>
        <v>12966793.436300147</v>
      </c>
      <c r="Q36" s="27">
        <f t="shared" si="8"/>
        <v>13145409.406930149</v>
      </c>
      <c r="R36" s="27">
        <f t="shared" si="8"/>
        <v>13354102.774592828</v>
      </c>
      <c r="S36" s="27">
        <f t="shared" si="8"/>
        <v>13557936.514415011</v>
      </c>
      <c r="T36" s="27">
        <f t="shared" si="8"/>
        <v>13434814.889850261</v>
      </c>
      <c r="U36" s="27">
        <f t="shared" si="8"/>
        <v>13630347.517180866</v>
      </c>
      <c r="V36" s="27">
        <f t="shared" si="8"/>
        <v>257959719.94146824</v>
      </c>
    </row>
    <row r="37" spans="1:22">
      <c r="A37" s="26"/>
      <c r="B37" s="22"/>
      <c r="C37" s="22"/>
      <c r="D37" s="22"/>
      <c r="E37" s="22"/>
      <c r="F37" s="22"/>
      <c r="G37" s="22"/>
      <c r="H37" s="22"/>
      <c r="I37" s="22"/>
      <c r="J37" s="22"/>
      <c r="K37" s="22"/>
      <c r="L37" s="22"/>
      <c r="M37" s="22"/>
      <c r="N37" s="22"/>
      <c r="O37" s="22"/>
      <c r="P37" s="22"/>
      <c r="Q37" s="22"/>
      <c r="R37" s="22"/>
      <c r="S37" s="22"/>
      <c r="T37" s="22"/>
      <c r="U37" s="22"/>
      <c r="V37" s="22"/>
    </row>
    <row r="38" spans="1:22">
      <c r="A38" s="19" t="s">
        <v>4</v>
      </c>
      <c r="B38" s="27">
        <f>B30+B36</f>
        <v>17807231.911308173</v>
      </c>
      <c r="C38" s="27">
        <f t="shared" ref="C38:V38" si="9">C30+C36</f>
        <v>18942618.968002416</v>
      </c>
      <c r="D38" s="27">
        <f t="shared" si="9"/>
        <v>20045436.041207857</v>
      </c>
      <c r="E38" s="27">
        <f t="shared" si="9"/>
        <v>20454387.29079368</v>
      </c>
      <c r="F38" s="27">
        <f t="shared" si="9"/>
        <v>20979790.678241391</v>
      </c>
      <c r="G38" s="27">
        <f t="shared" si="9"/>
        <v>21776195.783537902</v>
      </c>
      <c r="H38" s="27">
        <f t="shared" si="9"/>
        <v>22536157.391489204</v>
      </c>
      <c r="I38" s="27">
        <f t="shared" si="9"/>
        <v>23302822.318202451</v>
      </c>
      <c r="J38" s="27">
        <f t="shared" si="9"/>
        <v>24335073.108851582</v>
      </c>
      <c r="K38" s="27">
        <f t="shared" si="9"/>
        <v>24581021.31325148</v>
      </c>
      <c r="L38" s="27">
        <f t="shared" si="9"/>
        <v>24922023.679235943</v>
      </c>
      <c r="M38" s="27">
        <f t="shared" si="9"/>
        <v>25126359.839931801</v>
      </c>
      <c r="N38" s="27">
        <f t="shared" si="9"/>
        <v>25322927.623413734</v>
      </c>
      <c r="O38" s="27">
        <f t="shared" si="9"/>
        <v>26096330.872399032</v>
      </c>
      <c r="P38" s="27">
        <f t="shared" si="9"/>
        <v>26314308.188713491</v>
      </c>
      <c r="Q38" s="27">
        <f t="shared" si="9"/>
        <v>26650665.294923335</v>
      </c>
      <c r="R38" s="27">
        <f t="shared" si="9"/>
        <v>27063629.764613103</v>
      </c>
      <c r="S38" s="27">
        <f t="shared" si="9"/>
        <v>27435625.350082956</v>
      </c>
      <c r="T38" s="27">
        <f t="shared" si="9"/>
        <v>28118951.234505348</v>
      </c>
      <c r="U38" s="27">
        <f t="shared" si="9"/>
        <v>28493685.570387155</v>
      </c>
      <c r="V38" s="27">
        <f t="shared" si="9"/>
        <v>480305242.22309202</v>
      </c>
    </row>
    <row r="40" spans="1:22">
      <c r="A40" s="39" t="s">
        <v>37</v>
      </c>
      <c r="B40" s="40">
        <v>2015</v>
      </c>
      <c r="C40" s="40">
        <f>B40+1</f>
        <v>2016</v>
      </c>
      <c r="D40" s="40">
        <f t="shared" ref="D40:U40" si="10">C40+1</f>
        <v>2017</v>
      </c>
      <c r="E40" s="40">
        <f t="shared" si="10"/>
        <v>2018</v>
      </c>
      <c r="F40" s="40">
        <f t="shared" si="10"/>
        <v>2019</v>
      </c>
      <c r="G40" s="40">
        <f t="shared" si="10"/>
        <v>2020</v>
      </c>
      <c r="H40" s="40">
        <f t="shared" si="10"/>
        <v>2021</v>
      </c>
      <c r="I40" s="40">
        <f t="shared" si="10"/>
        <v>2022</v>
      </c>
      <c r="J40" s="40">
        <f t="shared" si="10"/>
        <v>2023</v>
      </c>
      <c r="K40" s="40">
        <f t="shared" si="10"/>
        <v>2024</v>
      </c>
      <c r="L40" s="40">
        <f t="shared" si="10"/>
        <v>2025</v>
      </c>
      <c r="M40" s="40">
        <f t="shared" si="10"/>
        <v>2026</v>
      </c>
      <c r="N40" s="40">
        <f t="shared" si="10"/>
        <v>2027</v>
      </c>
      <c r="O40" s="40">
        <f t="shared" si="10"/>
        <v>2028</v>
      </c>
      <c r="P40" s="40">
        <f t="shared" si="10"/>
        <v>2029</v>
      </c>
      <c r="Q40" s="40">
        <f t="shared" si="10"/>
        <v>2030</v>
      </c>
      <c r="R40" s="40">
        <f t="shared" si="10"/>
        <v>2031</v>
      </c>
      <c r="S40" s="40">
        <f t="shared" si="10"/>
        <v>2032</v>
      </c>
      <c r="T40" s="40">
        <f t="shared" si="10"/>
        <v>2033</v>
      </c>
      <c r="U40" s="40">
        <f t="shared" si="10"/>
        <v>2034</v>
      </c>
      <c r="V40" s="40" t="s">
        <v>14</v>
      </c>
    </row>
    <row r="41" spans="1:22">
      <c r="A41" s="52" t="s">
        <v>2</v>
      </c>
      <c r="B41" s="42"/>
      <c r="C41" s="42"/>
      <c r="D41" s="42"/>
      <c r="E41" s="42"/>
      <c r="F41" s="42"/>
      <c r="G41" s="42"/>
      <c r="H41" s="42"/>
      <c r="I41" s="42"/>
      <c r="J41" s="42"/>
      <c r="K41" s="42"/>
      <c r="L41" s="42"/>
      <c r="M41" s="42"/>
      <c r="N41" s="42"/>
      <c r="O41" s="42"/>
      <c r="P41" s="42"/>
      <c r="Q41" s="42"/>
      <c r="R41" s="42"/>
      <c r="S41" s="42"/>
      <c r="T41" s="42"/>
      <c r="U41" s="42"/>
      <c r="V41" s="42"/>
    </row>
    <row r="42" spans="1:22">
      <c r="A42" s="43" t="s">
        <v>8</v>
      </c>
      <c r="B42" s="44">
        <f>B6+B24</f>
        <v>2124777.5023236442</v>
      </c>
      <c r="C42" s="44">
        <f t="shared" ref="C42:U47" si="11">C6+C24</f>
        <v>2429131.4778363649</v>
      </c>
      <c r="D42" s="44">
        <f t="shared" si="11"/>
        <v>2652169.4735990409</v>
      </c>
      <c r="E42" s="44">
        <f t="shared" si="11"/>
        <v>2973875.8761312263</v>
      </c>
      <c r="F42" s="44">
        <f t="shared" si="11"/>
        <v>3017460.2454578904</v>
      </c>
      <c r="G42" s="44">
        <f t="shared" si="11"/>
        <v>3082656.9872431965</v>
      </c>
      <c r="H42" s="44">
        <f t="shared" si="11"/>
        <v>3139155.0472469199</v>
      </c>
      <c r="I42" s="44">
        <f t="shared" si="11"/>
        <v>3202727.2616341654</v>
      </c>
      <c r="J42" s="44">
        <f t="shared" si="11"/>
        <v>3576905.0125364019</v>
      </c>
      <c r="K42" s="44">
        <f t="shared" si="11"/>
        <v>3621475.4617697834</v>
      </c>
      <c r="L42" s="44">
        <f t="shared" si="11"/>
        <v>3681880.9766551196</v>
      </c>
      <c r="M42" s="44">
        <f t="shared" si="11"/>
        <v>3735978.2941485923</v>
      </c>
      <c r="N42" s="44">
        <f t="shared" si="11"/>
        <v>3767068.4294644119</v>
      </c>
      <c r="O42" s="44">
        <f t="shared" si="11"/>
        <v>4161443.9439125541</v>
      </c>
      <c r="P42" s="44">
        <f t="shared" si="11"/>
        <v>4218980.9124555392</v>
      </c>
      <c r="Q42" s="44">
        <f t="shared" si="11"/>
        <v>4285801.0880375616</v>
      </c>
      <c r="R42" s="44">
        <f t="shared" si="11"/>
        <v>4366882.5622795615</v>
      </c>
      <c r="S42" s="44">
        <f t="shared" si="11"/>
        <v>4436920.7155321846</v>
      </c>
      <c r="T42" s="44">
        <f t="shared" si="11"/>
        <v>4751284.5090990681</v>
      </c>
      <c r="U42" s="44">
        <f t="shared" si="11"/>
        <v>4827342.9666330405</v>
      </c>
      <c r="V42" s="44">
        <f>SUM(B42:U42)</f>
        <v>72053918.743996263</v>
      </c>
    </row>
    <row r="43" spans="1:22">
      <c r="A43" s="45" t="s">
        <v>9</v>
      </c>
      <c r="B43" s="44">
        <f t="shared" ref="B43:Q47" si="12">B7+B25</f>
        <v>6560678.9579434693</v>
      </c>
      <c r="C43" s="44">
        <f t="shared" si="12"/>
        <v>7488189.9416429484</v>
      </c>
      <c r="D43" s="44">
        <f t="shared" si="12"/>
        <v>8163015.4499662211</v>
      </c>
      <c r="E43" s="44">
        <f t="shared" si="12"/>
        <v>9122006.426868597</v>
      </c>
      <c r="F43" s="44">
        <f t="shared" si="12"/>
        <v>9238768.9398879986</v>
      </c>
      <c r="G43" s="44">
        <f t="shared" si="12"/>
        <v>8702790.4193559904</v>
      </c>
      <c r="H43" s="44">
        <f t="shared" si="12"/>
        <v>8132809.4481737316</v>
      </c>
      <c r="I43" s="44">
        <f t="shared" si="12"/>
        <v>7569570.5046737641</v>
      </c>
      <c r="J43" s="44">
        <f t="shared" si="12"/>
        <v>7657287.5156335328</v>
      </c>
      <c r="K43" s="44">
        <f t="shared" si="12"/>
        <v>7751434.9443604089</v>
      </c>
      <c r="L43" s="44">
        <f t="shared" si="12"/>
        <v>7667588.3762963396</v>
      </c>
      <c r="M43" s="44">
        <f t="shared" si="12"/>
        <v>7566504.8812511098</v>
      </c>
      <c r="N43" s="44">
        <f t="shared" si="12"/>
        <v>7416133.1419670423</v>
      </c>
      <c r="O43" s="44">
        <f t="shared" si="12"/>
        <v>7958356.1822023746</v>
      </c>
      <c r="P43" s="44">
        <f t="shared" si="12"/>
        <v>7833628.8464084044</v>
      </c>
      <c r="Q43" s="44">
        <f t="shared" si="12"/>
        <v>7721282.6303567085</v>
      </c>
      <c r="R43" s="44">
        <f t="shared" si="11"/>
        <v>7628443.2988157133</v>
      </c>
      <c r="S43" s="44">
        <f t="shared" si="11"/>
        <v>7509582.7754364461</v>
      </c>
      <c r="T43" s="44">
        <f t="shared" si="11"/>
        <v>7785530.6616734676</v>
      </c>
      <c r="U43" s="44">
        <f t="shared" si="11"/>
        <v>7652815.5505917929</v>
      </c>
      <c r="V43" s="44">
        <f t="shared" ref="V43:V47" si="13">SUM(B43:U43)</f>
        <v>157126418.89350605</v>
      </c>
    </row>
    <row r="44" spans="1:22">
      <c r="A44" s="45" t="s">
        <v>10</v>
      </c>
      <c r="B44" s="44">
        <f t="shared" si="12"/>
        <v>1584955.4296512101</v>
      </c>
      <c r="C44" s="44">
        <f t="shared" si="11"/>
        <v>1808477.475759712</v>
      </c>
      <c r="D44" s="44">
        <f t="shared" si="11"/>
        <v>1972668.5593642287</v>
      </c>
      <c r="E44" s="44">
        <f t="shared" si="11"/>
        <v>2209805.0758003267</v>
      </c>
      <c r="F44" s="44">
        <f t="shared" si="11"/>
        <v>2240811.7932370035</v>
      </c>
      <c r="G44" s="44">
        <f t="shared" si="11"/>
        <v>2862224.9815894561</v>
      </c>
      <c r="H44" s="44">
        <f t="shared" si="11"/>
        <v>3490725.3502915301</v>
      </c>
      <c r="I44" s="44">
        <f t="shared" si="11"/>
        <v>4141623.0075591416</v>
      </c>
      <c r="J44" s="44">
        <f t="shared" si="11"/>
        <v>5265443.8756261868</v>
      </c>
      <c r="K44" s="44">
        <f t="shared" si="11"/>
        <v>5330183.2498476431</v>
      </c>
      <c r="L44" s="44">
        <f t="shared" si="11"/>
        <v>5541494.4311591089</v>
      </c>
      <c r="M44" s="44">
        <f t="shared" si="11"/>
        <v>5746254.088573453</v>
      </c>
      <c r="N44" s="44">
        <f t="shared" si="11"/>
        <v>5917367.8294267152</v>
      </c>
      <c r="O44" s="44">
        <f t="shared" si="11"/>
        <v>6671177.2136008367</v>
      </c>
      <c r="P44" s="44">
        <f t="shared" si="11"/>
        <v>6898629.1990409</v>
      </c>
      <c r="Q44" s="44">
        <f t="shared" si="11"/>
        <v>7143790.2443399513</v>
      </c>
      <c r="R44" s="44">
        <f t="shared" si="11"/>
        <v>7415826.1948730145</v>
      </c>
      <c r="S44" s="44">
        <f t="shared" si="11"/>
        <v>7671765.013508074</v>
      </c>
      <c r="T44" s="44">
        <f t="shared" si="11"/>
        <v>8360305.1353972051</v>
      </c>
      <c r="U44" s="44">
        <f t="shared" si="11"/>
        <v>8640442.0006377492</v>
      </c>
      <c r="V44" s="44">
        <f t="shared" si="13"/>
        <v>100913970.14928347</v>
      </c>
    </row>
    <row r="45" spans="1:22">
      <c r="A45" s="45" t="s">
        <v>11</v>
      </c>
      <c r="B45" s="44">
        <f t="shared" si="12"/>
        <v>2330872.2526808651</v>
      </c>
      <c r="C45" s="44">
        <f t="shared" si="11"/>
        <v>2465489.2859035837</v>
      </c>
      <c r="D45" s="44">
        <f t="shared" si="11"/>
        <v>2592253.8089918057</v>
      </c>
      <c r="E45" s="44">
        <f t="shared" si="11"/>
        <v>2623449.4598278939</v>
      </c>
      <c r="F45" s="44">
        <f t="shared" si="11"/>
        <v>2660513.0394775532</v>
      </c>
      <c r="G45" s="44">
        <f t="shared" si="11"/>
        <v>2697605.1186584728</v>
      </c>
      <c r="H45" s="44">
        <f t="shared" si="11"/>
        <v>2728045.7807471063</v>
      </c>
      <c r="I45" s="44">
        <f t="shared" si="11"/>
        <v>2763980.6379654733</v>
      </c>
      <c r="J45" s="44">
        <f t="shared" si="11"/>
        <v>2796626.8675374021</v>
      </c>
      <c r="K45" s="44">
        <f t="shared" si="11"/>
        <v>2830593.059373124</v>
      </c>
      <c r="L45" s="44">
        <f t="shared" si="11"/>
        <v>2864563.9839098579</v>
      </c>
      <c r="M45" s="44">
        <f t="shared" si="11"/>
        <v>2891467.2426610715</v>
      </c>
      <c r="N45" s="44">
        <f t="shared" si="11"/>
        <v>2901569.7624592148</v>
      </c>
      <c r="O45" s="44">
        <f t="shared" si="11"/>
        <v>2932644.5011931895</v>
      </c>
      <c r="P45" s="44">
        <f t="shared" si="11"/>
        <v>2959624.9836058365</v>
      </c>
      <c r="Q45" s="44">
        <f t="shared" si="11"/>
        <v>2991608.711648115</v>
      </c>
      <c r="R45" s="44">
        <f t="shared" si="11"/>
        <v>3033576.6882267138</v>
      </c>
      <c r="S45" s="44">
        <f t="shared" si="11"/>
        <v>3067006.5468129069</v>
      </c>
      <c r="T45" s="44">
        <f t="shared" si="11"/>
        <v>3101567.5966647528</v>
      </c>
      <c r="U45" s="44">
        <f t="shared" si="11"/>
        <v>3134983.716735587</v>
      </c>
      <c r="V45" s="44">
        <f t="shared" si="13"/>
        <v>56368043.045080528</v>
      </c>
    </row>
    <row r="46" spans="1:22">
      <c r="A46" s="46" t="s">
        <v>12</v>
      </c>
      <c r="B46" s="44">
        <f t="shared" si="12"/>
        <v>1382439.2648151154</v>
      </c>
      <c r="C46" s="44">
        <f t="shared" si="11"/>
        <v>1463189.4390964799</v>
      </c>
      <c r="D46" s="44">
        <f t="shared" si="11"/>
        <v>1538984.5699826665</v>
      </c>
      <c r="E46" s="44">
        <f t="shared" si="11"/>
        <v>1557643.5585331179</v>
      </c>
      <c r="F46" s="44">
        <f t="shared" si="11"/>
        <v>1579450.5282209935</v>
      </c>
      <c r="G46" s="44">
        <f t="shared" si="11"/>
        <v>1602758.8686523745</v>
      </c>
      <c r="H46" s="44">
        <f t="shared" si="11"/>
        <v>1620609.9405595548</v>
      </c>
      <c r="I46" s="44">
        <f t="shared" si="11"/>
        <v>1642068.7205113154</v>
      </c>
      <c r="J46" s="44">
        <f t="shared" si="11"/>
        <v>1662295.5087833069</v>
      </c>
      <c r="K46" s="44">
        <f t="shared" si="11"/>
        <v>1682269.6586834772</v>
      </c>
      <c r="L46" s="44">
        <f t="shared" si="11"/>
        <v>1703228.1085725399</v>
      </c>
      <c r="M46" s="44">
        <f t="shared" si="11"/>
        <v>1719153.4919376767</v>
      </c>
      <c r="N46" s="44">
        <f t="shared" si="11"/>
        <v>1724246.0110276993</v>
      </c>
      <c r="O46" s="44">
        <f t="shared" si="11"/>
        <v>1743286.8535311199</v>
      </c>
      <c r="P46" s="44">
        <f t="shared" si="11"/>
        <v>1760250.597984009</v>
      </c>
      <c r="Q46" s="44">
        <f t="shared" si="11"/>
        <v>1778252.3021762515</v>
      </c>
      <c r="R46" s="44">
        <f t="shared" si="11"/>
        <v>1804202.803318799</v>
      </c>
      <c r="S46" s="44">
        <f t="shared" si="11"/>
        <v>1824509.1686878954</v>
      </c>
      <c r="T46" s="44">
        <f t="shared" si="11"/>
        <v>1843942.1675409935</v>
      </c>
      <c r="U46" s="44">
        <f t="shared" si="11"/>
        <v>1864237.722189174</v>
      </c>
      <c r="V46" s="44">
        <f t="shared" si="13"/>
        <v>33497019.28480456</v>
      </c>
    </row>
    <row r="47" spans="1:22">
      <c r="A47" s="46" t="s">
        <v>13</v>
      </c>
      <c r="B47" s="47">
        <f t="shared" si="12"/>
        <v>244081.33100343478</v>
      </c>
      <c r="C47" s="47">
        <f t="shared" si="11"/>
        <v>277280.29246432695</v>
      </c>
      <c r="D47" s="47">
        <f t="shared" si="11"/>
        <v>302395.54591245425</v>
      </c>
      <c r="E47" s="47">
        <f t="shared" si="11"/>
        <v>338678.72642060567</v>
      </c>
      <c r="F47" s="47">
        <f t="shared" si="11"/>
        <v>343387.06772830151</v>
      </c>
      <c r="G47" s="47">
        <f t="shared" si="11"/>
        <v>378322.84780804085</v>
      </c>
      <c r="H47" s="47">
        <f t="shared" si="11"/>
        <v>412992.68037392764</v>
      </c>
      <c r="I47" s="47">
        <f t="shared" si="11"/>
        <v>449329.10168797115</v>
      </c>
      <c r="J47" s="47">
        <f t="shared" si="11"/>
        <v>532713.64166522853</v>
      </c>
      <c r="K47" s="47">
        <f t="shared" si="11"/>
        <v>539244.81422633794</v>
      </c>
      <c r="L47" s="47">
        <f t="shared" si="11"/>
        <v>554373.81586338195</v>
      </c>
      <c r="M47" s="47">
        <f t="shared" si="11"/>
        <v>568722.78941195155</v>
      </c>
      <c r="N47" s="47">
        <f t="shared" si="11"/>
        <v>579663.71614660602</v>
      </c>
      <c r="O47" s="47">
        <f t="shared" si="11"/>
        <v>647069.59550153185</v>
      </c>
      <c r="P47" s="47">
        <f t="shared" si="11"/>
        <v>662803.36961290706</v>
      </c>
      <c r="Q47" s="47">
        <f t="shared" si="11"/>
        <v>680110.13107234682</v>
      </c>
      <c r="R47" s="47">
        <f t="shared" si="11"/>
        <v>699814.86069767619</v>
      </c>
      <c r="S47" s="47">
        <f t="shared" si="11"/>
        <v>717829.12967837835</v>
      </c>
      <c r="T47" s="47">
        <f t="shared" si="11"/>
        <v>775850.20866428281</v>
      </c>
      <c r="U47" s="47">
        <f t="shared" si="11"/>
        <v>795521.59625162208</v>
      </c>
      <c r="V47" s="47">
        <f t="shared" si="13"/>
        <v>10500185.262191314</v>
      </c>
    </row>
    <row r="48" spans="1:22">
      <c r="A48" s="48" t="s">
        <v>15</v>
      </c>
      <c r="B48" s="49">
        <f>SUM(B42:B47)</f>
        <v>14227804.738417737</v>
      </c>
      <c r="C48" s="49">
        <f t="shared" ref="C48" si="14">SUM(C42:C47)</f>
        <v>15931757.912703417</v>
      </c>
      <c r="D48" s="49">
        <f t="shared" ref="D48" si="15">SUM(D42:D47)</f>
        <v>17221487.407816418</v>
      </c>
      <c r="E48" s="49">
        <f t="shared" ref="E48:V48" si="16">SUM(E42:E47)</f>
        <v>18825459.123581767</v>
      </c>
      <c r="F48" s="49">
        <f t="shared" si="16"/>
        <v>19080391.614009738</v>
      </c>
      <c r="G48" s="49">
        <f t="shared" si="16"/>
        <v>19326359.223307528</v>
      </c>
      <c r="H48" s="49">
        <f t="shared" si="16"/>
        <v>19524338.24739277</v>
      </c>
      <c r="I48" s="49">
        <f t="shared" si="16"/>
        <v>19769299.23403183</v>
      </c>
      <c r="J48" s="49">
        <f t="shared" si="16"/>
        <v>21491272.421782058</v>
      </c>
      <c r="K48" s="49">
        <f t="shared" si="16"/>
        <v>21755201.188260775</v>
      </c>
      <c r="L48" s="49">
        <f t="shared" si="16"/>
        <v>22013129.692456346</v>
      </c>
      <c r="M48" s="49">
        <f t="shared" si="16"/>
        <v>22228080.787983853</v>
      </c>
      <c r="N48" s="49">
        <f t="shared" si="16"/>
        <v>22306048.89049169</v>
      </c>
      <c r="O48" s="49">
        <f t="shared" si="16"/>
        <v>24113978.289941601</v>
      </c>
      <c r="P48" s="49">
        <f t="shared" si="16"/>
        <v>24333917.909107596</v>
      </c>
      <c r="Q48" s="49">
        <f t="shared" si="16"/>
        <v>24600845.107630935</v>
      </c>
      <c r="R48" s="49">
        <f t="shared" si="16"/>
        <v>24948746.408211481</v>
      </c>
      <c r="S48" s="49">
        <f t="shared" si="16"/>
        <v>25227613.349655885</v>
      </c>
      <c r="T48" s="49">
        <f t="shared" si="16"/>
        <v>26618480.27903977</v>
      </c>
      <c r="U48" s="49">
        <f t="shared" si="16"/>
        <v>26915343.553038962</v>
      </c>
      <c r="V48" s="49">
        <f t="shared" si="16"/>
        <v>430459555.3788622</v>
      </c>
    </row>
    <row r="49" spans="1:22">
      <c r="A49" s="42"/>
      <c r="B49" s="44"/>
      <c r="C49" s="44"/>
      <c r="D49" s="44"/>
      <c r="E49" s="44"/>
      <c r="F49" s="44"/>
      <c r="G49" s="44"/>
      <c r="H49" s="44"/>
      <c r="I49" s="44"/>
      <c r="J49" s="44"/>
      <c r="K49" s="44"/>
      <c r="L49" s="44"/>
      <c r="M49" s="44"/>
      <c r="N49" s="44"/>
      <c r="O49" s="44"/>
      <c r="P49" s="44"/>
      <c r="Q49" s="44"/>
      <c r="R49" s="44"/>
      <c r="S49" s="44"/>
      <c r="T49" s="44"/>
      <c r="U49" s="44"/>
      <c r="V49" s="44"/>
    </row>
    <row r="50" spans="1:22">
      <c r="A50" s="52" t="s">
        <v>3</v>
      </c>
      <c r="B50" s="44"/>
      <c r="C50" s="44"/>
      <c r="D50" s="44"/>
      <c r="E50" s="44"/>
      <c r="F50" s="44"/>
      <c r="G50" s="44"/>
      <c r="H50" s="44"/>
      <c r="I50" s="44"/>
      <c r="J50" s="44"/>
      <c r="K50" s="44"/>
      <c r="L50" s="44"/>
      <c r="M50" s="44"/>
      <c r="N50" s="44"/>
      <c r="O50" s="44"/>
      <c r="P50" s="44"/>
      <c r="Q50" s="44"/>
      <c r="R50" s="44"/>
      <c r="S50" s="44"/>
      <c r="T50" s="44"/>
      <c r="U50" s="44"/>
      <c r="V50" s="44"/>
    </row>
    <row r="51" spans="1:22">
      <c r="A51" s="46" t="s">
        <v>7</v>
      </c>
      <c r="B51" s="44">
        <f t="shared" ref="B51:U53" si="17">B15+B33</f>
        <v>3409789.8926913473</v>
      </c>
      <c r="C51" s="44">
        <f t="shared" si="17"/>
        <v>3240595.6303779003</v>
      </c>
      <c r="D51" s="44">
        <f t="shared" si="17"/>
        <v>3110345.7997610597</v>
      </c>
      <c r="E51" s="44">
        <f t="shared" si="17"/>
        <v>2897509.8964159787</v>
      </c>
      <c r="F51" s="44">
        <f t="shared" si="17"/>
        <v>2876286.0536670648</v>
      </c>
      <c r="G51" s="44">
        <f t="shared" si="17"/>
        <v>2897751.3067918569</v>
      </c>
      <c r="H51" s="44">
        <f t="shared" si="17"/>
        <v>2926671.3884692295</v>
      </c>
      <c r="I51" s="44">
        <f t="shared" si="17"/>
        <v>2920293.8600538541</v>
      </c>
      <c r="J51" s="44">
        <f t="shared" si="17"/>
        <v>2912376.6109921662</v>
      </c>
      <c r="K51" s="44">
        <f t="shared" si="17"/>
        <v>2949131.553703336</v>
      </c>
      <c r="L51" s="44">
        <f t="shared" si="17"/>
        <v>2983910.1711888174</v>
      </c>
      <c r="M51" s="44">
        <f t="shared" si="17"/>
        <v>3102055.1094564954</v>
      </c>
      <c r="N51" s="44">
        <f t="shared" si="17"/>
        <v>3083942.7948417012</v>
      </c>
      <c r="O51" s="44">
        <f t="shared" si="17"/>
        <v>2902172.4792824062</v>
      </c>
      <c r="P51" s="44">
        <f t="shared" si="17"/>
        <v>2897505.6055735825</v>
      </c>
      <c r="Q51" s="44">
        <f t="shared" si="17"/>
        <v>2927938.2371020429</v>
      </c>
      <c r="R51" s="44">
        <f t="shared" si="17"/>
        <v>2974607.5661378438</v>
      </c>
      <c r="S51" s="44">
        <f t="shared" si="17"/>
        <v>2996368.0169947837</v>
      </c>
      <c r="T51" s="44">
        <f t="shared" si="17"/>
        <v>2862724.4383476423</v>
      </c>
      <c r="U51" s="44">
        <f t="shared" si="17"/>
        <v>2797818.456064865</v>
      </c>
      <c r="V51" s="44">
        <f>SUM(B51:U51)</f>
        <v>59669794.867913969</v>
      </c>
    </row>
    <row r="52" spans="1:22">
      <c r="A52" s="46" t="s">
        <v>6</v>
      </c>
      <c r="B52" s="44">
        <f t="shared" si="17"/>
        <v>7247009.8614322394</v>
      </c>
      <c r="C52" s="44">
        <f t="shared" si="17"/>
        <v>7124097.099808488</v>
      </c>
      <c r="D52" s="44">
        <f t="shared" si="17"/>
        <v>7103354.8126569912</v>
      </c>
      <c r="E52" s="44">
        <f t="shared" si="17"/>
        <v>7236605.8132930174</v>
      </c>
      <c r="F52" s="44">
        <f t="shared" si="17"/>
        <v>7152956.477526037</v>
      </c>
      <c r="G52" s="44">
        <f t="shared" si="17"/>
        <v>7288584.4283101931</v>
      </c>
      <c r="H52" s="44">
        <f t="shared" si="17"/>
        <v>7349777.8945226874</v>
      </c>
      <c r="I52" s="44">
        <f t="shared" si="17"/>
        <v>7336283.3589968495</v>
      </c>
      <c r="J52" s="44">
        <f t="shared" si="17"/>
        <v>6952568.1098046619</v>
      </c>
      <c r="K52" s="44">
        <f t="shared" si="17"/>
        <v>7115960.6594294384</v>
      </c>
      <c r="L52" s="44">
        <f t="shared" si="17"/>
        <v>7089087.4808315225</v>
      </c>
      <c r="M52" s="44">
        <f t="shared" si="17"/>
        <v>7261710.9018848334</v>
      </c>
      <c r="N52" s="44">
        <f t="shared" si="17"/>
        <v>7081592.165483078</v>
      </c>
      <c r="O52" s="44">
        <f t="shared" si="17"/>
        <v>6336807.1098054517</v>
      </c>
      <c r="P52" s="44">
        <f t="shared" si="17"/>
        <v>6422713.5325892419</v>
      </c>
      <c r="Q52" s="44">
        <f t="shared" si="17"/>
        <v>6393080.9443029072</v>
      </c>
      <c r="R52" s="44">
        <f t="shared" si="17"/>
        <v>6401977.2815850265</v>
      </c>
      <c r="S52" s="44">
        <f t="shared" si="17"/>
        <v>6334809.9587186053</v>
      </c>
      <c r="T52" s="44">
        <f t="shared" si="17"/>
        <v>5792164.5348947551</v>
      </c>
      <c r="U52" s="44">
        <f t="shared" si="17"/>
        <v>5719668.1897587143</v>
      </c>
      <c r="V52" s="44">
        <f>SUM(B52:U52)</f>
        <v>136740810.61563471</v>
      </c>
    </row>
    <row r="53" spans="1:22">
      <c r="A53" s="46" t="s">
        <v>5</v>
      </c>
      <c r="B53" s="47">
        <f t="shared" si="17"/>
        <v>16952764.736063454</v>
      </c>
      <c r="C53" s="47">
        <f t="shared" si="17"/>
        <v>17882966.525320813</v>
      </c>
      <c r="D53" s="47">
        <f t="shared" si="17"/>
        <v>19076080.878314976</v>
      </c>
      <c r="E53" s="47">
        <f t="shared" si="17"/>
        <v>18034168.440928794</v>
      </c>
      <c r="F53" s="47">
        <f t="shared" si="17"/>
        <v>18495334.181925654</v>
      </c>
      <c r="G53" s="47">
        <f t="shared" si="17"/>
        <v>18672449.671707213</v>
      </c>
      <c r="H53" s="47">
        <f t="shared" si="17"/>
        <v>18922065.546021104</v>
      </c>
      <c r="I53" s="47">
        <f t="shared" si="17"/>
        <v>19282951.363754407</v>
      </c>
      <c r="J53" s="47">
        <f t="shared" si="17"/>
        <v>18600074.08303117</v>
      </c>
      <c r="K53" s="47">
        <f t="shared" si="17"/>
        <v>18745563.450803056</v>
      </c>
      <c r="L53" s="47">
        <f t="shared" si="17"/>
        <v>19070887.861018736</v>
      </c>
      <c r="M53" s="47">
        <f t="shared" si="17"/>
        <v>19077343.785542633</v>
      </c>
      <c r="N53" s="47">
        <f t="shared" si="17"/>
        <v>19374469.234588154</v>
      </c>
      <c r="O53" s="47">
        <f t="shared" si="17"/>
        <v>19030846.154477946</v>
      </c>
      <c r="P53" s="47">
        <f t="shared" si="17"/>
        <v>19203697.352748007</v>
      </c>
      <c r="Q53" s="47">
        <f t="shared" si="17"/>
        <v>19509219.307443187</v>
      </c>
      <c r="R53" s="47">
        <f t="shared" si="17"/>
        <v>19855317.351380847</v>
      </c>
      <c r="S53" s="47">
        <f t="shared" si="17"/>
        <v>20218008.054835953</v>
      </c>
      <c r="T53" s="47">
        <f t="shared" si="17"/>
        <v>20101670.375827096</v>
      </c>
      <c r="U53" s="47">
        <f t="shared" si="17"/>
        <v>20554999.774409987</v>
      </c>
      <c r="V53" s="47">
        <f>SUM(B53:U53)</f>
        <v>380660878.13014317</v>
      </c>
    </row>
    <row r="54" spans="1:22">
      <c r="A54" s="48" t="s">
        <v>16</v>
      </c>
      <c r="B54" s="49">
        <f>SUM(B51:B53)</f>
        <v>27609564.490187041</v>
      </c>
      <c r="C54" s="49">
        <f t="shared" ref="C54:V54" si="18">SUM(C51:C53)</f>
        <v>28247659.255507201</v>
      </c>
      <c r="D54" s="49">
        <f t="shared" si="18"/>
        <v>29289781.490733027</v>
      </c>
      <c r="E54" s="49">
        <f t="shared" si="18"/>
        <v>28168284.150637791</v>
      </c>
      <c r="F54" s="49">
        <f t="shared" si="18"/>
        <v>28524576.713118754</v>
      </c>
      <c r="G54" s="49">
        <f t="shared" si="18"/>
        <v>28858785.406809263</v>
      </c>
      <c r="H54" s="49">
        <f t="shared" si="18"/>
        <v>29198514.82901302</v>
      </c>
      <c r="I54" s="49">
        <f t="shared" si="18"/>
        <v>29539528.582805112</v>
      </c>
      <c r="J54" s="49">
        <f t="shared" si="18"/>
        <v>28465018.803827997</v>
      </c>
      <c r="K54" s="49">
        <f t="shared" si="18"/>
        <v>28810655.663935833</v>
      </c>
      <c r="L54" s="49">
        <f t="shared" si="18"/>
        <v>29143885.513039075</v>
      </c>
      <c r="M54" s="49">
        <f t="shared" si="18"/>
        <v>29441109.796883963</v>
      </c>
      <c r="N54" s="49">
        <f t="shared" si="18"/>
        <v>29540004.194912933</v>
      </c>
      <c r="O54" s="49">
        <f t="shared" si="18"/>
        <v>28269825.743565805</v>
      </c>
      <c r="P54" s="49">
        <f t="shared" si="18"/>
        <v>28523916.490910832</v>
      </c>
      <c r="Q54" s="49">
        <f t="shared" si="18"/>
        <v>28830238.488848135</v>
      </c>
      <c r="R54" s="49">
        <f t="shared" si="18"/>
        <v>29231902.199103717</v>
      </c>
      <c r="S54" s="49">
        <f t="shared" si="18"/>
        <v>29549186.03054934</v>
      </c>
      <c r="T54" s="49">
        <f t="shared" si="18"/>
        <v>28756559.349069495</v>
      </c>
      <c r="U54" s="49">
        <f t="shared" si="18"/>
        <v>29072486.420233566</v>
      </c>
      <c r="V54" s="49">
        <f t="shared" si="18"/>
        <v>577071483.61369181</v>
      </c>
    </row>
    <row r="55" spans="1:22">
      <c r="A55" s="48"/>
      <c r="B55" s="44"/>
      <c r="C55" s="44"/>
      <c r="D55" s="44"/>
      <c r="E55" s="44"/>
      <c r="F55" s="44"/>
      <c r="G55" s="44"/>
      <c r="H55" s="44"/>
      <c r="I55" s="44"/>
      <c r="J55" s="44"/>
      <c r="K55" s="44"/>
      <c r="L55" s="44"/>
      <c r="M55" s="44"/>
      <c r="N55" s="44"/>
      <c r="O55" s="44"/>
      <c r="P55" s="44"/>
      <c r="Q55" s="44"/>
      <c r="R55" s="44"/>
      <c r="S55" s="44"/>
      <c r="T55" s="44"/>
      <c r="U55" s="44"/>
      <c r="V55" s="44"/>
    </row>
    <row r="56" spans="1:22">
      <c r="A56" s="41" t="s">
        <v>4</v>
      </c>
      <c r="B56" s="49">
        <f>B48+B54</f>
        <v>41837369.228604779</v>
      </c>
      <c r="C56" s="49">
        <f t="shared" ref="C56:V56" si="19">C48+C54</f>
        <v>44179417.168210618</v>
      </c>
      <c r="D56" s="49">
        <f t="shared" si="19"/>
        <v>46511268.898549445</v>
      </c>
      <c r="E56" s="49">
        <f t="shared" si="19"/>
        <v>46993743.274219558</v>
      </c>
      <c r="F56" s="49">
        <f t="shared" si="19"/>
        <v>47604968.327128492</v>
      </c>
      <c r="G56" s="49">
        <f t="shared" si="19"/>
        <v>48185144.630116791</v>
      </c>
      <c r="H56" s="49">
        <f t="shared" si="19"/>
        <v>48722853.076405793</v>
      </c>
      <c r="I56" s="49">
        <f t="shared" si="19"/>
        <v>49308827.816836938</v>
      </c>
      <c r="J56" s="49">
        <f t="shared" si="19"/>
        <v>49956291.225610055</v>
      </c>
      <c r="K56" s="49">
        <f t="shared" si="19"/>
        <v>50565856.852196604</v>
      </c>
      <c r="L56" s="49">
        <f t="shared" si="19"/>
        <v>51157015.205495417</v>
      </c>
      <c r="M56" s="49">
        <f t="shared" si="19"/>
        <v>51669190.58486782</v>
      </c>
      <c r="N56" s="49">
        <f t="shared" si="19"/>
        <v>51846053.08540462</v>
      </c>
      <c r="O56" s="49">
        <f t="shared" si="19"/>
        <v>52383804.033507407</v>
      </c>
      <c r="P56" s="49">
        <f t="shared" si="19"/>
        <v>52857834.400018424</v>
      </c>
      <c r="Q56" s="49">
        <f t="shared" si="19"/>
        <v>53431083.596479073</v>
      </c>
      <c r="R56" s="49">
        <f t="shared" si="19"/>
        <v>54180648.607315198</v>
      </c>
      <c r="S56" s="49">
        <f t="shared" si="19"/>
        <v>54776799.380205229</v>
      </c>
      <c r="T56" s="49">
        <f t="shared" si="19"/>
        <v>55375039.628109261</v>
      </c>
      <c r="U56" s="49">
        <f t="shared" si="19"/>
        <v>55987829.973272532</v>
      </c>
      <c r="V56" s="49">
        <f t="shared" si="19"/>
        <v>1007531038.9925539</v>
      </c>
    </row>
    <row r="58" spans="1:22" ht="15.75">
      <c r="A58" s="68" t="s">
        <v>31</v>
      </c>
    </row>
    <row r="59" spans="1:22">
      <c r="A59" s="28" t="s">
        <v>0</v>
      </c>
      <c r="B59" s="29">
        <v>2015</v>
      </c>
      <c r="C59" s="29">
        <f>B59+1</f>
        <v>2016</v>
      </c>
      <c r="D59" s="29">
        <f t="shared" ref="D59:U59" si="20">C59+1</f>
        <v>2017</v>
      </c>
      <c r="E59" s="29">
        <f t="shared" si="20"/>
        <v>2018</v>
      </c>
      <c r="F59" s="29">
        <f t="shared" si="20"/>
        <v>2019</v>
      </c>
      <c r="G59" s="29">
        <f t="shared" si="20"/>
        <v>2020</v>
      </c>
      <c r="H59" s="29">
        <f t="shared" si="20"/>
        <v>2021</v>
      </c>
      <c r="I59" s="29">
        <f t="shared" si="20"/>
        <v>2022</v>
      </c>
      <c r="J59" s="29">
        <f t="shared" si="20"/>
        <v>2023</v>
      </c>
      <c r="K59" s="29">
        <f t="shared" si="20"/>
        <v>2024</v>
      </c>
      <c r="L59" s="29">
        <f t="shared" si="20"/>
        <v>2025</v>
      </c>
      <c r="M59" s="29">
        <f t="shared" si="20"/>
        <v>2026</v>
      </c>
      <c r="N59" s="29">
        <f t="shared" si="20"/>
        <v>2027</v>
      </c>
      <c r="O59" s="29">
        <f t="shared" si="20"/>
        <v>2028</v>
      </c>
      <c r="P59" s="29">
        <f t="shared" si="20"/>
        <v>2029</v>
      </c>
      <c r="Q59" s="29">
        <f t="shared" si="20"/>
        <v>2030</v>
      </c>
      <c r="R59" s="29">
        <f t="shared" si="20"/>
        <v>2031</v>
      </c>
      <c r="S59" s="29">
        <f t="shared" si="20"/>
        <v>2032</v>
      </c>
      <c r="T59" s="29">
        <f t="shared" si="20"/>
        <v>2033</v>
      </c>
      <c r="U59" s="29">
        <f t="shared" si="20"/>
        <v>2034</v>
      </c>
      <c r="V59" s="29" t="s">
        <v>14</v>
      </c>
    </row>
    <row r="60" spans="1:22">
      <c r="A60" s="34" t="s">
        <v>2</v>
      </c>
      <c r="B60" s="33">
        <v>600304.73691685288</v>
      </c>
      <c r="C60" s="33">
        <v>625525.41956647264</v>
      </c>
      <c r="D60" s="33">
        <v>647697.70972049283</v>
      </c>
      <c r="E60" s="33">
        <v>654521.13837427227</v>
      </c>
      <c r="F60" s="33">
        <v>658030.02817600442</v>
      </c>
      <c r="G60" s="33">
        <v>660367.15973235655</v>
      </c>
      <c r="H60" s="33">
        <v>665186.14927961037</v>
      </c>
      <c r="I60" s="33">
        <v>670154.25422878505</v>
      </c>
      <c r="J60" s="33">
        <v>672751.33458497189</v>
      </c>
      <c r="K60" s="33">
        <v>677594.9837688125</v>
      </c>
      <c r="L60" s="33">
        <v>683414.17238322902</v>
      </c>
      <c r="M60" s="33">
        <v>687877.61807030358</v>
      </c>
      <c r="N60" s="33">
        <v>689160.72076724819</v>
      </c>
      <c r="O60" s="33">
        <v>692563.49870022549</v>
      </c>
      <c r="P60" s="33">
        <v>695442.62981121847</v>
      </c>
      <c r="Q60" s="33">
        <v>701105.03734313825</v>
      </c>
      <c r="R60" s="33">
        <v>708209.91328399268</v>
      </c>
      <c r="S60" s="33">
        <v>709912.75436677563</v>
      </c>
      <c r="T60" s="33">
        <v>715691.32475596818</v>
      </c>
      <c r="U60" s="33">
        <v>719181.2216729112</v>
      </c>
      <c r="V60" s="33">
        <f>SUM(B60:U60)</f>
        <v>13534691.805503642</v>
      </c>
    </row>
    <row r="61" spans="1:22">
      <c r="A61" s="34" t="s">
        <v>3</v>
      </c>
      <c r="B61" s="36">
        <v>230937.24560386999</v>
      </c>
      <c r="C61" s="36">
        <v>437074.70822641591</v>
      </c>
      <c r="D61" s="36">
        <v>627906.18131977646</v>
      </c>
      <c r="E61" s="36">
        <v>796872.81933162129</v>
      </c>
      <c r="F61" s="36">
        <v>809689.63414610259</v>
      </c>
      <c r="G61" s="36">
        <v>848558.25222195021</v>
      </c>
      <c r="H61" s="36">
        <v>887925.17688435677</v>
      </c>
      <c r="I61" s="36">
        <v>931997.12674368382</v>
      </c>
      <c r="J61" s="36">
        <v>979455.99301314668</v>
      </c>
      <c r="K61" s="36">
        <v>995732.32835909154</v>
      </c>
      <c r="L61" s="36">
        <v>1046329.8380215697</v>
      </c>
      <c r="M61" s="36">
        <v>1100296.8959858273</v>
      </c>
      <c r="N61" s="36">
        <v>1156194.5071222959</v>
      </c>
      <c r="O61" s="36">
        <v>1210916.1226594064</v>
      </c>
      <c r="P61" s="36">
        <v>1230994.2979825861</v>
      </c>
      <c r="Q61" s="36">
        <v>1289072.4346492686</v>
      </c>
      <c r="R61" s="36">
        <v>1351436.6768115149</v>
      </c>
      <c r="S61" s="36">
        <v>1419638.7936419216</v>
      </c>
      <c r="T61" s="36">
        <v>1488513.1420165445</v>
      </c>
      <c r="U61" s="36">
        <v>1524717.7194676534</v>
      </c>
      <c r="V61" s="36">
        <f>SUM(B61:U61)</f>
        <v>20364259.894208603</v>
      </c>
    </row>
    <row r="62" spans="1:22">
      <c r="A62" s="34" t="s">
        <v>4</v>
      </c>
      <c r="B62" s="38">
        <f>SUM(B60:B61)</f>
        <v>831241.9825207229</v>
      </c>
      <c r="C62" s="38">
        <f t="shared" ref="C62:V62" si="21">SUM(C60:C61)</f>
        <v>1062600.1277928886</v>
      </c>
      <c r="D62" s="38">
        <f t="shared" si="21"/>
        <v>1275603.8910402693</v>
      </c>
      <c r="E62" s="38">
        <f t="shared" si="21"/>
        <v>1451393.9577058936</v>
      </c>
      <c r="F62" s="38">
        <f t="shared" si="21"/>
        <v>1467719.662322107</v>
      </c>
      <c r="G62" s="38">
        <f t="shared" si="21"/>
        <v>1508925.4119543068</v>
      </c>
      <c r="H62" s="38">
        <f t="shared" si="21"/>
        <v>1553111.3261639671</v>
      </c>
      <c r="I62" s="38">
        <f t="shared" si="21"/>
        <v>1602151.3809724688</v>
      </c>
      <c r="J62" s="38">
        <f t="shared" si="21"/>
        <v>1652207.3275981187</v>
      </c>
      <c r="K62" s="38">
        <f t="shared" si="21"/>
        <v>1673327.312127904</v>
      </c>
      <c r="L62" s="38">
        <f t="shared" si="21"/>
        <v>1729744.0104047987</v>
      </c>
      <c r="M62" s="38">
        <f t="shared" si="21"/>
        <v>1788174.5140561308</v>
      </c>
      <c r="N62" s="38">
        <f t="shared" si="21"/>
        <v>1845355.2278895441</v>
      </c>
      <c r="O62" s="38">
        <f t="shared" si="21"/>
        <v>1903479.6213596319</v>
      </c>
      <c r="P62" s="38">
        <f t="shared" si="21"/>
        <v>1926436.9277938046</v>
      </c>
      <c r="Q62" s="38">
        <f t="shared" si="21"/>
        <v>1990177.471992407</v>
      </c>
      <c r="R62" s="38">
        <f t="shared" si="21"/>
        <v>2059646.5900955074</v>
      </c>
      <c r="S62" s="38">
        <f t="shared" si="21"/>
        <v>2129551.5480086971</v>
      </c>
      <c r="T62" s="38">
        <f t="shared" si="21"/>
        <v>2204204.4667725125</v>
      </c>
      <c r="U62" s="38">
        <f t="shared" si="21"/>
        <v>2243898.9411405646</v>
      </c>
      <c r="V62" s="38">
        <f t="shared" si="21"/>
        <v>33898951.699712247</v>
      </c>
    </row>
    <row r="63" spans="1:22">
      <c r="A63" s="1"/>
    </row>
    <row r="64" spans="1:22">
      <c r="A64" s="17" t="s">
        <v>1</v>
      </c>
      <c r="B64" s="18">
        <v>2015</v>
      </c>
      <c r="C64" s="18">
        <f>B64+1</f>
        <v>2016</v>
      </c>
      <c r="D64" s="18">
        <f t="shared" ref="D64:U64" si="22">C64+1</f>
        <v>2017</v>
      </c>
      <c r="E64" s="18">
        <f t="shared" si="22"/>
        <v>2018</v>
      </c>
      <c r="F64" s="18">
        <f t="shared" si="22"/>
        <v>2019</v>
      </c>
      <c r="G64" s="18">
        <f t="shared" si="22"/>
        <v>2020</v>
      </c>
      <c r="H64" s="18">
        <f t="shared" si="22"/>
        <v>2021</v>
      </c>
      <c r="I64" s="18">
        <f t="shared" si="22"/>
        <v>2022</v>
      </c>
      <c r="J64" s="18">
        <f t="shared" si="22"/>
        <v>2023</v>
      </c>
      <c r="K64" s="18">
        <f t="shared" si="22"/>
        <v>2024</v>
      </c>
      <c r="L64" s="18">
        <f t="shared" si="22"/>
        <v>2025</v>
      </c>
      <c r="M64" s="18">
        <f t="shared" si="22"/>
        <v>2026</v>
      </c>
      <c r="N64" s="18">
        <f t="shared" si="22"/>
        <v>2027</v>
      </c>
      <c r="O64" s="18">
        <f t="shared" si="22"/>
        <v>2028</v>
      </c>
      <c r="P64" s="18">
        <f t="shared" si="22"/>
        <v>2029</v>
      </c>
      <c r="Q64" s="18">
        <f t="shared" si="22"/>
        <v>2030</v>
      </c>
      <c r="R64" s="18">
        <f t="shared" si="22"/>
        <v>2031</v>
      </c>
      <c r="S64" s="18">
        <f t="shared" si="22"/>
        <v>2032</v>
      </c>
      <c r="T64" s="18">
        <f t="shared" si="22"/>
        <v>2033</v>
      </c>
      <c r="U64" s="18">
        <f t="shared" si="22"/>
        <v>2034</v>
      </c>
      <c r="V64" s="18" t="s">
        <v>14</v>
      </c>
    </row>
    <row r="65" spans="1:22">
      <c r="A65" s="23" t="s">
        <v>2</v>
      </c>
      <c r="B65" s="22">
        <v>600304.73691685288</v>
      </c>
      <c r="C65" s="22">
        <v>625525.41956647264</v>
      </c>
      <c r="D65" s="22">
        <v>647697.70972049283</v>
      </c>
      <c r="E65" s="22">
        <v>654521.13837427227</v>
      </c>
      <c r="F65" s="22">
        <v>658030.02817600442</v>
      </c>
      <c r="G65" s="22">
        <v>660367.15973235655</v>
      </c>
      <c r="H65" s="22">
        <v>665186.14927961037</v>
      </c>
      <c r="I65" s="22">
        <v>670154.25422878505</v>
      </c>
      <c r="J65" s="22">
        <v>672751.33458497189</v>
      </c>
      <c r="K65" s="22">
        <v>677594.9837688125</v>
      </c>
      <c r="L65" s="22">
        <v>683414.17238322902</v>
      </c>
      <c r="M65" s="22">
        <v>687877.61807030358</v>
      </c>
      <c r="N65" s="22">
        <v>689160.72076724819</v>
      </c>
      <c r="O65" s="22">
        <v>692563.49870022549</v>
      </c>
      <c r="P65" s="22">
        <v>695442.62981121847</v>
      </c>
      <c r="Q65" s="22">
        <v>701105.03734313825</v>
      </c>
      <c r="R65" s="22">
        <v>708209.91328399268</v>
      </c>
      <c r="S65" s="22">
        <v>709912.75436677563</v>
      </c>
      <c r="T65" s="22">
        <v>715691.32475596818</v>
      </c>
      <c r="U65" s="22">
        <v>719181.2216729112</v>
      </c>
      <c r="V65" s="22">
        <f>SUM(B65:U65)</f>
        <v>13534691.805503642</v>
      </c>
    </row>
    <row r="66" spans="1:22">
      <c r="A66" s="23" t="s">
        <v>3</v>
      </c>
      <c r="B66" s="25">
        <v>300218.41928503098</v>
      </c>
      <c r="C66" s="25">
        <v>568197.12069434067</v>
      </c>
      <c r="D66" s="25">
        <v>816278.03571570944</v>
      </c>
      <c r="E66" s="25">
        <v>1035934.6651311077</v>
      </c>
      <c r="F66" s="25">
        <v>1052596.5243899333</v>
      </c>
      <c r="G66" s="25">
        <v>1103125.7278885352</v>
      </c>
      <c r="H66" s="25">
        <v>1154302.7299496639</v>
      </c>
      <c r="I66" s="25">
        <v>1211596.264766789</v>
      </c>
      <c r="J66" s="25">
        <v>1273292.7909170906</v>
      </c>
      <c r="K66" s="25">
        <v>1294452.026866819</v>
      </c>
      <c r="L66" s="25">
        <v>1360228.7894280406</v>
      </c>
      <c r="M66" s="25">
        <v>1430385.9647815754</v>
      </c>
      <c r="N66" s="25">
        <v>1503052.8592589847</v>
      </c>
      <c r="O66" s="25">
        <v>1574190.9594572284</v>
      </c>
      <c r="P66" s="25">
        <v>1600292.587377362</v>
      </c>
      <c r="Q66" s="25">
        <v>1675794.1650440493</v>
      </c>
      <c r="R66" s="25">
        <v>1756867.6798549693</v>
      </c>
      <c r="S66" s="25">
        <v>1845530.4317344981</v>
      </c>
      <c r="T66" s="25">
        <v>1935067.0846215077</v>
      </c>
      <c r="U66" s="25">
        <v>1982133.0353079494</v>
      </c>
      <c r="V66" s="25">
        <f>SUM(B66:U66)</f>
        <v>26473537.862471186</v>
      </c>
    </row>
    <row r="67" spans="1:22">
      <c r="A67" s="23" t="s">
        <v>4</v>
      </c>
      <c r="B67" s="27">
        <f t="shared" ref="B67" si="23">SUM(B65:B66)</f>
        <v>900523.15620188392</v>
      </c>
      <c r="C67" s="27">
        <f t="shared" ref="C67" si="24">SUM(C65:C66)</f>
        <v>1193722.5402608132</v>
      </c>
      <c r="D67" s="27">
        <f t="shared" ref="D67" si="25">SUM(D65:D66)</f>
        <v>1463975.7454362023</v>
      </c>
      <c r="E67" s="27">
        <f t="shared" ref="E67" si="26">SUM(E65:E66)</f>
        <v>1690455.8035053799</v>
      </c>
      <c r="F67" s="27">
        <f t="shared" ref="F67" si="27">SUM(F65:F66)</f>
        <v>1710626.5525659379</v>
      </c>
      <c r="G67" s="27">
        <f t="shared" ref="G67" si="28">SUM(G65:G66)</f>
        <v>1763492.8876208919</v>
      </c>
      <c r="H67" s="27">
        <f t="shared" ref="H67" si="29">SUM(H65:H66)</f>
        <v>1819488.8792292741</v>
      </c>
      <c r="I67" s="27">
        <f t="shared" ref="I67" si="30">SUM(I65:I66)</f>
        <v>1881750.5189955742</v>
      </c>
      <c r="J67" s="27">
        <f t="shared" ref="J67" si="31">SUM(J65:J66)</f>
        <v>1946044.1255020625</v>
      </c>
      <c r="K67" s="27">
        <f t="shared" ref="K67" si="32">SUM(K65:K66)</f>
        <v>1972047.0106356316</v>
      </c>
      <c r="L67" s="27">
        <f t="shared" ref="L67" si="33">SUM(L65:L66)</f>
        <v>2043642.9618112696</v>
      </c>
      <c r="M67" s="27">
        <f t="shared" ref="M67" si="34">SUM(M65:M66)</f>
        <v>2118263.5828518788</v>
      </c>
      <c r="N67" s="27">
        <f t="shared" ref="N67" si="35">SUM(N65:N66)</f>
        <v>2192213.5800262326</v>
      </c>
      <c r="O67" s="27">
        <f t="shared" ref="O67" si="36">SUM(O65:O66)</f>
        <v>2266754.4581574537</v>
      </c>
      <c r="P67" s="27">
        <f t="shared" ref="P67" si="37">SUM(P65:P66)</f>
        <v>2295735.2171885804</v>
      </c>
      <c r="Q67" s="27">
        <f t="shared" ref="Q67" si="38">SUM(Q65:Q66)</f>
        <v>2376899.2023871876</v>
      </c>
      <c r="R67" s="27">
        <f t="shared" ref="R67" si="39">SUM(R65:R66)</f>
        <v>2465077.5931389621</v>
      </c>
      <c r="S67" s="27">
        <f t="shared" ref="S67" si="40">SUM(S65:S66)</f>
        <v>2555443.1861012736</v>
      </c>
      <c r="T67" s="27">
        <f t="shared" ref="T67" si="41">SUM(T65:T66)</f>
        <v>2650758.4093774757</v>
      </c>
      <c r="U67" s="27">
        <f t="shared" ref="U67" si="42">SUM(U65:U66)</f>
        <v>2701314.2569808606</v>
      </c>
      <c r="V67" s="27">
        <f t="shared" ref="V67" si="43">SUM(V65:V66)</f>
        <v>40008229.66797483</v>
      </c>
    </row>
    <row r="69" spans="1:22">
      <c r="A69" s="39" t="s">
        <v>20</v>
      </c>
      <c r="B69" s="40">
        <v>2015</v>
      </c>
      <c r="C69" s="40">
        <f>B69+1</f>
        <v>2016</v>
      </c>
      <c r="D69" s="40">
        <f t="shared" ref="D69:U69" si="44">C69+1</f>
        <v>2017</v>
      </c>
      <c r="E69" s="40">
        <f t="shared" si="44"/>
        <v>2018</v>
      </c>
      <c r="F69" s="40">
        <f t="shared" si="44"/>
        <v>2019</v>
      </c>
      <c r="G69" s="40">
        <f t="shared" si="44"/>
        <v>2020</v>
      </c>
      <c r="H69" s="40">
        <f t="shared" si="44"/>
        <v>2021</v>
      </c>
      <c r="I69" s="40">
        <f t="shared" si="44"/>
        <v>2022</v>
      </c>
      <c r="J69" s="40">
        <f t="shared" si="44"/>
        <v>2023</v>
      </c>
      <c r="K69" s="40">
        <f t="shared" si="44"/>
        <v>2024</v>
      </c>
      <c r="L69" s="40">
        <f t="shared" si="44"/>
        <v>2025</v>
      </c>
      <c r="M69" s="40">
        <f t="shared" si="44"/>
        <v>2026</v>
      </c>
      <c r="N69" s="40">
        <f t="shared" si="44"/>
        <v>2027</v>
      </c>
      <c r="O69" s="40">
        <f t="shared" si="44"/>
        <v>2028</v>
      </c>
      <c r="P69" s="40">
        <f t="shared" si="44"/>
        <v>2029</v>
      </c>
      <c r="Q69" s="40">
        <f t="shared" si="44"/>
        <v>2030</v>
      </c>
      <c r="R69" s="40">
        <f t="shared" si="44"/>
        <v>2031</v>
      </c>
      <c r="S69" s="40">
        <f t="shared" si="44"/>
        <v>2032</v>
      </c>
      <c r="T69" s="40">
        <f t="shared" si="44"/>
        <v>2033</v>
      </c>
      <c r="U69" s="40">
        <f t="shared" si="44"/>
        <v>2034</v>
      </c>
      <c r="V69" s="40" t="s">
        <v>14</v>
      </c>
    </row>
    <row r="70" spans="1:22">
      <c r="A70" s="45" t="s">
        <v>2</v>
      </c>
      <c r="B70" s="44">
        <f>B60+B65</f>
        <v>1200609.4738337058</v>
      </c>
      <c r="C70" s="44">
        <f t="shared" ref="C70:V70" si="45">C60+C65</f>
        <v>1251050.8391329453</v>
      </c>
      <c r="D70" s="44">
        <f t="shared" si="45"/>
        <v>1295395.4194409857</v>
      </c>
      <c r="E70" s="44">
        <f t="shared" si="45"/>
        <v>1309042.2767485445</v>
      </c>
      <c r="F70" s="44">
        <f t="shared" si="45"/>
        <v>1316060.0563520088</v>
      </c>
      <c r="G70" s="44">
        <f t="shared" si="45"/>
        <v>1320734.3194647131</v>
      </c>
      <c r="H70" s="44">
        <f t="shared" si="45"/>
        <v>1330372.2985592207</v>
      </c>
      <c r="I70" s="44">
        <f t="shared" si="45"/>
        <v>1340308.5084575701</v>
      </c>
      <c r="J70" s="44">
        <f t="shared" si="45"/>
        <v>1345502.6691699438</v>
      </c>
      <c r="K70" s="44">
        <f t="shared" si="45"/>
        <v>1355189.967537625</v>
      </c>
      <c r="L70" s="44">
        <f t="shared" si="45"/>
        <v>1366828.344766458</v>
      </c>
      <c r="M70" s="44">
        <f t="shared" si="45"/>
        <v>1375755.2361406072</v>
      </c>
      <c r="N70" s="44">
        <f t="shared" si="45"/>
        <v>1378321.4415344964</v>
      </c>
      <c r="O70" s="44">
        <f t="shared" si="45"/>
        <v>1385126.997400451</v>
      </c>
      <c r="P70" s="44">
        <f t="shared" si="45"/>
        <v>1390885.2596224369</v>
      </c>
      <c r="Q70" s="44">
        <f t="shared" si="45"/>
        <v>1402210.0746862765</v>
      </c>
      <c r="R70" s="44">
        <f t="shared" si="45"/>
        <v>1416419.8265679854</v>
      </c>
      <c r="S70" s="44">
        <f t="shared" si="45"/>
        <v>1419825.5087335513</v>
      </c>
      <c r="T70" s="44">
        <f t="shared" si="45"/>
        <v>1431382.6495119364</v>
      </c>
      <c r="U70" s="44">
        <f t="shared" si="45"/>
        <v>1438362.4433458224</v>
      </c>
      <c r="V70" s="44">
        <f t="shared" si="45"/>
        <v>27069383.611007284</v>
      </c>
    </row>
    <row r="71" spans="1:22">
      <c r="A71" s="45" t="s">
        <v>3</v>
      </c>
      <c r="B71" s="47">
        <f>B61+B66</f>
        <v>531155.66488890094</v>
      </c>
      <c r="C71" s="47">
        <f t="shared" ref="C71:V71" si="46">C61+C66</f>
        <v>1005271.8289207566</v>
      </c>
      <c r="D71" s="47">
        <f t="shared" si="46"/>
        <v>1444184.2170354859</v>
      </c>
      <c r="E71" s="47">
        <f t="shared" si="46"/>
        <v>1832807.484462729</v>
      </c>
      <c r="F71" s="47">
        <f t="shared" si="46"/>
        <v>1862286.158536036</v>
      </c>
      <c r="G71" s="47">
        <f t="shared" si="46"/>
        <v>1951683.9801104856</v>
      </c>
      <c r="H71" s="47">
        <f t="shared" si="46"/>
        <v>2042227.9068340207</v>
      </c>
      <c r="I71" s="47">
        <f t="shared" si="46"/>
        <v>2143593.3915104726</v>
      </c>
      <c r="J71" s="47">
        <f t="shared" si="46"/>
        <v>2252748.7839302374</v>
      </c>
      <c r="K71" s="47">
        <f t="shared" si="46"/>
        <v>2290184.3552259104</v>
      </c>
      <c r="L71" s="47">
        <f t="shared" si="46"/>
        <v>2406558.6274496103</v>
      </c>
      <c r="M71" s="47">
        <f t="shared" si="46"/>
        <v>2530682.8607674027</v>
      </c>
      <c r="N71" s="47">
        <f t="shared" si="46"/>
        <v>2659247.3663812806</v>
      </c>
      <c r="O71" s="47">
        <f t="shared" si="46"/>
        <v>2785107.0821166346</v>
      </c>
      <c r="P71" s="47">
        <f t="shared" si="46"/>
        <v>2831286.885359948</v>
      </c>
      <c r="Q71" s="47">
        <f t="shared" si="46"/>
        <v>2964866.5996933179</v>
      </c>
      <c r="R71" s="47">
        <f t="shared" si="46"/>
        <v>3108304.3566664839</v>
      </c>
      <c r="S71" s="47">
        <f t="shared" si="46"/>
        <v>3265169.2253764197</v>
      </c>
      <c r="T71" s="47">
        <f t="shared" si="46"/>
        <v>3423580.2266380521</v>
      </c>
      <c r="U71" s="47">
        <f t="shared" si="46"/>
        <v>3506850.7547756028</v>
      </c>
      <c r="V71" s="47">
        <f t="shared" si="46"/>
        <v>46837797.756679788</v>
      </c>
    </row>
    <row r="72" spans="1:22">
      <c r="A72" s="45" t="s">
        <v>4</v>
      </c>
      <c r="B72" s="49">
        <f>SUM(B70:B71)</f>
        <v>1731765.1387226067</v>
      </c>
      <c r="C72" s="49">
        <f t="shared" ref="C72:V72" si="47">SUM(C70:C71)</f>
        <v>2256322.668053702</v>
      </c>
      <c r="D72" s="49">
        <f t="shared" si="47"/>
        <v>2739579.6364764716</v>
      </c>
      <c r="E72" s="49">
        <f t="shared" si="47"/>
        <v>3141849.7612112733</v>
      </c>
      <c r="F72" s="49">
        <f t="shared" si="47"/>
        <v>3178346.2148880446</v>
      </c>
      <c r="G72" s="49">
        <f t="shared" si="47"/>
        <v>3272418.2995751984</v>
      </c>
      <c r="H72" s="49">
        <f t="shared" si="47"/>
        <v>3372600.2053932417</v>
      </c>
      <c r="I72" s="49">
        <f t="shared" si="47"/>
        <v>3483901.899968043</v>
      </c>
      <c r="J72" s="49">
        <f t="shared" si="47"/>
        <v>3598251.4531001812</v>
      </c>
      <c r="K72" s="49">
        <f t="shared" si="47"/>
        <v>3645374.3227635352</v>
      </c>
      <c r="L72" s="49">
        <f t="shared" si="47"/>
        <v>3773386.9722160683</v>
      </c>
      <c r="M72" s="49">
        <f t="shared" si="47"/>
        <v>3906438.0969080096</v>
      </c>
      <c r="N72" s="49">
        <f t="shared" si="47"/>
        <v>4037568.807915777</v>
      </c>
      <c r="O72" s="49">
        <f t="shared" si="47"/>
        <v>4170234.0795170856</v>
      </c>
      <c r="P72" s="49">
        <f t="shared" si="47"/>
        <v>4222172.1449823845</v>
      </c>
      <c r="Q72" s="49">
        <f t="shared" si="47"/>
        <v>4367076.6743795946</v>
      </c>
      <c r="R72" s="49">
        <f t="shared" si="47"/>
        <v>4524724.183234469</v>
      </c>
      <c r="S72" s="49">
        <f t="shared" si="47"/>
        <v>4684994.7341099707</v>
      </c>
      <c r="T72" s="49">
        <f t="shared" si="47"/>
        <v>4854962.8761499887</v>
      </c>
      <c r="U72" s="49">
        <f t="shared" si="47"/>
        <v>4945213.1981214248</v>
      </c>
      <c r="V72" s="49">
        <f t="shared" si="47"/>
        <v>73907181.367687076</v>
      </c>
    </row>
    <row r="73" spans="1:22">
      <c r="B73" s="749"/>
    </row>
    <row r="74" spans="1:22">
      <c r="A74" s="58" t="s">
        <v>32</v>
      </c>
      <c r="B74" s="63">
        <f>B60/B12</f>
        <v>7.1460844801698967E-2</v>
      </c>
      <c r="C74" s="63">
        <f t="shared" ref="C74:V74" si="48">C60/C12</f>
        <v>6.6760110739967557E-2</v>
      </c>
      <c r="D74" s="63">
        <f t="shared" si="48"/>
        <v>6.4074750702188696E-2</v>
      </c>
      <c r="E74" s="63">
        <f t="shared" si="48"/>
        <v>6.1238964861399486E-2</v>
      </c>
      <c r="F74" s="63">
        <f t="shared" si="48"/>
        <v>6.1856184151749691E-2</v>
      </c>
      <c r="G74" s="63">
        <f t="shared" si="48"/>
        <v>6.4779310451430719E-2</v>
      </c>
      <c r="H74" s="63">
        <f t="shared" si="48"/>
        <v>6.8021010955792563E-2</v>
      </c>
      <c r="I74" s="63">
        <f t="shared" si="48"/>
        <v>7.0984263238113215E-2</v>
      </c>
      <c r="J74" s="63">
        <f t="shared" si="48"/>
        <v>6.8705390857905918E-2</v>
      </c>
      <c r="K74" s="63">
        <f t="shared" si="48"/>
        <v>6.8404560697593195E-2</v>
      </c>
      <c r="L74" s="63">
        <f t="shared" si="48"/>
        <v>6.8256312885840553E-2</v>
      </c>
      <c r="M74" s="63">
        <f t="shared" si="48"/>
        <v>6.8100224886183183E-2</v>
      </c>
      <c r="N74" s="63">
        <f t="shared" si="48"/>
        <v>6.8037676786266987E-2</v>
      </c>
      <c r="O74" s="63">
        <f t="shared" si="48"/>
        <v>6.3551739413211392E-2</v>
      </c>
      <c r="P74" s="63">
        <f t="shared" si="48"/>
        <v>6.3300301280812751E-2</v>
      </c>
      <c r="Q74" s="63">
        <f t="shared" si="48"/>
        <v>6.3187724731398082E-2</v>
      </c>
      <c r="R74" s="63">
        <f t="shared" si="48"/>
        <v>6.3012375409071716E-2</v>
      </c>
      <c r="S74" s="63">
        <f t="shared" si="48"/>
        <v>6.2547795229110192E-2</v>
      </c>
      <c r="T74" s="63">
        <f t="shared" si="48"/>
        <v>5.9969054745770425E-2</v>
      </c>
      <c r="U74" s="63">
        <f t="shared" si="48"/>
        <v>5.96731574411326E-2</v>
      </c>
      <c r="V74" s="63">
        <f t="shared" si="48"/>
        <v>6.5034979160582346E-2</v>
      </c>
    </row>
    <row r="75" spans="1:22">
      <c r="A75" s="58" t="s">
        <v>33</v>
      </c>
      <c r="B75" s="63">
        <f>B65/B30</f>
        <v>0.1030153306249575</v>
      </c>
      <c r="C75" s="63">
        <f t="shared" ref="C75:V75" si="49">C65/C30</f>
        <v>9.5325279253471895E-2</v>
      </c>
      <c r="D75" s="63">
        <f t="shared" si="49"/>
        <v>9.1058083114027938E-2</v>
      </c>
      <c r="E75" s="63">
        <f t="shared" si="49"/>
        <v>8.0432961029104147E-2</v>
      </c>
      <c r="F75" s="63">
        <f t="shared" si="49"/>
        <v>7.7944144796468551E-2</v>
      </c>
      <c r="G75" s="63">
        <f t="shared" si="49"/>
        <v>7.2311525561694498E-2</v>
      </c>
      <c r="H75" s="63">
        <f t="shared" si="49"/>
        <v>6.8257750091039432E-2</v>
      </c>
      <c r="I75" s="63">
        <f t="shared" si="49"/>
        <v>6.4884524211247185E-2</v>
      </c>
      <c r="J75" s="63">
        <f t="shared" si="49"/>
        <v>5.7502842077775576E-2</v>
      </c>
      <c r="K75" s="63">
        <f t="shared" si="49"/>
        <v>5.7183413197479195E-2</v>
      </c>
      <c r="L75" s="63">
        <f t="shared" si="49"/>
        <v>5.694804251360111E-2</v>
      </c>
      <c r="M75" s="63">
        <f t="shared" si="49"/>
        <v>5.6722251351199127E-2</v>
      </c>
      <c r="N75" s="63">
        <f t="shared" si="49"/>
        <v>5.659553696271357E-2</v>
      </c>
      <c r="O75" s="63">
        <f t="shared" si="49"/>
        <v>5.2402041224259621E-2</v>
      </c>
      <c r="P75" s="63">
        <f t="shared" si="49"/>
        <v>5.2102780383552413E-2</v>
      </c>
      <c r="Q75" s="63">
        <f t="shared" si="49"/>
        <v>5.1913495246428763E-2</v>
      </c>
      <c r="R75" s="63">
        <f t="shared" si="49"/>
        <v>5.1658231082627987E-2</v>
      </c>
      <c r="S75" s="63">
        <f t="shared" si="49"/>
        <v>5.1154969878138702E-2</v>
      </c>
      <c r="T75" s="63">
        <f t="shared" si="49"/>
        <v>4.8739081956050777E-2</v>
      </c>
      <c r="U75" s="63">
        <f t="shared" si="49"/>
        <v>4.8386252071940923E-2</v>
      </c>
      <c r="V75" s="63">
        <f t="shared" si="49"/>
        <v>6.0872338091704607E-2</v>
      </c>
    </row>
    <row r="76" spans="1:22">
      <c r="A76" s="58" t="s">
        <v>34</v>
      </c>
      <c r="B76" s="63">
        <f>B70/B48</f>
        <v>8.4384730877830744E-2</v>
      </c>
      <c r="C76" s="63">
        <f t="shared" ref="C76:V76" si="50">C70/C48</f>
        <v>7.8525599371265978E-2</v>
      </c>
      <c r="D76" s="63">
        <f t="shared" si="50"/>
        <v>7.5219717598436764E-2</v>
      </c>
      <c r="E76" s="63">
        <f t="shared" si="50"/>
        <v>6.9535742430248029E-2</v>
      </c>
      <c r="F76" s="63">
        <f t="shared" si="50"/>
        <v>6.8974478248428325E-2</v>
      </c>
      <c r="G76" s="63">
        <f t="shared" si="50"/>
        <v>6.8338495844158367E-2</v>
      </c>
      <c r="H76" s="63">
        <f t="shared" si="50"/>
        <v>6.8139174895562732E-2</v>
      </c>
      <c r="I76" s="63">
        <f t="shared" si="50"/>
        <v>6.7797471857287586E-2</v>
      </c>
      <c r="J76" s="63">
        <f t="shared" si="50"/>
        <v>6.2606933771228737E-2</v>
      </c>
      <c r="K76" s="63">
        <f t="shared" si="50"/>
        <v>6.2292688346586876E-2</v>
      </c>
      <c r="L76" s="63">
        <f t="shared" si="50"/>
        <v>6.2091504654826747E-2</v>
      </c>
      <c r="M76" s="63">
        <f t="shared" si="50"/>
        <v>6.1892668524235278E-2</v>
      </c>
      <c r="N76" s="63">
        <f t="shared" si="50"/>
        <v>6.1791375438167713E-2</v>
      </c>
      <c r="O76" s="63">
        <f t="shared" si="50"/>
        <v>5.7440832895591258E-2</v>
      </c>
      <c r="P76" s="63">
        <f t="shared" si="50"/>
        <v>5.7158295052103479E-2</v>
      </c>
      <c r="Q76" s="63">
        <f t="shared" si="50"/>
        <v>5.6998451417074492E-2</v>
      </c>
      <c r="R76" s="63">
        <f t="shared" si="50"/>
        <v>5.6773186251225571E-2</v>
      </c>
      <c r="S76" s="63">
        <f t="shared" si="50"/>
        <v>5.6280611608189174E-2</v>
      </c>
      <c r="T76" s="63">
        <f t="shared" si="50"/>
        <v>5.3774018445337475E-2</v>
      </c>
      <c r="U76" s="63">
        <f t="shared" si="50"/>
        <v>5.3440240898705506E-2</v>
      </c>
      <c r="V76" s="63">
        <f t="shared" si="50"/>
        <v>6.288484776968789E-2</v>
      </c>
    </row>
    <row r="78" spans="1:22">
      <c r="A78" s="58" t="s">
        <v>42</v>
      </c>
      <c r="B78" s="63">
        <f>B61/B18</f>
        <v>1.4775570847281986E-2</v>
      </c>
      <c r="C78" s="63">
        <f t="shared" ref="C78:V78" si="51">C61/C18</f>
        <v>2.7546059599796436E-2</v>
      </c>
      <c r="D78" s="63">
        <f t="shared" si="51"/>
        <v>3.838676169727348E-2</v>
      </c>
      <c r="E78" s="63">
        <f t="shared" si="51"/>
        <v>5.0271539325638645E-2</v>
      </c>
      <c r="F78" s="63">
        <f t="shared" si="51"/>
        <v>5.0646391681254746E-2</v>
      </c>
      <c r="G78" s="63">
        <f t="shared" si="51"/>
        <v>5.2332191078037785E-2</v>
      </c>
      <c r="H78" s="63">
        <f t="shared" si="51"/>
        <v>5.4116806049642772E-2</v>
      </c>
      <c r="I78" s="63">
        <f t="shared" si="51"/>
        <v>5.6262622264550491E-2</v>
      </c>
      <c r="J78" s="63">
        <f t="shared" si="51"/>
        <v>6.1875786365487108E-2</v>
      </c>
      <c r="K78" s="63">
        <f t="shared" si="51"/>
        <v>6.1926977339010369E-2</v>
      </c>
      <c r="L78" s="63">
        <f t="shared" si="51"/>
        <v>6.4498587955967537E-2</v>
      </c>
      <c r="M78" s="63">
        <f t="shared" si="51"/>
        <v>6.692041824618282E-2</v>
      </c>
      <c r="N78" s="63">
        <f t="shared" si="51"/>
        <v>7.0525375795900666E-2</v>
      </c>
      <c r="O78" s="63">
        <f t="shared" si="51"/>
        <v>7.868282373087486E-2</v>
      </c>
      <c r="P78" s="63">
        <f t="shared" si="51"/>
        <v>7.9127374236315162E-2</v>
      </c>
      <c r="Q78" s="63">
        <f t="shared" si="51"/>
        <v>8.2185940816872263E-2</v>
      </c>
      <c r="R78" s="63">
        <f t="shared" si="51"/>
        <v>8.5114860106197954E-2</v>
      </c>
      <c r="S78" s="63">
        <f t="shared" si="51"/>
        <v>8.8775976649578273E-2</v>
      </c>
      <c r="T78" s="63">
        <f t="shared" si="51"/>
        <v>9.715036991893522E-2</v>
      </c>
      <c r="U78" s="63">
        <f t="shared" si="51"/>
        <v>9.8737469533202893E-2</v>
      </c>
      <c r="V78" s="63">
        <f t="shared" si="51"/>
        <v>6.3815447164542002E-2</v>
      </c>
    </row>
    <row r="79" spans="1:22">
      <c r="A79" s="58" t="s">
        <v>43</v>
      </c>
      <c r="B79" s="63">
        <f>B66/B36</f>
        <v>2.5060181737831335E-2</v>
      </c>
      <c r="C79" s="63">
        <f t="shared" ref="C79:V79" si="52">C66/C36</f>
        <v>4.589411671014073E-2</v>
      </c>
      <c r="D79" s="63">
        <f t="shared" si="52"/>
        <v>6.3118744032484131E-2</v>
      </c>
      <c r="E79" s="63">
        <f t="shared" si="52"/>
        <v>8.4106679194140971E-2</v>
      </c>
      <c r="F79" s="63">
        <f t="shared" si="52"/>
        <v>8.3956103632834109E-2</v>
      </c>
      <c r="G79" s="63">
        <f t="shared" si="52"/>
        <v>8.724539196722117E-2</v>
      </c>
      <c r="H79" s="63">
        <f t="shared" si="52"/>
        <v>9.0243728488991232E-2</v>
      </c>
      <c r="I79" s="63">
        <f t="shared" si="52"/>
        <v>9.3383549557398512E-2</v>
      </c>
      <c r="J79" s="63">
        <f t="shared" si="52"/>
        <v>0.10077004273597172</v>
      </c>
      <c r="K79" s="63">
        <f t="shared" si="52"/>
        <v>0.1016730227702794</v>
      </c>
      <c r="L79" s="63">
        <f t="shared" si="52"/>
        <v>0.10526976599598223</v>
      </c>
      <c r="M79" s="63">
        <f t="shared" si="52"/>
        <v>0.11003613417101038</v>
      </c>
      <c r="N79" s="63">
        <f t="shared" si="52"/>
        <v>0.11433552452972878</v>
      </c>
      <c r="O79" s="63">
        <f t="shared" si="52"/>
        <v>0.1222199368659735</v>
      </c>
      <c r="P79" s="63">
        <f t="shared" si="52"/>
        <v>0.12341467420136354</v>
      </c>
      <c r="Q79" s="63">
        <f t="shared" si="52"/>
        <v>0.12748132166660284</v>
      </c>
      <c r="R79" s="63">
        <f t="shared" si="52"/>
        <v>0.1315601436883907</v>
      </c>
      <c r="S79" s="63">
        <f t="shared" si="52"/>
        <v>0.13612177854441945</v>
      </c>
      <c r="T79" s="63">
        <f t="shared" si="52"/>
        <v>0.14403377348231369</v>
      </c>
      <c r="U79" s="63">
        <f t="shared" si="52"/>
        <v>0.14542057954204748</v>
      </c>
      <c r="V79" s="63">
        <f t="shared" si="52"/>
        <v>0.1026266343771737</v>
      </c>
    </row>
    <row r="80" spans="1:22">
      <c r="A80" s="58" t="s">
        <v>44</v>
      </c>
      <c r="B80" s="63">
        <f>B71/B54</f>
        <v>1.9238103704159609E-2</v>
      </c>
      <c r="C80" s="63">
        <f t="shared" ref="C80:V80" si="53">C71/C54</f>
        <v>3.5587792242458727E-2</v>
      </c>
      <c r="D80" s="63">
        <f t="shared" si="53"/>
        <v>4.9306759679733705E-2</v>
      </c>
      <c r="E80" s="63">
        <f t="shared" si="53"/>
        <v>6.5066351740179759E-2</v>
      </c>
      <c r="F80" s="63">
        <f t="shared" si="53"/>
        <v>6.5287074275130294E-2</v>
      </c>
      <c r="G80" s="63">
        <f t="shared" si="53"/>
        <v>6.7628763740347278E-2</v>
      </c>
      <c r="H80" s="63">
        <f t="shared" si="53"/>
        <v>6.9942869313502437E-2</v>
      </c>
      <c r="I80" s="63">
        <f t="shared" si="53"/>
        <v>7.2566946540854854E-2</v>
      </c>
      <c r="J80" s="63">
        <f t="shared" si="53"/>
        <v>7.914095541111274E-2</v>
      </c>
      <c r="K80" s="63">
        <f t="shared" si="53"/>
        <v>7.9490879414198232E-2</v>
      </c>
      <c r="L80" s="63">
        <f t="shared" si="53"/>
        <v>8.2575078274065669E-2</v>
      </c>
      <c r="M80" s="63">
        <f t="shared" si="53"/>
        <v>8.5957454668887837E-2</v>
      </c>
      <c r="N80" s="63">
        <f t="shared" si="53"/>
        <v>9.0021902124144862E-2</v>
      </c>
      <c r="O80" s="63">
        <f t="shared" si="53"/>
        <v>9.8518721246469765E-2</v>
      </c>
      <c r="P80" s="63">
        <f t="shared" si="53"/>
        <v>9.9260102877602369E-2</v>
      </c>
      <c r="Q80" s="63">
        <f t="shared" si="53"/>
        <v>0.10283878160911371</v>
      </c>
      <c r="R80" s="63">
        <f t="shared" si="53"/>
        <v>0.10633260659861499</v>
      </c>
      <c r="S80" s="63">
        <f t="shared" si="53"/>
        <v>0.11049946424922616</v>
      </c>
      <c r="T80" s="63">
        <f t="shared" si="53"/>
        <v>0.11905388906509889</v>
      </c>
      <c r="U80" s="63">
        <f t="shared" si="53"/>
        <v>0.12062438362117323</v>
      </c>
      <c r="V80" s="63">
        <f t="shared" si="53"/>
        <v>8.1164637461161315E-2</v>
      </c>
    </row>
  </sheetData>
  <pageMargins left="0.7" right="0.7" top="0.75" bottom="0.75" header="0.3" footer="0.3"/>
  <pageSetup orientation="portrait" r:id="rId1"/>
  <ignoredErrors>
    <ignoredError sqref="B67 B62" formulaRange="1"/>
  </ignoredErrors>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A1:V96"/>
  <sheetViews>
    <sheetView workbookViewId="0">
      <pane ySplit="1" topLeftCell="A65" activePane="bottomLeft" state="frozen"/>
      <selection activeCell="I35" sqref="I35"/>
      <selection pane="bottomLeft" activeCell="C98" sqref="C98"/>
    </sheetView>
  </sheetViews>
  <sheetFormatPr defaultRowHeight="15"/>
  <cols>
    <col min="1" max="1" width="37.85546875" customWidth="1"/>
    <col min="2" max="2" width="9.85546875" bestFit="1" customWidth="1"/>
  </cols>
  <sheetData>
    <row r="1" spans="1:22" ht="15.75">
      <c r="A1" s="7" t="s">
        <v>39</v>
      </c>
    </row>
    <row r="2" spans="1:22" ht="15.75">
      <c r="A2" s="7"/>
    </row>
    <row r="3" spans="1:22" ht="15.75">
      <c r="A3" s="7" t="s">
        <v>26</v>
      </c>
    </row>
    <row r="4" spans="1:22">
      <c r="A4" s="62" t="s">
        <v>27</v>
      </c>
      <c r="B4" s="6">
        <v>2015</v>
      </c>
      <c r="C4" s="6">
        <f>B4+1</f>
        <v>2016</v>
      </c>
      <c r="D4" s="6">
        <f t="shared" ref="D4:U4" si="0">C4+1</f>
        <v>2017</v>
      </c>
      <c r="E4" s="6">
        <f t="shared" si="0"/>
        <v>2018</v>
      </c>
      <c r="F4" s="6">
        <f t="shared" si="0"/>
        <v>2019</v>
      </c>
      <c r="G4" s="6">
        <f t="shared" si="0"/>
        <v>2020</v>
      </c>
      <c r="H4" s="6">
        <f t="shared" si="0"/>
        <v>2021</v>
      </c>
      <c r="I4" s="6">
        <f t="shared" si="0"/>
        <v>2022</v>
      </c>
      <c r="J4" s="6">
        <f t="shared" si="0"/>
        <v>2023</v>
      </c>
      <c r="K4" s="6">
        <f t="shared" si="0"/>
        <v>2024</v>
      </c>
      <c r="L4" s="6">
        <f t="shared" si="0"/>
        <v>2025</v>
      </c>
      <c r="M4" s="6">
        <f t="shared" si="0"/>
        <v>2026</v>
      </c>
      <c r="N4" s="6">
        <f t="shared" si="0"/>
        <v>2027</v>
      </c>
      <c r="O4" s="6">
        <f t="shared" si="0"/>
        <v>2028</v>
      </c>
      <c r="P4" s="6">
        <f t="shared" si="0"/>
        <v>2029</v>
      </c>
      <c r="Q4" s="6">
        <f t="shared" si="0"/>
        <v>2030</v>
      </c>
      <c r="R4" s="6">
        <f t="shared" si="0"/>
        <v>2031</v>
      </c>
      <c r="S4" s="6">
        <f t="shared" si="0"/>
        <v>2032</v>
      </c>
      <c r="T4" s="6">
        <f t="shared" si="0"/>
        <v>2033</v>
      </c>
      <c r="U4" s="6">
        <f t="shared" si="0"/>
        <v>2034</v>
      </c>
      <c r="V4" s="6" t="s">
        <v>14</v>
      </c>
    </row>
    <row r="5" spans="1:22">
      <c r="A5" s="50" t="s">
        <v>2</v>
      </c>
    </row>
    <row r="6" spans="1:22">
      <c r="A6" s="9" t="s">
        <v>8</v>
      </c>
      <c r="B6" s="54">
        <f>'Scen 2 Budgets'!B6/'Scen 2 MWh Savings'!B6</f>
        <v>272.26092594416934</v>
      </c>
      <c r="C6" s="54">
        <f>'Scen 2 Budgets'!C6/'Scen 2 MWh Savings'!C6</f>
        <v>269.99113747550882</v>
      </c>
      <c r="D6" s="54">
        <f>'Scen 2 Budgets'!D6/'Scen 2 MWh Savings'!D6</f>
        <v>253.78742713668356</v>
      </c>
      <c r="E6" s="54">
        <f>'Scen 2 Budgets'!E6/'Scen 2 MWh Savings'!E6</f>
        <v>277.43497437768013</v>
      </c>
      <c r="F6" s="54">
        <f>'Scen 2 Budgets'!F6/'Scen 2 MWh Savings'!F6</f>
        <v>287.24084733934097</v>
      </c>
      <c r="G6" s="54">
        <f>'Scen 2 Budgets'!G6/'Scen 2 MWh Savings'!G6</f>
        <v>322.98457006349827</v>
      </c>
      <c r="H6" s="54">
        <f>'Scen 2 Budgets'!H6/'Scen 2 MWh Savings'!H6</f>
        <v>312.14921015906617</v>
      </c>
      <c r="I6" s="54">
        <f>'Scen 2 Budgets'!I6/'Scen 2 MWh Savings'!I6</f>
        <v>309.13218797242644</v>
      </c>
      <c r="J6" s="54">
        <f>'Scen 2 Budgets'!J6/'Scen 2 MWh Savings'!J6</f>
        <v>309.20750175132349</v>
      </c>
      <c r="K6" s="54">
        <f>'Scen 2 Budgets'!K6/'Scen 2 MWh Savings'!K6</f>
        <v>299.04068617042498</v>
      </c>
      <c r="L6" s="54">
        <f>'Scen 2 Budgets'!L6/'Scen 2 MWh Savings'!L6</f>
        <v>301.09297243807407</v>
      </c>
      <c r="M6" s="54">
        <f>'Scen 2 Budgets'!M6/'Scen 2 MWh Savings'!M6</f>
        <v>302.86688348285082</v>
      </c>
      <c r="N6" s="54">
        <f>'Scen 2 Budgets'!N6/'Scen 2 MWh Savings'!N6</f>
        <v>295.26864391483764</v>
      </c>
      <c r="O6" s="54">
        <f>'Scen 2 Budgets'!O6/'Scen 2 MWh Savings'!O6</f>
        <v>299.82044998308629</v>
      </c>
      <c r="P6" s="54">
        <f>'Scen 2 Budgets'!P6/'Scen 2 MWh Savings'!P6</f>
        <v>301.44359800437206</v>
      </c>
      <c r="Q6" s="54">
        <f>'Scen 2 Budgets'!Q6/'Scen 2 MWh Savings'!Q6</f>
        <v>294.88010229232827</v>
      </c>
      <c r="R6" s="54">
        <f>'Scen 2 Budgets'!R6/'Scen 2 MWh Savings'!R6</f>
        <v>297.30453229451075</v>
      </c>
      <c r="S6" s="54">
        <f>'Scen 2 Budgets'!S6/'Scen 2 MWh Savings'!S6</f>
        <v>299.24736867130719</v>
      </c>
      <c r="T6" s="54">
        <f>'Scen 2 Budgets'!T6/'Scen 2 MWh Savings'!T6</f>
        <v>293.41726687299217</v>
      </c>
      <c r="U6" s="54">
        <f>'Scen 2 Budgets'!U6/'Scen 2 MWh Savings'!U6</f>
        <v>295.3469662710803</v>
      </c>
      <c r="V6" s="54">
        <f>'Scen 2 Budgets'!V6/'Scen 2 MWh Savings'!V6</f>
        <v>295.37382687657214</v>
      </c>
    </row>
    <row r="7" spans="1:22">
      <c r="A7" s="10" t="s">
        <v>9</v>
      </c>
      <c r="B7" s="54">
        <f>'Scen 2 Budgets'!B7/'Scen 2 MWh Savings'!B7</f>
        <v>205.51249320843894</v>
      </c>
      <c r="C7" s="54">
        <f>'Scen 2 Budgets'!C7/'Scen 2 MWh Savings'!C7</f>
        <v>208.10138003664258</v>
      </c>
      <c r="D7" s="54">
        <f>'Scen 2 Budgets'!D7/'Scen 2 MWh Savings'!D7</f>
        <v>211.10884205354034</v>
      </c>
      <c r="E7" s="54">
        <f>'Scen 2 Budgets'!E7/'Scen 2 MWh Savings'!E7</f>
        <v>231.76513884663277</v>
      </c>
      <c r="F7" s="54">
        <f>'Scen 2 Budgets'!F7/'Scen 2 MWh Savings'!F7</f>
        <v>208.92436590689724</v>
      </c>
      <c r="G7" s="54">
        <f>'Scen 2 Budgets'!G7/'Scen 2 MWh Savings'!G7</f>
        <v>286.5842632810988</v>
      </c>
      <c r="H7" s="54">
        <f>'Scen 2 Budgets'!H7/'Scen 2 MWh Savings'!H7</f>
        <v>315.89707024773134</v>
      </c>
      <c r="I7" s="54">
        <f>'Scen 2 Budgets'!I7/'Scen 2 MWh Savings'!I7</f>
        <v>318.6187068431945</v>
      </c>
      <c r="J7" s="54">
        <f>'Scen 2 Budgets'!J7/'Scen 2 MWh Savings'!J7</f>
        <v>313.46412030224536</v>
      </c>
      <c r="K7" s="54">
        <f>'Scen 2 Budgets'!K7/'Scen 2 MWh Savings'!K7</f>
        <v>309.68586621033063</v>
      </c>
      <c r="L7" s="54">
        <f>'Scen 2 Budgets'!L7/'Scen 2 MWh Savings'!L7</f>
        <v>306.1705573866426</v>
      </c>
      <c r="M7" s="54">
        <f>'Scen 2 Budgets'!M7/'Scen 2 MWh Savings'!M7</f>
        <v>306.35887465911111</v>
      </c>
      <c r="N7" s="54">
        <f>'Scen 2 Budgets'!N7/'Scen 2 MWh Savings'!N7</f>
        <v>306.41498164306307</v>
      </c>
      <c r="O7" s="54">
        <f>'Scen 2 Budgets'!O7/'Scen 2 MWh Savings'!O7</f>
        <v>306.89857386187327</v>
      </c>
      <c r="P7" s="54">
        <f>'Scen 2 Budgets'!P7/'Scen 2 MWh Savings'!P7</f>
        <v>310.21785908464926</v>
      </c>
      <c r="Q7" s="54">
        <f>'Scen 2 Budgets'!Q7/'Scen 2 MWh Savings'!Q7</f>
        <v>310.41957258797265</v>
      </c>
      <c r="R7" s="54">
        <f>'Scen 2 Budgets'!R7/'Scen 2 MWh Savings'!R7</f>
        <v>311.31947978457504</v>
      </c>
      <c r="S7" s="54">
        <f>'Scen 2 Budgets'!S7/'Scen 2 MWh Savings'!S7</f>
        <v>309.73817024039266</v>
      </c>
      <c r="T7" s="54">
        <f>'Scen 2 Budgets'!T7/'Scen 2 MWh Savings'!T7</f>
        <v>316.28943473159336</v>
      </c>
      <c r="U7" s="54">
        <f>'Scen 2 Budgets'!U7/'Scen 2 MWh Savings'!U7</f>
        <v>314.78867072031562</v>
      </c>
      <c r="V7" s="54">
        <f>'Scen 2 Budgets'!V7/'Scen 2 MWh Savings'!V7</f>
        <v>269.10739250365941</v>
      </c>
    </row>
    <row r="8" spans="1:22">
      <c r="A8" s="10" t="s">
        <v>10</v>
      </c>
      <c r="B8" s="54">
        <f>'Scen 2 Budgets'!B8/'Scen 2 MWh Savings'!B8</f>
        <v>108.12407123546367</v>
      </c>
      <c r="C8" s="54">
        <f>'Scen 2 Budgets'!C8/'Scen 2 MWh Savings'!C8</f>
        <v>113.23269882965117</v>
      </c>
      <c r="D8" s="54">
        <f>'Scen 2 Budgets'!D8/'Scen 2 MWh Savings'!D8</f>
        <v>115.8859123122798</v>
      </c>
      <c r="E8" s="54">
        <f>'Scen 2 Budgets'!E8/'Scen 2 MWh Savings'!E8</f>
        <v>124.6081818598997</v>
      </c>
      <c r="F8" s="54">
        <f>'Scen 2 Budgets'!F8/'Scen 2 MWh Savings'!F8</f>
        <v>124.03021001475695</v>
      </c>
      <c r="G8" s="54">
        <f>'Scen 2 Budgets'!G8/'Scen 2 MWh Savings'!G8</f>
        <v>140.64896112098114</v>
      </c>
      <c r="H8" s="54">
        <f>'Scen 2 Budgets'!H8/'Scen 2 MWh Savings'!H8</f>
        <v>151.67661844037335</v>
      </c>
      <c r="I8" s="54">
        <f>'Scen 2 Budgets'!I8/'Scen 2 MWh Savings'!I8</f>
        <v>161.85289935233442</v>
      </c>
      <c r="J8" s="54">
        <f>'Scen 2 Budgets'!J8/'Scen 2 MWh Savings'!J8</f>
        <v>178.57491552620692</v>
      </c>
      <c r="K8" s="54">
        <f>'Scen 2 Budgets'!K8/'Scen 2 MWh Savings'!K8</f>
        <v>177.73128704981397</v>
      </c>
      <c r="L8" s="54">
        <f>'Scen 2 Budgets'!L8/'Scen 2 MWh Savings'!L8</f>
        <v>178.39073950684198</v>
      </c>
      <c r="M8" s="54">
        <f>'Scen 2 Budgets'!M8/'Scen 2 MWh Savings'!M8</f>
        <v>177.14649507456505</v>
      </c>
      <c r="N8" s="54">
        <f>'Scen 2 Budgets'!N8/'Scen 2 MWh Savings'!N8</f>
        <v>178.92172920749019</v>
      </c>
      <c r="O8" s="54">
        <f>'Scen 2 Budgets'!O8/'Scen 2 MWh Savings'!O8</f>
        <v>193.5214054167167</v>
      </c>
      <c r="P8" s="54">
        <f>'Scen 2 Budgets'!P8/'Scen 2 MWh Savings'!P8</f>
        <v>196.68223462883796</v>
      </c>
      <c r="Q8" s="54">
        <f>'Scen 2 Budgets'!Q8/'Scen 2 MWh Savings'!Q8</f>
        <v>199.0567853833098</v>
      </c>
      <c r="R8" s="54">
        <f>'Scen 2 Budgets'!R8/'Scen 2 MWh Savings'!R8</f>
        <v>201.25502267437182</v>
      </c>
      <c r="S8" s="54">
        <f>'Scen 2 Budgets'!S8/'Scen 2 MWh Savings'!S8</f>
        <v>204.01557783862685</v>
      </c>
      <c r="T8" s="54">
        <f>'Scen 2 Budgets'!T8/'Scen 2 MWh Savings'!T8</f>
        <v>215.11294199611876</v>
      </c>
      <c r="U8" s="54">
        <f>'Scen 2 Budgets'!U8/'Scen 2 MWh Savings'!U8</f>
        <v>218.28108896494965</v>
      </c>
      <c r="V8" s="54">
        <f>'Scen 2 Budgets'!V8/'Scen 2 MWh Savings'!V8</f>
        <v>177.0576127366752</v>
      </c>
    </row>
    <row r="9" spans="1:22">
      <c r="A9" s="10" t="s">
        <v>11</v>
      </c>
      <c r="B9" s="54">
        <f>'Scen 2 Budgets'!B9/'Scen 2 MWh Savings'!B9</f>
        <v>350.8455223740072</v>
      </c>
      <c r="C9" s="54">
        <f>'Scen 2 Budgets'!C9/'Scen 2 MWh Savings'!C9</f>
        <v>351.84169184325839</v>
      </c>
      <c r="D9" s="54">
        <f>'Scen 2 Budgets'!D9/'Scen 2 MWh Savings'!D9</f>
        <v>351.87002278204619</v>
      </c>
      <c r="E9" s="54">
        <f>'Scen 2 Budgets'!E9/'Scen 2 MWh Savings'!E9</f>
        <v>354.25304325096727</v>
      </c>
      <c r="F9" s="54">
        <f>'Scen 2 Budgets'!F9/'Scen 2 MWh Savings'!F9</f>
        <v>346.67186353060481</v>
      </c>
      <c r="G9" s="54">
        <f>'Scen 2 Budgets'!G9/'Scen 2 MWh Savings'!G9</f>
        <v>344.69090579083235</v>
      </c>
      <c r="H9" s="54">
        <f>'Scen 2 Budgets'!H9/'Scen 2 MWh Savings'!H9</f>
        <v>338.92737126761062</v>
      </c>
      <c r="I9" s="54">
        <f>'Scen 2 Budgets'!I9/'Scen 2 MWh Savings'!I9</f>
        <v>333.94804424571146</v>
      </c>
      <c r="J9" s="54">
        <f>'Scen 2 Budgets'!J9/'Scen 2 MWh Savings'!J9</f>
        <v>324.76844865243856</v>
      </c>
      <c r="K9" s="54">
        <f>'Scen 2 Budgets'!K9/'Scen 2 MWh Savings'!K9</f>
        <v>323.52586240986938</v>
      </c>
      <c r="L9" s="54">
        <f>'Scen 2 Budgets'!L9/'Scen 2 MWh Savings'!L9</f>
        <v>321.56755436164599</v>
      </c>
      <c r="M9" s="54">
        <f>'Scen 2 Budgets'!M9/'Scen 2 MWh Savings'!M9</f>
        <v>320.1435726491265</v>
      </c>
      <c r="N9" s="54">
        <f>'Scen 2 Budgets'!N9/'Scen 2 MWh Savings'!N9</f>
        <v>317.93151898698835</v>
      </c>
      <c r="O9" s="54">
        <f>'Scen 2 Budgets'!O9/'Scen 2 MWh Savings'!O9</f>
        <v>316.79970450441283</v>
      </c>
      <c r="P9" s="54">
        <f>'Scen 2 Budgets'!P9/'Scen 2 MWh Savings'!P9</f>
        <v>314.83687793801749</v>
      </c>
      <c r="Q9" s="54">
        <f>'Scen 2 Budgets'!Q9/'Scen 2 MWh Savings'!Q9</f>
        <v>312.98639264202768</v>
      </c>
      <c r="R9" s="54">
        <f>'Scen 2 Budgets'!R9/'Scen 2 MWh Savings'!R9</f>
        <v>309.08011188463348</v>
      </c>
      <c r="S9" s="54">
        <f>'Scen 2 Budgets'!S9/'Scen 2 MWh Savings'!S9</f>
        <v>307.26012253080302</v>
      </c>
      <c r="T9" s="54">
        <f>'Scen 2 Budgets'!T9/'Scen 2 MWh Savings'!T9</f>
        <v>305.50319982538718</v>
      </c>
      <c r="U9" s="54">
        <f>'Scen 2 Budgets'!U9/'Scen 2 MWh Savings'!U9</f>
        <v>303.24887195831911</v>
      </c>
      <c r="V9" s="54">
        <f>'Scen 2 Budgets'!V9/'Scen 2 MWh Savings'!V9</f>
        <v>325.64362121190703</v>
      </c>
    </row>
    <row r="10" spans="1:22">
      <c r="A10" s="2" t="s">
        <v>12</v>
      </c>
      <c r="B10" s="54">
        <f>'Scen 2 Budgets'!B10/'Scen 2 MWh Savings'!B10</f>
        <v>253.29007446984366</v>
      </c>
      <c r="C10" s="54">
        <f>'Scen 2 Budgets'!C10/'Scen 2 MWh Savings'!C10</f>
        <v>255.1293646674325</v>
      </c>
      <c r="D10" s="54">
        <f>'Scen 2 Budgets'!D10/'Scen 2 MWh Savings'!D10</f>
        <v>255.70870156056489</v>
      </c>
      <c r="E10" s="54">
        <f>'Scen 2 Budgets'!E10/'Scen 2 MWh Savings'!E10</f>
        <v>259.26402404444963</v>
      </c>
      <c r="F10" s="54">
        <f>'Scen 2 Budgets'!F10/'Scen 2 MWh Savings'!F10</f>
        <v>259.70375521230289</v>
      </c>
      <c r="G10" s="54">
        <f>'Scen 2 Budgets'!G10/'Scen 2 MWh Savings'!G10</f>
        <v>264.12787864601876</v>
      </c>
      <c r="H10" s="54">
        <f>'Scen 2 Budgets'!H10/'Scen 2 MWh Savings'!H10</f>
        <v>262.52852428969999</v>
      </c>
      <c r="I10" s="54">
        <f>'Scen 2 Budgets'!I10/'Scen 2 MWh Savings'!I10</f>
        <v>258.65736603069229</v>
      </c>
      <c r="J10" s="54">
        <f>'Scen 2 Budgets'!J10/'Scen 2 MWh Savings'!J10</f>
        <v>256.59805762612126</v>
      </c>
      <c r="K10" s="54">
        <f>'Scen 2 Budgets'!K10/'Scen 2 MWh Savings'!K10</f>
        <v>256.64327756602876</v>
      </c>
      <c r="L10" s="54">
        <f>'Scen 2 Budgets'!L10/'Scen 2 MWh Savings'!L10</f>
        <v>254.90071740689629</v>
      </c>
      <c r="M10" s="54">
        <f>'Scen 2 Budgets'!M10/'Scen 2 MWh Savings'!M10</f>
        <v>254.48705067788171</v>
      </c>
      <c r="N10" s="54">
        <f>'Scen 2 Budgets'!N10/'Scen 2 MWh Savings'!N10</f>
        <v>252.73901599740648</v>
      </c>
      <c r="O10" s="54">
        <f>'Scen 2 Budgets'!O10/'Scen 2 MWh Savings'!O10</f>
        <v>252.32223465812629</v>
      </c>
      <c r="P10" s="54">
        <f>'Scen 2 Budgets'!P10/'Scen 2 MWh Savings'!P10</f>
        <v>251.43431325059643</v>
      </c>
      <c r="Q10" s="54">
        <f>'Scen 2 Budgets'!Q10/'Scen 2 MWh Savings'!Q10</f>
        <v>250.62165846128238</v>
      </c>
      <c r="R10" s="54">
        <f>'Scen 2 Budgets'!R10/'Scen 2 MWh Savings'!R10</f>
        <v>248.82936950731485</v>
      </c>
      <c r="S10" s="54">
        <f>'Scen 2 Budgets'!S10/'Scen 2 MWh Savings'!S10</f>
        <v>248.33458405060094</v>
      </c>
      <c r="T10" s="54">
        <f>'Scen 2 Budgets'!T10/'Scen 2 MWh Savings'!T10</f>
        <v>247.5123533678443</v>
      </c>
      <c r="U10" s="54">
        <f>'Scen 2 Budgets'!U10/'Scen 2 MWh Savings'!U10</f>
        <v>246.47779140180347</v>
      </c>
      <c r="V10" s="54">
        <f>'Scen 2 Budgets'!V10/'Scen 2 MWh Savings'!V10</f>
        <v>254.19696506663931</v>
      </c>
    </row>
    <row r="11" spans="1:22">
      <c r="A11" s="2" t="s">
        <v>13</v>
      </c>
      <c r="B11" s="55">
        <f>'Scen 2 Budgets'!B11/'Scen 2 MWh Savings'!B11</f>
        <v>180.97793518351244</v>
      </c>
      <c r="C11" s="55">
        <f>'Scen 2 Budgets'!C11/'Scen 2 MWh Savings'!C11</f>
        <v>188.70202617229788</v>
      </c>
      <c r="D11" s="55">
        <f>'Scen 2 Budgets'!D11/'Scen 2 MWh Savings'!D11</f>
        <v>195.51930704545276</v>
      </c>
      <c r="E11" s="55">
        <f>'Scen 2 Budgets'!E11/'Scen 2 MWh Savings'!E11</f>
        <v>206.28087445366253</v>
      </c>
      <c r="F11" s="55">
        <f>'Scen 2 Budgets'!F11/'Scen 2 MWh Savings'!F11</f>
        <v>203.5094906777405</v>
      </c>
      <c r="G11" s="55">
        <f>'Scen 2 Budgets'!G11/'Scen 2 MWh Savings'!G11</f>
        <v>209.89478211840515</v>
      </c>
      <c r="H11" s="55">
        <f>'Scen 2 Budgets'!H11/'Scen 2 MWh Savings'!H11</f>
        <v>212.6516408362246</v>
      </c>
      <c r="I11" s="55">
        <f>'Scen 2 Budgets'!I11/'Scen 2 MWh Savings'!I11</f>
        <v>217.98538340354801</v>
      </c>
      <c r="J11" s="55">
        <f>'Scen 2 Budgets'!J11/'Scen 2 MWh Savings'!J11</f>
        <v>225.77122060866739</v>
      </c>
      <c r="K11" s="55">
        <f>'Scen 2 Budgets'!K11/'Scen 2 MWh Savings'!K11</f>
        <v>227.48846061213931</v>
      </c>
      <c r="L11" s="55">
        <f>'Scen 2 Budgets'!L11/'Scen 2 MWh Savings'!L11</f>
        <v>227.94830482539902</v>
      </c>
      <c r="M11" s="55">
        <f>'Scen 2 Budgets'!M11/'Scen 2 MWh Savings'!M11</f>
        <v>229.29151057394611</v>
      </c>
      <c r="N11" s="55">
        <f>'Scen 2 Budgets'!N11/'Scen 2 MWh Savings'!N11</f>
        <v>228.32114532565393</v>
      </c>
      <c r="O11" s="55">
        <f>'Scen 2 Budgets'!O11/'Scen 2 MWh Savings'!O11</f>
        <v>236.61453117816589</v>
      </c>
      <c r="P11" s="55">
        <f>'Scen 2 Budgets'!P11/'Scen 2 MWh Savings'!P11</f>
        <v>239.39566566580365</v>
      </c>
      <c r="Q11" s="55">
        <f>'Scen 2 Budgets'!Q11/'Scen 2 MWh Savings'!Q11</f>
        <v>240.27627050918693</v>
      </c>
      <c r="R11" s="55">
        <f>'Scen 2 Budgets'!R11/'Scen 2 MWh Savings'!R11</f>
        <v>241.3227482898769</v>
      </c>
      <c r="S11" s="55">
        <f>'Scen 2 Budgets'!S11/'Scen 2 MWh Savings'!S11</f>
        <v>245.42974115517183</v>
      </c>
      <c r="T11" s="55">
        <f>'Scen 2 Budgets'!T11/'Scen 2 MWh Savings'!T11</f>
        <v>250.1331867190637</v>
      </c>
      <c r="U11" s="55">
        <f>'Scen 2 Budgets'!U11/'Scen 2 MWh Savings'!U11</f>
        <v>250.93948140560298</v>
      </c>
      <c r="V11" s="55">
        <f>'Scen 2 Budgets'!V11/'Scen 2 MWh Savings'!V11</f>
        <v>227.99369181592439</v>
      </c>
    </row>
    <row r="12" spans="1:22">
      <c r="A12" s="8" t="s">
        <v>15</v>
      </c>
      <c r="B12" s="56">
        <f>'Scen 2 Budgets'!B12/'Scen 2 MWh Savings'!B12</f>
        <v>202.52474176128052</v>
      </c>
      <c r="C12" s="56">
        <f>'Scen 2 Budgets'!C12/'Scen 2 MWh Savings'!C12</f>
        <v>205.47268106497148</v>
      </c>
      <c r="D12" s="56">
        <f>'Scen 2 Budgets'!D12/'Scen 2 MWh Savings'!D12</f>
        <v>207.54732849679127</v>
      </c>
      <c r="E12" s="56">
        <f>'Scen 2 Budgets'!E12/'Scen 2 MWh Savings'!E12</f>
        <v>222.36840055353386</v>
      </c>
      <c r="F12" s="56">
        <f>'Scen 2 Budgets'!F12/'Scen 2 MWh Savings'!F12</f>
        <v>208.30608246102076</v>
      </c>
      <c r="G12" s="56">
        <f>'Scen 2 Budgets'!G12/'Scen 2 MWh Savings'!G12</f>
        <v>249.94190300593147</v>
      </c>
      <c r="H12" s="56">
        <f>'Scen 2 Budgets'!H12/'Scen 2 MWh Savings'!H12</f>
        <v>257.04368135058365</v>
      </c>
      <c r="I12" s="56">
        <f>'Scen 2 Budgets'!I12/'Scen 2 MWh Savings'!I12</f>
        <v>253.82560018152992</v>
      </c>
      <c r="J12" s="56">
        <f>'Scen 2 Budgets'!J12/'Scen 2 MWh Savings'!J12</f>
        <v>252.41609862654559</v>
      </c>
      <c r="K12" s="56">
        <f>'Scen 2 Budgets'!K12/'Scen 2 MWh Savings'!K12</f>
        <v>250.59633041834073</v>
      </c>
      <c r="L12" s="56">
        <f>'Scen 2 Budgets'!L12/'Scen 2 MWh Savings'!L12</f>
        <v>248.63859605123844</v>
      </c>
      <c r="M12" s="56">
        <f>'Scen 2 Budgets'!M12/'Scen 2 MWh Savings'!M12</f>
        <v>246.72593710159418</v>
      </c>
      <c r="N12" s="56">
        <f>'Scen 2 Budgets'!N12/'Scen 2 MWh Savings'!N12</f>
        <v>246.02868947078596</v>
      </c>
      <c r="O12" s="56">
        <f>'Scen 2 Budgets'!O12/'Scen 2 MWh Savings'!O12</f>
        <v>253.11002398551454</v>
      </c>
      <c r="P12" s="56">
        <f>'Scen 2 Budgets'!P12/'Scen 2 MWh Savings'!P12</f>
        <v>254.59131249888577</v>
      </c>
      <c r="Q12" s="56">
        <f>'Scen 2 Budgets'!Q12/'Scen 2 MWh Savings'!Q12</f>
        <v>254.5448692683068</v>
      </c>
      <c r="R12" s="56">
        <f>'Scen 2 Budgets'!R12/'Scen 2 MWh Savings'!R12</f>
        <v>254.60715242902805</v>
      </c>
      <c r="S12" s="56">
        <f>'Scen 2 Budgets'!S12/'Scen 2 MWh Savings'!S12</f>
        <v>254.8634170142812</v>
      </c>
      <c r="T12" s="56">
        <f>'Scen 2 Budgets'!T12/'Scen 2 MWh Savings'!T12</f>
        <v>261.0551041990737</v>
      </c>
      <c r="U12" s="56">
        <f>'Scen 2 Budgets'!U12/'Scen 2 MWh Savings'!U12</f>
        <v>261.3761062348089</v>
      </c>
      <c r="V12" s="56">
        <f>'Scen 2 Budgets'!V12/'Scen 2 MWh Savings'!V12</f>
        <v>241.44742564711407</v>
      </c>
    </row>
    <row r="14" spans="1:22">
      <c r="A14" s="50" t="s">
        <v>3</v>
      </c>
    </row>
    <row r="15" spans="1:22">
      <c r="A15" s="2" t="s">
        <v>7</v>
      </c>
      <c r="B15" s="54">
        <f>'Scen 2 Budgets'!B15/'Scen 2 MWh Savings'!B15</f>
        <v>125.25363426254629</v>
      </c>
      <c r="C15" s="54">
        <f>'Scen 2 Budgets'!C15/'Scen 2 MWh Savings'!C15</f>
        <v>126.31405490079737</v>
      </c>
      <c r="D15" s="54">
        <f>'Scen 2 Budgets'!D15/'Scen 2 MWh Savings'!D15</f>
        <v>129.97745331105648</v>
      </c>
      <c r="E15" s="54">
        <f>'Scen 2 Budgets'!E15/'Scen 2 MWh Savings'!E15</f>
        <v>135.37611038108491</v>
      </c>
      <c r="F15" s="54">
        <f>'Scen 2 Budgets'!F15/'Scen 2 MWh Savings'!F15</f>
        <v>132.87863694977119</v>
      </c>
      <c r="G15" s="54">
        <f>'Scen 2 Budgets'!G15/'Scen 2 MWh Savings'!G15</f>
        <v>135.3061213962213</v>
      </c>
      <c r="H15" s="54">
        <f>'Scen 2 Budgets'!H15/'Scen 2 MWh Savings'!H15</f>
        <v>141.44913475113123</v>
      </c>
      <c r="I15" s="54">
        <f>'Scen 2 Budgets'!I15/'Scen 2 MWh Savings'!I15</f>
        <v>144.48118601515418</v>
      </c>
      <c r="J15" s="54">
        <f>'Scen 2 Budgets'!J15/'Scen 2 MWh Savings'!J15</f>
        <v>147.79082785369573</v>
      </c>
      <c r="K15" s="54">
        <f>'Scen 2 Budgets'!K15/'Scen 2 MWh Savings'!K15</f>
        <v>146.3795495195296</v>
      </c>
      <c r="L15" s="54">
        <f>'Scen 2 Budgets'!L15/'Scen 2 MWh Savings'!L15</f>
        <v>149.69515150929593</v>
      </c>
      <c r="M15" s="54">
        <f>'Scen 2 Budgets'!M15/'Scen 2 MWh Savings'!M15</f>
        <v>153.05173078880975</v>
      </c>
      <c r="N15" s="54">
        <f>'Scen 2 Budgets'!N15/'Scen 2 MWh Savings'!N15</f>
        <v>156.2926758663265</v>
      </c>
      <c r="O15" s="54">
        <f>'Scen 2 Budgets'!O15/'Scen 2 MWh Savings'!O15</f>
        <v>158.99347094352282</v>
      </c>
      <c r="P15" s="54">
        <f>'Scen 2 Budgets'!P15/'Scen 2 MWh Savings'!P15</f>
        <v>157.14545720990995</v>
      </c>
      <c r="Q15" s="54">
        <f>'Scen 2 Budgets'!Q15/'Scen 2 MWh Savings'!Q15</f>
        <v>160.39538109542241</v>
      </c>
      <c r="R15" s="54">
        <f>'Scen 2 Budgets'!R15/'Scen 2 MWh Savings'!R15</f>
        <v>163.89820080928496</v>
      </c>
      <c r="S15" s="54">
        <f>'Scen 2 Budgets'!S15/'Scen 2 MWh Savings'!S15</f>
        <v>167.80791465520994</v>
      </c>
      <c r="T15" s="54">
        <f>'Scen 2 Budgets'!T15/'Scen 2 MWh Savings'!T15</f>
        <v>171.50186299095563</v>
      </c>
      <c r="U15" s="54">
        <f>'Scen 2 Budgets'!U15/'Scen 2 MWh Savings'!U15</f>
        <v>171.27074094998949</v>
      </c>
      <c r="V15" s="54">
        <f>'Scen 2 Budgets'!V15/'Scen 2 MWh Savings'!V15</f>
        <v>146.99094454029924</v>
      </c>
    </row>
    <row r="16" spans="1:22">
      <c r="A16" s="2" t="s">
        <v>6</v>
      </c>
      <c r="B16" s="54">
        <f>'Scen 2 Budgets'!B16/'Scen 2 MWh Savings'!B16</f>
        <v>277.09680137086957</v>
      </c>
      <c r="C16" s="54">
        <f>'Scen 2 Budgets'!C16/'Scen 2 MWh Savings'!C16</f>
        <v>298.40165445965584</v>
      </c>
      <c r="D16" s="54">
        <f>'Scen 2 Budgets'!D16/'Scen 2 MWh Savings'!D16</f>
        <v>322.70183464436224</v>
      </c>
      <c r="E16" s="54">
        <f>'Scen 2 Budgets'!E16/'Scen 2 MWh Savings'!E16</f>
        <v>356.44579840384387</v>
      </c>
      <c r="F16" s="54">
        <f>'Scen 2 Budgets'!F16/'Scen 2 MWh Savings'!F16</f>
        <v>354.702023678827</v>
      </c>
      <c r="G16" s="54">
        <f>'Scen 2 Budgets'!G16/'Scen 2 MWh Savings'!G16</f>
        <v>366.86326787640337</v>
      </c>
      <c r="H16" s="54">
        <f>'Scen 2 Budgets'!H16/'Scen 2 MWh Savings'!H16</f>
        <v>383.5191593753238</v>
      </c>
      <c r="I16" s="54">
        <f>'Scen 2 Budgets'!I16/'Scen 2 MWh Savings'!I16</f>
        <v>391.74015245882242</v>
      </c>
      <c r="J16" s="54">
        <f>'Scen 2 Budgets'!J16/'Scen 2 MWh Savings'!J16</f>
        <v>400.71376677182917</v>
      </c>
      <c r="K16" s="54">
        <f>'Scen 2 Budgets'!K16/'Scen 2 MWh Savings'!K16</f>
        <v>396.88728049001708</v>
      </c>
      <c r="L16" s="54">
        <f>'Scen 2 Budgets'!L16/'Scen 2 MWh Savings'!L16</f>
        <v>405.87706598569179</v>
      </c>
      <c r="M16" s="54">
        <f>'Scen 2 Budgets'!M16/'Scen 2 MWh Savings'!M16</f>
        <v>414.97795580140024</v>
      </c>
      <c r="N16" s="54">
        <f>'Scen 2 Budgets'!N16/'Scen 2 MWh Savings'!N16</f>
        <v>423.76531498032369</v>
      </c>
      <c r="O16" s="54">
        <f>'Scen 2 Budgets'!O16/'Scen 2 MWh Savings'!O16</f>
        <v>431.08814357857125</v>
      </c>
      <c r="P16" s="54">
        <f>'Scen 2 Budgets'!P16/'Scen 2 MWh Savings'!P16</f>
        <v>426.07749936849683</v>
      </c>
      <c r="Q16" s="54">
        <f>'Scen 2 Budgets'!Q16/'Scen 2 MWh Savings'!Q16</f>
        <v>434.88921714696545</v>
      </c>
      <c r="R16" s="54">
        <f>'Scen 2 Budgets'!R16/'Scen 2 MWh Savings'!R16</f>
        <v>444.38660909123212</v>
      </c>
      <c r="S16" s="54">
        <f>'Scen 2 Budgets'!S16/'Scen 2 MWh Savings'!S16</f>
        <v>454.98723482013662</v>
      </c>
      <c r="T16" s="54">
        <f>'Scen 2 Budgets'!T16/'Scen 2 MWh Savings'!T16</f>
        <v>465.00285721749316</v>
      </c>
      <c r="U16" s="54">
        <f>'Scen 2 Budgets'!U16/'Scen 2 MWh Savings'!U16</f>
        <v>464.37621969558444</v>
      </c>
      <c r="V16" s="54">
        <f>'Scen 2 Budgets'!V16/'Scen 2 MWh Savings'!V16</f>
        <v>384.8633206363134</v>
      </c>
    </row>
    <row r="17" spans="1:22">
      <c r="A17" s="2" t="s">
        <v>5</v>
      </c>
      <c r="B17" s="55">
        <f>'Scen 2 Budgets'!B17/'Scen 2 MWh Savings'!B17</f>
        <v>252.41844008855048</v>
      </c>
      <c r="C17" s="55">
        <f>'Scen 2 Budgets'!C17/'Scen 2 MWh Savings'!C17</f>
        <v>258.21441908868206</v>
      </c>
      <c r="D17" s="55">
        <f>'Scen 2 Budgets'!D17/'Scen 2 MWh Savings'!D17</f>
        <v>270.05270626594984</v>
      </c>
      <c r="E17" s="55">
        <f>'Scen 2 Budgets'!E17/'Scen 2 MWh Savings'!E17</f>
        <v>264.46996347732772</v>
      </c>
      <c r="F17" s="55">
        <f>'Scen 2 Budgets'!F17/'Scen 2 MWh Savings'!F17</f>
        <v>269.25415136860647</v>
      </c>
      <c r="G17" s="55">
        <f>'Scen 2 Budgets'!G17/'Scen 2 MWh Savings'!G17</f>
        <v>273.24250685667596</v>
      </c>
      <c r="H17" s="55">
        <f>'Scen 2 Budgets'!H17/'Scen 2 MWh Savings'!H17</f>
        <v>284.29618089040912</v>
      </c>
      <c r="I17" s="55">
        <f>'Scen 2 Budgets'!I17/'Scen 2 MWh Savings'!I17</f>
        <v>290.39736628126451</v>
      </c>
      <c r="J17" s="55">
        <f>'Scen 2 Budgets'!J17/'Scen 2 MWh Savings'!J17</f>
        <v>294.47462678042098</v>
      </c>
      <c r="K17" s="55">
        <f>'Scen 2 Budgets'!K17/'Scen 2 MWh Savings'!K17</f>
        <v>292.43214273212112</v>
      </c>
      <c r="L17" s="55">
        <f>'Scen 2 Budgets'!L17/'Scen 2 MWh Savings'!L17</f>
        <v>298.75510034044009</v>
      </c>
      <c r="M17" s="55">
        <f>'Scen 2 Budgets'!M17/'Scen 2 MWh Savings'!M17</f>
        <v>304.17309223567901</v>
      </c>
      <c r="N17" s="55">
        <f>'Scen 2 Budgets'!N17/'Scen 2 MWh Savings'!N17</f>
        <v>310.06500720374657</v>
      </c>
      <c r="O17" s="55">
        <f>'Scen 2 Budgets'!O17/'Scen 2 MWh Savings'!O17</f>
        <v>313.01705638468991</v>
      </c>
      <c r="P17" s="55">
        <f>'Scen 2 Budgets'!P17/'Scen 2 MWh Savings'!P17</f>
        <v>310.17727398963672</v>
      </c>
      <c r="Q17" s="55">
        <f>'Scen 2 Budgets'!Q17/'Scen 2 MWh Savings'!Q17</f>
        <v>316.06081151672356</v>
      </c>
      <c r="R17" s="55">
        <f>'Scen 2 Budgets'!R17/'Scen 2 MWh Savings'!R17</f>
        <v>322.41203842253708</v>
      </c>
      <c r="S17" s="55">
        <f>'Scen 2 Budgets'!S17/'Scen 2 MWh Savings'!S17</f>
        <v>329.38781129403128</v>
      </c>
      <c r="T17" s="55">
        <f>'Scen 2 Budgets'!T17/'Scen 2 MWh Savings'!T17</f>
        <v>334.22361597184624</v>
      </c>
      <c r="U17" s="55">
        <f>'Scen 2 Budgets'!U17/'Scen 2 MWh Savings'!U17</f>
        <v>335.01438775549565</v>
      </c>
      <c r="V17" s="55">
        <f>'Scen 2 Budgets'!V17/'Scen 2 MWh Savings'!V17</f>
        <v>294.90933244852096</v>
      </c>
    </row>
    <row r="18" spans="1:22">
      <c r="A18" s="8" t="s">
        <v>16</v>
      </c>
      <c r="B18" s="56">
        <f>'Scen 2 Budgets'!B18/'Scen 2 MWh Savings'!B18</f>
        <v>237.67784782745753</v>
      </c>
      <c r="C18" s="56">
        <f>'Scen 2 Budgets'!C18/'Scen 2 MWh Savings'!C18</f>
        <v>247.69166907444534</v>
      </c>
      <c r="D18" s="56">
        <f>'Scen 2 Budgets'!D18/'Scen 2 MWh Savings'!D18</f>
        <v>262.14215484808142</v>
      </c>
      <c r="E18" s="56">
        <f>'Scen 2 Budgets'!E18/'Scen 2 MWh Savings'!E18</f>
        <v>270.65371380846869</v>
      </c>
      <c r="F18" s="56">
        <f>'Scen 2 Budgets'!F18/'Scen 2 MWh Savings'!F18</f>
        <v>271.89594621633813</v>
      </c>
      <c r="G18" s="56">
        <f>'Scen 2 Budgets'!G18/'Scen 2 MWh Savings'!G18</f>
        <v>277.9517145026702</v>
      </c>
      <c r="H18" s="56">
        <f>'Scen 2 Budgets'!H18/'Scen 2 MWh Savings'!H18</f>
        <v>289.79808715054662</v>
      </c>
      <c r="I18" s="56">
        <f>'Scen 2 Budgets'!I18/'Scen 2 MWh Savings'!I18</f>
        <v>295.94732659006263</v>
      </c>
      <c r="J18" s="56">
        <f>'Scen 2 Budgets'!J18/'Scen 2 MWh Savings'!J18</f>
        <v>299.66688181721673</v>
      </c>
      <c r="K18" s="56">
        <f>'Scen 2 Budgets'!K18/'Scen 2 MWh Savings'!K18</f>
        <v>297.67766156126089</v>
      </c>
      <c r="L18" s="56">
        <f>'Scen 2 Budgets'!L18/'Scen 2 MWh Savings'!L18</f>
        <v>303.77594431729977</v>
      </c>
      <c r="M18" s="56">
        <f>'Scen 2 Budgets'!M18/'Scen 2 MWh Savings'!M18</f>
        <v>309.68223507800678</v>
      </c>
      <c r="N18" s="56">
        <f>'Scen 2 Budgets'!N18/'Scen 2 MWh Savings'!N18</f>
        <v>315.15192968306076</v>
      </c>
      <c r="O18" s="56">
        <f>'Scen 2 Budgets'!O18/'Scen 2 MWh Savings'!O18</f>
        <v>316.95000650560542</v>
      </c>
      <c r="P18" s="56">
        <f>'Scen 2 Budgets'!P18/'Scen 2 MWh Savings'!P18</f>
        <v>314.22036892200953</v>
      </c>
      <c r="Q18" s="56">
        <f>'Scen 2 Budgets'!Q18/'Scen 2 MWh Savings'!Q18</f>
        <v>319.93233737259595</v>
      </c>
      <c r="R18" s="56">
        <f>'Scen 2 Budgets'!R18/'Scen 2 MWh Savings'!R18</f>
        <v>326.17814850262414</v>
      </c>
      <c r="S18" s="56">
        <f>'Scen 2 Budgets'!S18/'Scen 2 MWh Savings'!S18</f>
        <v>332.91483944772472</v>
      </c>
      <c r="T18" s="56">
        <f>'Scen 2 Budgets'!T18/'Scen 2 MWh Savings'!T18</f>
        <v>336.806291987767</v>
      </c>
      <c r="U18" s="56">
        <f>'Scen 2 Budgets'!U18/'Scen 2 MWh Savings'!U18</f>
        <v>337.26271731674086</v>
      </c>
      <c r="V18" s="56">
        <f>'Scen 2 Budgets'!V18/'Scen 2 MWh Savings'!V18</f>
        <v>295.21498925055243</v>
      </c>
    </row>
    <row r="19" spans="1:22">
      <c r="A19" s="8"/>
    </row>
    <row r="20" spans="1:22" s="4" customFormat="1">
      <c r="A20" s="3" t="s">
        <v>4</v>
      </c>
      <c r="B20" s="56">
        <f>'Scen 2 Budgets'!B20/'Scen 2 MWh Savings'!B20</f>
        <v>224.08100631502916</v>
      </c>
      <c r="C20" s="56">
        <f>'Scen 2 Budgets'!C20/'Scen 2 MWh Savings'!C20</f>
        <v>230.13545294309048</v>
      </c>
      <c r="D20" s="56">
        <f>'Scen 2 Budgets'!D20/'Scen 2 MWh Savings'!D20</f>
        <v>238.20937920810718</v>
      </c>
      <c r="E20" s="56">
        <f>'Scen 2 Budgets'!E20/'Scen 2 MWh Savings'!E20</f>
        <v>248.8889917502504</v>
      </c>
      <c r="F20" s="56">
        <f>'Scen 2 Budgets'!F20/'Scen 2 MWh Savings'!F20</f>
        <v>242.33780097770824</v>
      </c>
      <c r="G20" s="56">
        <f>'Scen 2 Budgets'!G20/'Scen 2 MWh Savings'!G20</f>
        <v>266.42656237718813</v>
      </c>
      <c r="H20" s="56">
        <f>'Scen 2 Budgets'!H20/'Scen 2 MWh Savings'!H20</f>
        <v>276.63408638514716</v>
      </c>
      <c r="I20" s="56">
        <f>'Scen 2 Budgets'!I20/'Scen 2 MWh Savings'!I20</f>
        <v>279.13148465217006</v>
      </c>
      <c r="J20" s="56">
        <f>'Scen 2 Budgets'!J20/'Scen 2 MWh Savings'!J20</f>
        <v>279.6597038805873</v>
      </c>
      <c r="K20" s="56">
        <f>'Scen 2 Budgets'!K20/'Scen 2 MWh Savings'!K20</f>
        <v>277.78264578576005</v>
      </c>
      <c r="L20" s="56">
        <f>'Scen 2 Budgets'!L20/'Scen 2 MWh Savings'!L20</f>
        <v>280.07267262882556</v>
      </c>
      <c r="M20" s="56">
        <f>'Scen 2 Budgets'!M20/'Scen 2 MWh Savings'!M20</f>
        <v>282.27229855478197</v>
      </c>
      <c r="N20" s="56">
        <f>'Scen 2 Budgets'!N20/'Scen 2 MWh Savings'!N20</f>
        <v>284.6139146537181</v>
      </c>
      <c r="O20" s="56">
        <f>'Scen 2 Budgets'!O20/'Scen 2 MWh Savings'!O20</f>
        <v>286.94677224987322</v>
      </c>
      <c r="P20" s="56">
        <f>'Scen 2 Budgets'!P20/'Scen 2 MWh Savings'!P20</f>
        <v>286.45125620970174</v>
      </c>
      <c r="Q20" s="56">
        <f>'Scen 2 Budgets'!Q20/'Scen 2 MWh Savings'!Q20</f>
        <v>289.15737947294241</v>
      </c>
      <c r="R20" s="56">
        <f>'Scen 2 Budgets'!R20/'Scen 2 MWh Savings'!R20</f>
        <v>292.14099924493581</v>
      </c>
      <c r="S20" s="56">
        <f>'Scen 2 Budgets'!S20/'Scen 2 MWh Savings'!S20</f>
        <v>295.36499375622577</v>
      </c>
      <c r="T20" s="56">
        <f>'Scen 2 Budgets'!T20/'Scen 2 MWh Savings'!T20</f>
        <v>298.83745398401902</v>
      </c>
      <c r="U20" s="56">
        <f>'Scen 2 Budgets'!U20/'Scen 2 MWh Savings'!U20</f>
        <v>299.18598799742136</v>
      </c>
      <c r="V20" s="56">
        <f>'Scen 2 Budgets'!V20/'Scen 2 MWh Savings'!V20</f>
        <v>271.36156021206006</v>
      </c>
    </row>
    <row r="21" spans="1:22">
      <c r="A21" s="1"/>
    </row>
    <row r="22" spans="1:22">
      <c r="A22" s="62" t="s">
        <v>28</v>
      </c>
      <c r="B22" s="6">
        <v>2015</v>
      </c>
      <c r="C22" s="6">
        <f>B22+1</f>
        <v>2016</v>
      </c>
      <c r="D22" s="6">
        <f t="shared" ref="D22:U22" si="1">C22+1</f>
        <v>2017</v>
      </c>
      <c r="E22" s="6">
        <f t="shared" si="1"/>
        <v>2018</v>
      </c>
      <c r="F22" s="6">
        <f t="shared" si="1"/>
        <v>2019</v>
      </c>
      <c r="G22" s="6">
        <f t="shared" si="1"/>
        <v>2020</v>
      </c>
      <c r="H22" s="6">
        <f t="shared" si="1"/>
        <v>2021</v>
      </c>
      <c r="I22" s="6">
        <f t="shared" si="1"/>
        <v>2022</v>
      </c>
      <c r="J22" s="6">
        <f t="shared" si="1"/>
        <v>2023</v>
      </c>
      <c r="K22" s="6">
        <f t="shared" si="1"/>
        <v>2024</v>
      </c>
      <c r="L22" s="6">
        <f t="shared" si="1"/>
        <v>2025</v>
      </c>
      <c r="M22" s="6">
        <f t="shared" si="1"/>
        <v>2026</v>
      </c>
      <c r="N22" s="6">
        <f t="shared" si="1"/>
        <v>2027</v>
      </c>
      <c r="O22" s="6">
        <f t="shared" si="1"/>
        <v>2028</v>
      </c>
      <c r="P22" s="6">
        <f t="shared" si="1"/>
        <v>2029</v>
      </c>
      <c r="Q22" s="6">
        <f t="shared" si="1"/>
        <v>2030</v>
      </c>
      <c r="R22" s="6">
        <f t="shared" si="1"/>
        <v>2031</v>
      </c>
      <c r="S22" s="6">
        <f t="shared" si="1"/>
        <v>2032</v>
      </c>
      <c r="T22" s="6">
        <f t="shared" si="1"/>
        <v>2033</v>
      </c>
      <c r="U22" s="6">
        <f t="shared" si="1"/>
        <v>2034</v>
      </c>
      <c r="V22" s="6" t="s">
        <v>14</v>
      </c>
    </row>
    <row r="23" spans="1:22">
      <c r="A23" s="50" t="s">
        <v>2</v>
      </c>
    </row>
    <row r="24" spans="1:22">
      <c r="A24" s="9" t="s">
        <v>8</v>
      </c>
      <c r="B24" s="54">
        <f>'Scen 2 Budgets'!B42/'Scen 2 MWh Savings'!B6</f>
        <v>2270.9203644455297</v>
      </c>
      <c r="C24" s="54">
        <f>'Scen 2 Budgets'!C42/'Scen 2 MWh Savings'!C6</f>
        <v>2257.3388859664096</v>
      </c>
      <c r="D24" s="54">
        <f>'Scen 2 Budgets'!D42/'Scen 2 MWh Savings'!D6</f>
        <v>2126.3492557092904</v>
      </c>
      <c r="E24" s="54">
        <f>'Scen 2 Budgets'!E42/'Scen 2 MWh Savings'!E6</f>
        <v>2329.5501682422937</v>
      </c>
      <c r="F24" s="54">
        <f>'Scen 2 Budgets'!F42/'Scen 2 MWh Savings'!F6</f>
        <v>2415.2244332330624</v>
      </c>
      <c r="G24" s="54">
        <f>'Scen 2 Budgets'!G42/'Scen 2 MWh Savings'!G6</f>
        <v>2723.451316459189</v>
      </c>
      <c r="H24" s="54">
        <f>'Scen 2 Budgets'!H42/'Scen 2 MWh Savings'!H6</f>
        <v>2637.8510243516212</v>
      </c>
      <c r="I24" s="54">
        <f>'Scen 2 Budgets'!I42/'Scen 2 MWh Savings'!I6</f>
        <v>2617.1823646707362</v>
      </c>
      <c r="J24" s="54">
        <f>'Scen 2 Budgets'!J42/'Scen 2 MWh Savings'!J6</f>
        <v>2621.8896029583038</v>
      </c>
      <c r="K24" s="54">
        <f>'Scen 2 Budgets'!K42/'Scen 2 MWh Savings'!K6</f>
        <v>2536.6172513750512</v>
      </c>
      <c r="L24" s="54">
        <f>'Scen 2 Budgets'!L42/'Scen 2 MWh Savings'!L6</f>
        <v>2554.9545888695002</v>
      </c>
      <c r="M24" s="54">
        <f>'Scen 2 Budgets'!M42/'Scen 2 MWh Savings'!M6</f>
        <v>2570.594733750575</v>
      </c>
      <c r="N24" s="54">
        <f>'Scen 2 Budgets'!N42/'Scen 2 MWh Savings'!N6</f>
        <v>2506.5675511212471</v>
      </c>
      <c r="O24" s="54">
        <f>'Scen 2 Budgets'!O42/'Scen 2 MWh Savings'!O6</f>
        <v>2546.1936345791328</v>
      </c>
      <c r="P24" s="54">
        <f>'Scen 2 Budgets'!P42/'Scen 2 MWh Savings'!P6</f>
        <v>2560.6755716611465</v>
      </c>
      <c r="Q24" s="54">
        <f>'Scen 2 Budgets'!Q42/'Scen 2 MWh Savings'!Q6</f>
        <v>2505.7273034437067</v>
      </c>
      <c r="R24" s="54">
        <f>'Scen 2 Budgets'!R42/'Scen 2 MWh Savings'!R6</f>
        <v>2527.3541215132682</v>
      </c>
      <c r="S24" s="54">
        <f>'Scen 2 Budgets'!S42/'Scen 2 MWh Savings'!S6</f>
        <v>2545.4695207503651</v>
      </c>
      <c r="T24" s="54">
        <f>'Scen 2 Budgets'!T42/'Scen 2 MWh Savings'!T6</f>
        <v>2497.6479245573382</v>
      </c>
      <c r="U24" s="54">
        <f>'Scen 2 Budgets'!U42/'Scen 2 MWh Savings'!U6</f>
        <v>2515.5654404793722</v>
      </c>
      <c r="V24" s="54">
        <f>'Scen 2 Budgets'!V42/'Scen 2 MWh Savings'!V6</f>
        <v>2501.4842757629717</v>
      </c>
    </row>
    <row r="25" spans="1:22">
      <c r="A25" s="10" t="s">
        <v>9</v>
      </c>
      <c r="B25" s="54">
        <f>'Scen 2 Budgets'!B43/'Scen 2 MWh Savings'!B7</f>
        <v>267.05723338854574</v>
      </c>
      <c r="C25" s="54">
        <f>'Scen 2 Budgets'!C43/'Scen 2 MWh Savings'!C7</f>
        <v>270.58010631521876</v>
      </c>
      <c r="D25" s="54">
        <f>'Scen 2 Budgets'!D43/'Scen 2 MWh Savings'!D7</f>
        <v>274.64271574506824</v>
      </c>
      <c r="E25" s="54">
        <f>'Scen 2 Budgets'!E43/'Scen 2 MWh Savings'!E7</f>
        <v>317.87430282321634</v>
      </c>
      <c r="F25" s="54">
        <f>'Scen 2 Budgets'!F43/'Scen 2 MWh Savings'!F7</f>
        <v>294.60241736367624</v>
      </c>
      <c r="G25" s="54">
        <f>'Scen 2 Budgets'!G43/'Scen 2 MWh Savings'!G7</f>
        <v>434.71873891098386</v>
      </c>
      <c r="H25" s="54">
        <f>'Scen 2 Budgets'!H43/'Scen 2 MWh Savings'!H7</f>
        <v>518.56327247662819</v>
      </c>
      <c r="I25" s="54">
        <f>'Scen 2 Budgets'!I43/'Scen 2 MWh Savings'!I7</f>
        <v>570.01409843837951</v>
      </c>
      <c r="J25" s="54">
        <f>'Scen 2 Budgets'!J43/'Scen 2 MWh Savings'!J7</f>
        <v>616.28718761817288</v>
      </c>
      <c r="K25" s="54">
        <f>'Scen 2 Budgets'!K43/'Scen 2 MWh Savings'!K7</f>
        <v>608.98413741664581</v>
      </c>
      <c r="L25" s="54">
        <f>'Scen 2 Budgets'!L43/'Scen 2 MWh Savings'!L7</f>
        <v>602.19341874772647</v>
      </c>
      <c r="M25" s="54">
        <f>'Scen 2 Budgets'!M43/'Scen 2 MWh Savings'!M7</f>
        <v>602.64056218967528</v>
      </c>
      <c r="N25" s="54">
        <f>'Scen 2 Budgets'!N43/'Scen 2 MWh Savings'!N7</f>
        <v>602.81301408568277</v>
      </c>
      <c r="O25" s="54">
        <f>'Scen 2 Budgets'!O43/'Scen 2 MWh Savings'!O7</f>
        <v>603.89465842450625</v>
      </c>
      <c r="P25" s="54">
        <f>'Scen 2 Budgets'!P43/'Scen 2 MWh Savings'!P7</f>
        <v>610.51884371701567</v>
      </c>
      <c r="Q25" s="54">
        <f>'Scen 2 Budgets'!Q43/'Scen 2 MWh Savings'!Q7</f>
        <v>611.02551059139807</v>
      </c>
      <c r="R25" s="54">
        <f>'Scen 2 Budgets'!R43/'Scen 2 MWh Savings'!R7</f>
        <v>612.93555585195725</v>
      </c>
      <c r="S25" s="54">
        <f>'Scen 2 Budgets'!S43/'Scen 2 MWh Savings'!S7</f>
        <v>610.03606878085589</v>
      </c>
      <c r="T25" s="54">
        <f>'Scen 2 Budgets'!T43/'Scen 2 MWh Savings'!T7</f>
        <v>623.18545391793305</v>
      </c>
      <c r="U25" s="54">
        <f>'Scen 2 Budgets'!U43/'Scen 2 MWh Savings'!U7</f>
        <v>620.43380781289954</v>
      </c>
      <c r="V25" s="54">
        <f>'Scen 2 Budgets'!V43/'Scen 2 MWh Savings'!V7</f>
        <v>459.46531398018863</v>
      </c>
    </row>
    <row r="26" spans="1:22">
      <c r="A26" s="10" t="s">
        <v>10</v>
      </c>
      <c r="B26" s="54">
        <f>'Scen 2 Budgets'!B44/'Scen 2 MWh Savings'!B8</f>
        <v>181.27257501164445</v>
      </c>
      <c r="C26" s="54">
        <f>'Scen 2 Budgets'!C44/'Scen 2 MWh Savings'!C8</f>
        <v>195.32153654358331</v>
      </c>
      <c r="D26" s="54">
        <f>'Scen 2 Budgets'!D44/'Scen 2 MWh Savings'!D8</f>
        <v>201.23337288673855</v>
      </c>
      <c r="E26" s="54">
        <f>'Scen 2 Budgets'!E44/'Scen 2 MWh Savings'!E8</f>
        <v>218.77966079133699</v>
      </c>
      <c r="F26" s="54">
        <f>'Scen 2 Budgets'!F44/'Scen 2 MWh Savings'!F8</f>
        <v>218.14089971520926</v>
      </c>
      <c r="G26" s="54">
        <f>'Scen 2 Budgets'!G44/'Scen 2 MWh Savings'!G8</f>
        <v>252.84302496082634</v>
      </c>
      <c r="H26" s="54">
        <f>'Scen 2 Budgets'!H44/'Scen 2 MWh Savings'!H8</f>
        <v>276.68613860847228</v>
      </c>
      <c r="I26" s="54">
        <f>'Scen 2 Budgets'!I44/'Scen 2 MWh Savings'!I8</f>
        <v>298.55055685708254</v>
      </c>
      <c r="J26" s="54">
        <f>'Scen 2 Budgets'!J44/'Scen 2 MWh Savings'!J8</f>
        <v>333.78602524109829</v>
      </c>
      <c r="K26" s="54">
        <f>'Scen 2 Budgets'!K44/'Scen 2 MWh Savings'!K8</f>
        <v>332.35055704274208</v>
      </c>
      <c r="L26" s="54">
        <f>'Scen 2 Budgets'!L44/'Scen 2 MWh Savings'!L8</f>
        <v>334.15847436801221</v>
      </c>
      <c r="M26" s="54">
        <f>'Scen 2 Budgets'!M44/'Scen 2 MWh Savings'!M8</f>
        <v>332.30707598247648</v>
      </c>
      <c r="N26" s="54">
        <f>'Scen 2 Budgets'!N44/'Scen 2 MWh Savings'!N8</f>
        <v>336.08301991402089</v>
      </c>
      <c r="O26" s="54">
        <f>'Scen 2 Budgets'!O44/'Scen 2 MWh Savings'!O8</f>
        <v>365.32598807223167</v>
      </c>
      <c r="P26" s="54">
        <f>'Scen 2 Budgets'!P44/'Scen 2 MWh Savings'!P8</f>
        <v>371.77081323941644</v>
      </c>
      <c r="Q26" s="54">
        <f>'Scen 2 Budgets'!Q44/'Scen 2 MWh Savings'!Q8</f>
        <v>376.71062801070462</v>
      </c>
      <c r="R26" s="54">
        <f>'Scen 2 Budgets'!R44/'Scen 2 MWh Savings'!R8</f>
        <v>381.34012822659054</v>
      </c>
      <c r="S26" s="54">
        <f>'Scen 2 Budgets'!S44/'Scen 2 MWh Savings'!S8</f>
        <v>387.15530488856763</v>
      </c>
      <c r="T26" s="54">
        <f>'Scen 2 Budgets'!T44/'Scen 2 MWh Savings'!T8</f>
        <v>409.4595244350644</v>
      </c>
      <c r="U26" s="54">
        <f>'Scen 2 Budgets'!U44/'Scen 2 MWh Savings'!U8</f>
        <v>416.03353337347272</v>
      </c>
      <c r="V26" s="54">
        <f>'Scen 2 Budgets'!V44/'Scen 2 MWh Savings'!V8</f>
        <v>330.31128131868473</v>
      </c>
    </row>
    <row r="27" spans="1:22">
      <c r="A27" s="10" t="s">
        <v>11</v>
      </c>
      <c r="B27" s="54">
        <f>'Scen 2 Budgets'!B45/'Scen 2 MWh Savings'!B9</f>
        <v>605.23776929363726</v>
      </c>
      <c r="C27" s="54">
        <f>'Scen 2 Budgets'!C45/'Scen 2 MWh Savings'!C9</f>
        <v>610.41051795613203</v>
      </c>
      <c r="D27" s="54">
        <f>'Scen 2 Budgets'!D45/'Scen 2 MWh Savings'!D9</f>
        <v>613.73218042052156</v>
      </c>
      <c r="E27" s="54">
        <f>'Scen 2 Budgets'!E45/'Scen 2 MWh Savings'!E9</f>
        <v>619.10046621181777</v>
      </c>
      <c r="F27" s="54">
        <f>'Scen 2 Budgets'!F45/'Scen 2 MWh Savings'!F9</f>
        <v>607.02465599735194</v>
      </c>
      <c r="G27" s="54">
        <f>'Scen 2 Budgets'!G45/'Scen 2 MWh Savings'!G9</f>
        <v>605.11534868912668</v>
      </c>
      <c r="H27" s="54">
        <f>'Scen 2 Budgets'!H45/'Scen 2 MWh Savings'!H9</f>
        <v>596.24703179239509</v>
      </c>
      <c r="I27" s="54">
        <f>'Scen 2 Budgets'!I45/'Scen 2 MWh Savings'!I9</f>
        <v>588.70083509895153</v>
      </c>
      <c r="J27" s="54">
        <f>'Scen 2 Budgets'!J45/'Scen 2 MWh Savings'!J9</f>
        <v>573.6162739438887</v>
      </c>
      <c r="K27" s="54">
        <f>'Scen 2 Budgets'!K45/'Scen 2 MWh Savings'!K9</f>
        <v>572.15726076544934</v>
      </c>
      <c r="L27" s="54">
        <f>'Scen 2 Budgets'!L45/'Scen 2 MWh Savings'!L9</f>
        <v>569.46150284377745</v>
      </c>
      <c r="M27" s="54">
        <f>'Scen 2 Budgets'!M45/'Scen 2 MWh Savings'!M9</f>
        <v>567.5167428501893</v>
      </c>
      <c r="N27" s="54">
        <f>'Scen 2 Budgets'!N45/'Scen 2 MWh Savings'!N9</f>
        <v>563.86992957456744</v>
      </c>
      <c r="O27" s="54">
        <f>'Scen 2 Budgets'!O45/'Scen 2 MWh Savings'!O9</f>
        <v>562.58453656229483</v>
      </c>
      <c r="P27" s="54">
        <f>'Scen 2 Budgets'!P45/'Scen 2 MWh Savings'!P9</f>
        <v>559.69613785422507</v>
      </c>
      <c r="Q27" s="54">
        <f>'Scen 2 Budgets'!Q45/'Scen 2 MWh Savings'!Q9</f>
        <v>557.11182752543846</v>
      </c>
      <c r="R27" s="54">
        <f>'Scen 2 Budgets'!R45/'Scen 2 MWh Savings'!R9</f>
        <v>551.0710187725864</v>
      </c>
      <c r="S27" s="54">
        <f>'Scen 2 Budgets'!S45/'Scen 2 MWh Savings'!S9</f>
        <v>548.63385052678768</v>
      </c>
      <c r="T27" s="54">
        <f>'Scen 2 Budgets'!T45/'Scen 2 MWh Savings'!T9</f>
        <v>546.34440290661723</v>
      </c>
      <c r="U27" s="54">
        <f>'Scen 2 Budgets'!U45/'Scen 2 MWh Savings'!U9</f>
        <v>543.10556667815001</v>
      </c>
      <c r="V27" s="54">
        <f>'Scen 2 Budgets'!V45/'Scen 2 MWh Savings'!V9</f>
        <v>575.35140842408987</v>
      </c>
    </row>
    <row r="28" spans="1:22">
      <c r="A28" s="2" t="s">
        <v>12</v>
      </c>
      <c r="B28" s="54">
        <f>'Scen 2 Budgets'!B46/'Scen 2 MWh Savings'!B10</f>
        <v>530.59820478754591</v>
      </c>
      <c r="C28" s="54">
        <f>'Scen 2 Budgets'!C46/'Scen 2 MWh Savings'!C10</f>
        <v>539.22815499553269</v>
      </c>
      <c r="D28" s="54">
        <f>'Scen 2 Budgets'!D46/'Scen 2 MWh Savings'!D10</f>
        <v>544.77656205446442</v>
      </c>
      <c r="E28" s="54">
        <f>'Scen 2 Budgets'!E46/'Scen 2 MWh Savings'!E10</f>
        <v>553.92108004628824</v>
      </c>
      <c r="F28" s="54">
        <f>'Scen 2 Budgets'!F46/'Scen 2 MWh Savings'!F10</f>
        <v>556.42442397689229</v>
      </c>
      <c r="G28" s="54">
        <f>'Scen 2 Budgets'!G46/'Scen 2 MWh Savings'!G10</f>
        <v>568.00640999952623</v>
      </c>
      <c r="H28" s="54">
        <f>'Scen 2 Budgets'!H46/'Scen 2 MWh Savings'!H10</f>
        <v>566.22995865218877</v>
      </c>
      <c r="I28" s="54">
        <f>'Scen 2 Budgets'!I46/'Scen 2 MWh Savings'!I10</f>
        <v>559.41105568339185</v>
      </c>
      <c r="J28" s="54">
        <f>'Scen 2 Budgets'!J46/'Scen 2 MWh Savings'!J10</f>
        <v>556.49902982321146</v>
      </c>
      <c r="K28" s="54">
        <f>'Scen 2 Budgets'!K46/'Scen 2 MWh Savings'!K10</f>
        <v>557.99543239438174</v>
      </c>
      <c r="L28" s="54">
        <f>'Scen 2 Budgets'!L46/'Scen 2 MWh Savings'!L10</f>
        <v>555.16311749368379</v>
      </c>
      <c r="M28" s="54">
        <f>'Scen 2 Budgets'!M46/'Scen 2 MWh Savings'!M10</f>
        <v>555.22143609926763</v>
      </c>
      <c r="N28" s="54">
        <f>'Scen 2 Budgets'!N46/'Scen 2 MWh Savings'!N10</f>
        <v>551.72384229224224</v>
      </c>
      <c r="O28" s="54">
        <f>'Scen 2 Budgets'!O46/'Scen 2 MWh Savings'!O10</f>
        <v>551.98188438560192</v>
      </c>
      <c r="P28" s="54">
        <f>'Scen 2 Budgets'!P46/'Scen 2 MWh Savings'!P10</f>
        <v>551.10986448414519</v>
      </c>
      <c r="Q28" s="54">
        <f>'Scen 2 Budgets'!Q46/'Scen 2 MWh Savings'!Q10</f>
        <v>550.35264137400691</v>
      </c>
      <c r="R28" s="54">
        <f>'Scen 2 Budgets'!R46/'Scen 2 MWh Savings'!R10</f>
        <v>547.87803533291651</v>
      </c>
      <c r="S28" s="54">
        <f>'Scen 2 Budgets'!S46/'Scen 2 MWh Savings'!S10</f>
        <v>548.15285885915057</v>
      </c>
      <c r="T28" s="54">
        <f>'Scen 2 Budgets'!T46/'Scen 2 MWh Savings'!T10</f>
        <v>547.56421434686831</v>
      </c>
      <c r="U28" s="54">
        <f>'Scen 2 Budgets'!U46/'Scen 2 MWh Savings'!U10</f>
        <v>546.51747355191958</v>
      </c>
      <c r="V28" s="54">
        <f>'Scen 2 Budgets'!V46/'Scen 2 MWh Savings'!V10</f>
        <v>551.9484919218844</v>
      </c>
    </row>
    <row r="29" spans="1:22">
      <c r="A29" s="2" t="s">
        <v>13</v>
      </c>
      <c r="B29" s="55">
        <f>'Scen 2 Budgets'!B47/'Scen 2 MWh Savings'!B11</f>
        <v>314.36310651490169</v>
      </c>
      <c r="C29" s="55">
        <f>'Scen 2 Budgets'!C47/'Scen 2 MWh Savings'!C11</f>
        <v>330.59538308624087</v>
      </c>
      <c r="D29" s="55">
        <f>'Scen 2 Budgets'!D47/'Scen 2 MWh Savings'!D11</f>
        <v>342.39117885418784</v>
      </c>
      <c r="E29" s="55">
        <f>'Scen 2 Budgets'!E47/'Scen 2 MWh Savings'!E11</f>
        <v>360.03471584405179</v>
      </c>
      <c r="F29" s="55">
        <f>'Scen 2 Budgets'!F47/'Scen 2 MWh Savings'!F11</f>
        <v>355.41801013925755</v>
      </c>
      <c r="G29" s="55">
        <f>'Scen 2 Budgets'!G47/'Scen 2 MWh Savings'!G11</f>
        <v>365.61556670360596</v>
      </c>
      <c r="H29" s="55">
        <f>'Scen 2 Budgets'!H47/'Scen 2 MWh Savings'!H11</f>
        <v>369.54778390953402</v>
      </c>
      <c r="I29" s="55">
        <f>'Scen 2 Budgets'!I47/'Scen 2 MWh Savings'!I11</f>
        <v>378.16364924088498</v>
      </c>
      <c r="J29" s="55">
        <f>'Scen 2 Budgets'!J47/'Scen 2 MWh Savings'!J11</f>
        <v>390.01206313044611</v>
      </c>
      <c r="K29" s="55">
        <f>'Scen 2 Budgets'!K47/'Scen 2 MWh Savings'!K11</f>
        <v>392.90609735173081</v>
      </c>
      <c r="L29" s="55">
        <f>'Scen 2 Budgets'!L47/'Scen 2 MWh Savings'!L11</f>
        <v>392.16917137095589</v>
      </c>
      <c r="M29" s="55">
        <f>'Scen 2 Budgets'!M47/'Scen 2 MWh Savings'!M11</f>
        <v>392.8248748955258</v>
      </c>
      <c r="N29" s="55">
        <f>'Scen 2 Budgets'!N47/'Scen 2 MWh Savings'!N11</f>
        <v>389.78904385129533</v>
      </c>
      <c r="O29" s="55">
        <f>'Scen 2 Budgets'!O47/'Scen 2 MWh Savings'!O11</f>
        <v>401.84873678563707</v>
      </c>
      <c r="P29" s="55">
        <f>'Scen 2 Budgets'!P47/'Scen 2 MWh Savings'!P11</f>
        <v>405.05455665827151</v>
      </c>
      <c r="Q29" s="55">
        <f>'Scen 2 Budgets'!Q47/'Scen 2 MWh Savings'!Q11</f>
        <v>405.2259851433036</v>
      </c>
      <c r="R29" s="55">
        <f>'Scen 2 Budgets'!R47/'Scen 2 MWh Savings'!R11</f>
        <v>405.67099424889966</v>
      </c>
      <c r="S29" s="55">
        <f>'Scen 2 Budgets'!S47/'Scen 2 MWh Savings'!S11</f>
        <v>411.18139527334409</v>
      </c>
      <c r="T29" s="55">
        <f>'Scen 2 Budgets'!T47/'Scen 2 MWh Savings'!T11</f>
        <v>417.57394012385282</v>
      </c>
      <c r="U29" s="55">
        <f>'Scen 2 Budgets'!U47/'Scen 2 MWh Savings'!U11</f>
        <v>417.78482339599049</v>
      </c>
      <c r="V29" s="55">
        <f>'Scen 2 Budgets'!V47/'Scen 2 MWh Savings'!V11</f>
        <v>389.0335483704244</v>
      </c>
    </row>
    <row r="30" spans="1:22">
      <c r="A30" s="8" t="s">
        <v>15</v>
      </c>
      <c r="B30" s="56">
        <f>'Scen 2 Budgets'!B48/'Scen 2 MWh Savings'!B12</f>
        <v>343.01440530656987</v>
      </c>
      <c r="C30" s="56">
        <f>'Scen 2 Budgets'!C48/'Scen 2 MWh Savings'!C12</f>
        <v>349.37342858295921</v>
      </c>
      <c r="D30" s="56">
        <f>'Scen 2 Budgets'!D48/'Scen 2 MWh Savings'!D12</f>
        <v>353.59195053966914</v>
      </c>
      <c r="E30" s="56">
        <f>'Scen 2 Budgets'!E48/'Scen 2 MWh Savings'!E12</f>
        <v>391.67225923972615</v>
      </c>
      <c r="F30" s="56">
        <f>'Scen 2 Budgets'!F48/'Scen 2 MWh Savings'!F12</f>
        <v>373.61701672406809</v>
      </c>
      <c r="G30" s="56">
        <f>'Scen 2 Budgets'!G48/'Scen 2 MWh Savings'!G12</f>
        <v>473.84900500488982</v>
      </c>
      <c r="H30" s="56">
        <f>'Scen 2 Budgets'!H48/'Scen 2 MWh Savings'!H12</f>
        <v>513.19585516154802</v>
      </c>
      <c r="I30" s="56">
        <f>'Scen 2 Budgets'!I48/'Scen 2 MWh Savings'!I12</f>
        <v>531.51312950974216</v>
      </c>
      <c r="J30" s="56">
        <f>'Scen 2 Budgets'!J48/'Scen 2 MWh Savings'!J12</f>
        <v>554.00722157500991</v>
      </c>
      <c r="K30" s="56">
        <f>'Scen 2 Budgets'!K48/'Scen 2 MWh Savings'!K12</f>
        <v>550.36738178068185</v>
      </c>
      <c r="L30" s="56">
        <f>'Scen 2 Budgets'!L48/'Scen 2 MWh Savings'!L12</f>
        <v>546.64978411825871</v>
      </c>
      <c r="M30" s="56">
        <f>'Scen 2 Budgets'!M48/'Scen 2 MWh Savings'!M12</f>
        <v>542.94287845396957</v>
      </c>
      <c r="N30" s="56">
        <f>'Scen 2 Budgets'!N48/'Scen 2 MWh Savings'!N12</f>
        <v>541.79795596595807</v>
      </c>
      <c r="O30" s="56">
        <f>'Scen 2 Budgets'!O48/'Scen 2 MWh Savings'!O12</f>
        <v>560.07482748160908</v>
      </c>
      <c r="P30" s="56">
        <f>'Scen 2 Budgets'!P48/'Scen 2 MWh Savings'!P12</f>
        <v>563.89739301938619</v>
      </c>
      <c r="Q30" s="56">
        <f>'Scen 2 Budgets'!Q48/'Scen 2 MWh Savings'!Q12</f>
        <v>564.37010940607115</v>
      </c>
      <c r="R30" s="56">
        <f>'Scen 2 Budgets'!R48/'Scen 2 MWh Savings'!R12</f>
        <v>565.17530651527693</v>
      </c>
      <c r="S30" s="56">
        <f>'Scen 2 Budgets'!S48/'Scen 2 MWh Savings'!S12</f>
        <v>566.48797386135891</v>
      </c>
      <c r="T30" s="56">
        <f>'Scen 2 Budgets'!T48/'Scen 2 MWh Savings'!T12</f>
        <v>582.25991986412373</v>
      </c>
      <c r="U30" s="56">
        <f>'Scen 2 Budgets'!U48/'Scen 2 MWh Savings'!U12</f>
        <v>583.72257596158272</v>
      </c>
      <c r="V30" s="56">
        <f>'Scen 2 Budgets'!V48/'Scen 2 MWh Savings'!V12</f>
        <v>499.40578222741095</v>
      </c>
    </row>
    <row r="32" spans="1:22">
      <c r="A32" s="50" t="s">
        <v>3</v>
      </c>
    </row>
    <row r="33" spans="1:22">
      <c r="A33" s="2" t="s">
        <v>7</v>
      </c>
      <c r="B33" s="54">
        <f>'Scen 2 Budgets'!B51/'Scen 2 MWh Savings'!B15</f>
        <v>286.83082246123098</v>
      </c>
      <c r="C33" s="54">
        <f>'Scen 2 Budgets'!C51/'Scen 2 MWh Savings'!C15</f>
        <v>289.25918572282598</v>
      </c>
      <c r="D33" s="54">
        <f>'Scen 2 Budgets'!D51/'Scen 2 MWh Savings'!D15</f>
        <v>297.64836808231939</v>
      </c>
      <c r="E33" s="54">
        <f>'Scen 2 Budgets'!E51/'Scen 2 MWh Savings'!E15</f>
        <v>310.0112927726845</v>
      </c>
      <c r="F33" s="54">
        <f>'Scen 2 Budgets'!F51/'Scen 2 MWh Savings'!F15</f>
        <v>304.29207861497605</v>
      </c>
      <c r="G33" s="54">
        <f>'Scen 2 Budgets'!G51/'Scen 2 MWh Savings'!G15</f>
        <v>309.85101799734679</v>
      </c>
      <c r="H33" s="54">
        <f>'Scen 2 Budgets'!H51/'Scen 2 MWh Savings'!H15</f>
        <v>323.91851858009056</v>
      </c>
      <c r="I33" s="54">
        <f>'Scen 2 Budgets'!I51/'Scen 2 MWh Savings'!I15</f>
        <v>330.86191597470304</v>
      </c>
      <c r="J33" s="54">
        <f>'Scen 2 Budgets'!J51/'Scen 2 MWh Savings'!J15</f>
        <v>338.44099578496321</v>
      </c>
      <c r="K33" s="54">
        <f>'Scen 2 Budgets'!K51/'Scen 2 MWh Savings'!K15</f>
        <v>335.20916839972284</v>
      </c>
      <c r="L33" s="54">
        <f>'Scen 2 Budgets'!L51/'Scen 2 MWh Savings'!L15</f>
        <v>342.80189695628764</v>
      </c>
      <c r="M33" s="54">
        <f>'Scen 2 Budgets'!M51/'Scen 2 MWh Savings'!M15</f>
        <v>350.48846350637433</v>
      </c>
      <c r="N33" s="54">
        <f>'Scen 2 Budgets'!N51/'Scen 2 MWh Savings'!N15</f>
        <v>357.91022773388767</v>
      </c>
      <c r="O33" s="54">
        <f>'Scen 2 Budgets'!O51/'Scen 2 MWh Savings'!O15</f>
        <v>364.09504846066727</v>
      </c>
      <c r="P33" s="54">
        <f>'Scen 2 Budgets'!P51/'Scen 2 MWh Savings'!P15</f>
        <v>359.86309701069382</v>
      </c>
      <c r="Q33" s="54">
        <f>'Scen 2 Budgets'!Q51/'Scen 2 MWh Savings'!Q15</f>
        <v>367.30542270851731</v>
      </c>
      <c r="R33" s="54">
        <f>'Scen 2 Budgets'!R51/'Scen 2 MWh Savings'!R15</f>
        <v>375.32687985326254</v>
      </c>
      <c r="S33" s="54">
        <f>'Scen 2 Budgets'!S51/'Scen 2 MWh Savings'!S15</f>
        <v>384.28012456043069</v>
      </c>
      <c r="T33" s="54">
        <f>'Scen 2 Budgets'!T51/'Scen 2 MWh Savings'!T15</f>
        <v>392.73926624928839</v>
      </c>
      <c r="U33" s="54">
        <f>'Scen 2 Budgets'!U51/'Scen 2 MWh Savings'!U15</f>
        <v>392.20999677547593</v>
      </c>
      <c r="V33" s="54">
        <f>'Scen 2 Budgets'!V51/'Scen 2 MWh Savings'!V15</f>
        <v>336.60926299728521</v>
      </c>
    </row>
    <row r="34" spans="1:22">
      <c r="A34" s="2" t="s">
        <v>6</v>
      </c>
      <c r="B34" s="54">
        <f>'Scen 2 Budgets'!B52/'Scen 2 MWh Savings'!B16</f>
        <v>329.74519363133476</v>
      </c>
      <c r="C34" s="54">
        <f>'Scen 2 Budgets'!C52/'Scen 2 MWh Savings'!C16</f>
        <v>356.26583995656591</v>
      </c>
      <c r="D34" s="54">
        <f>'Scen 2 Budgets'!D52/'Scen 2 MWh Savings'!D16</f>
        <v>385.49644345538519</v>
      </c>
      <c r="E34" s="54">
        <f>'Scen 2 Budgets'!E52/'Scen 2 MWh Savings'!E16</f>
        <v>424.2863992230196</v>
      </c>
      <c r="F34" s="54">
        <f>'Scen 2 Budgets'!F52/'Scen 2 MWh Savings'!F16</f>
        <v>423.15256501174662</v>
      </c>
      <c r="G34" s="54">
        <f>'Scen 2 Budgets'!G52/'Scen 2 MWh Savings'!G16</f>
        <v>436.09466135123876</v>
      </c>
      <c r="H34" s="54">
        <f>'Scen 2 Budgets'!H52/'Scen 2 MWh Savings'!H16</f>
        <v>455.17854098700343</v>
      </c>
      <c r="I34" s="54">
        <f>'Scen 2 Budgets'!I52/'Scen 2 MWh Savings'!I16</f>
        <v>465.09545047823951</v>
      </c>
      <c r="J34" s="54">
        <f>'Scen 2 Budgets'!J52/'Scen 2 MWh Savings'!J16</f>
        <v>480.71748214431562</v>
      </c>
      <c r="K34" s="54">
        <f>'Scen 2 Budgets'!K52/'Scen 2 MWh Savings'!K16</f>
        <v>473.95426987145805</v>
      </c>
      <c r="L34" s="54">
        <f>'Scen 2 Budgets'!L52/'Scen 2 MWh Savings'!L16</f>
        <v>485.04671592835882</v>
      </c>
      <c r="M34" s="54">
        <f>'Scen 2 Budgets'!M52/'Scen 2 MWh Savings'!M16</f>
        <v>493.63389244654689</v>
      </c>
      <c r="N34" s="54">
        <f>'Scen 2 Budgets'!N52/'Scen 2 MWh Savings'!N16</f>
        <v>506.52878944702792</v>
      </c>
      <c r="O34" s="54">
        <f>'Scen 2 Budgets'!O52/'Scen 2 MWh Savings'!O16</f>
        <v>527.38789378864658</v>
      </c>
      <c r="P34" s="54">
        <f>'Scen 2 Budgets'!P52/'Scen 2 MWh Savings'!P16</f>
        <v>519.70510647231856</v>
      </c>
      <c r="Q34" s="54">
        <f>'Scen 2 Budgets'!Q52/'Scen 2 MWh Savings'!Q16</f>
        <v>530.99397316424813</v>
      </c>
      <c r="R34" s="54">
        <f>'Scen 2 Budgets'!R52/'Scen 2 MWh Savings'!R16</f>
        <v>542.42359094661958</v>
      </c>
      <c r="S34" s="54">
        <f>'Scen 2 Budgets'!S52/'Scen 2 MWh Savings'!S16</f>
        <v>556.66494990209003</v>
      </c>
      <c r="T34" s="54">
        <f>'Scen 2 Budgets'!T52/'Scen 2 MWh Savings'!T16</f>
        <v>581.08461598054987</v>
      </c>
      <c r="U34" s="54">
        <f>'Scen 2 Budgets'!U52/'Scen 2 MWh Savings'!U16</f>
        <v>582.14352164642537</v>
      </c>
      <c r="V34" s="54">
        <f>'Scen 2 Budgets'!V52/'Scen 2 MWh Savings'!V16</f>
        <v>463.26531774168757</v>
      </c>
    </row>
    <row r="35" spans="1:22">
      <c r="A35" s="2" t="s">
        <v>5</v>
      </c>
      <c r="B35" s="55">
        <f>'Scen 2 Budgets'!B53/'Scen 2 MWh Savings'!B17</f>
        <v>531.5268578730894</v>
      </c>
      <c r="C35" s="55">
        <f>'Scen 2 Budgets'!C53/'Scen 2 MWh Savings'!C17</f>
        <v>544.21651922498074</v>
      </c>
      <c r="D35" s="55">
        <f>'Scen 2 Budgets'!D53/'Scen 2 MWh Savings'!D17</f>
        <v>569.05166902834719</v>
      </c>
      <c r="E35" s="55">
        <f>'Scen 2 Budgets'!E53/'Scen 2 MWh Savings'!E17</f>
        <v>560.68427285683856</v>
      </c>
      <c r="F35" s="55">
        <f>'Scen 2 Budgets'!F53/'Scen 2 MWh Savings'!F17</f>
        <v>570.09941656278579</v>
      </c>
      <c r="G35" s="55">
        <f>'Scen 2 Budgets'!G53/'Scen 2 MWh Savings'!G17</f>
        <v>578.60463289381312</v>
      </c>
      <c r="H35" s="55">
        <f>'Scen 2 Budgets'!H53/'Scen 2 MWh Savings'!H17</f>
        <v>601.9424047946701</v>
      </c>
      <c r="I35" s="55">
        <f>'Scen 2 Budgets'!I53/'Scen 2 MWh Savings'!I17</f>
        <v>614.63194387595638</v>
      </c>
      <c r="J35" s="55">
        <f>'Scen 2 Budgets'!J53/'Scen 2 MWh Savings'!J17</f>
        <v>625.10498644832614</v>
      </c>
      <c r="K35" s="55">
        <f>'Scen 2 Budgets'!K53/'Scen 2 MWh Savings'!K17</f>
        <v>620.645117120637</v>
      </c>
      <c r="L35" s="55">
        <f>'Scen 2 Budgets'!L53/'Scen 2 MWh Savings'!L17</f>
        <v>633.93854033050332</v>
      </c>
      <c r="M35" s="55">
        <f>'Scen 2 Budgets'!M53/'Scen 2 MWh Savings'!M17</f>
        <v>646.00349168355467</v>
      </c>
      <c r="N35" s="55">
        <f>'Scen 2 Budgets'!N53/'Scen 2 MWh Savings'!N17</f>
        <v>658.49686835016382</v>
      </c>
      <c r="O35" s="55">
        <f>'Scen 2 Budgets'!O53/'Scen 2 MWh Savings'!O17</f>
        <v>666.1205435198824</v>
      </c>
      <c r="P35" s="55">
        <f>'Scen 2 Budgets'!P53/'Scen 2 MWh Savings'!P17</f>
        <v>659.91720348047204</v>
      </c>
      <c r="Q35" s="55">
        <f>'Scen 2 Budgets'!Q53/'Scen 2 MWh Savings'!Q17</f>
        <v>672.40197839363111</v>
      </c>
      <c r="R35" s="55">
        <f>'Scen 2 Budgets'!R53/'Scen 2 MWh Savings'!R17</f>
        <v>685.83950401843572</v>
      </c>
      <c r="S35" s="55">
        <f>'Scen 2 Budgets'!S53/'Scen 2 MWh Savings'!S17</f>
        <v>700.63315284785153</v>
      </c>
      <c r="T35" s="55">
        <f>'Scen 2 Budgets'!T53/'Scen 2 MWh Savings'!T17</f>
        <v>711.95940077603564</v>
      </c>
      <c r="U35" s="55">
        <f>'Scen 2 Budgets'!U53/'Scen 2 MWh Savings'!U17</f>
        <v>713.02155446818983</v>
      </c>
      <c r="V35" s="55">
        <f>'Scen 2 Budgets'!V53/'Scen 2 MWh Savings'!V17</f>
        <v>625.55976990393026</v>
      </c>
    </row>
    <row r="36" spans="1:22">
      <c r="A36" s="8" t="s">
        <v>16</v>
      </c>
      <c r="B36" s="56">
        <f>'Scen 2 Budgets'!B54/'Scen 2 MWh Savings'!B18</f>
        <v>419.85424586743505</v>
      </c>
      <c r="C36" s="56">
        <f>'Scen 2 Budgets'!C54/'Scen 2 MWh Savings'!C18</f>
        <v>440.95845266518779</v>
      </c>
      <c r="D36" s="56">
        <f>'Scen 2 Budgets'!D54/'Scen 2 MWh Savings'!D18</f>
        <v>469.39635735438475</v>
      </c>
      <c r="E36" s="56">
        <f>'Scen 2 Budgets'!E54/'Scen 2 MWh Savings'!E18</f>
        <v>480.95844384934435</v>
      </c>
      <c r="F36" s="56">
        <f>'Scen 2 Budgets'!F54/'Scen 2 MWh Savings'!F18</f>
        <v>485.12300643691663</v>
      </c>
      <c r="G36" s="56">
        <f>'Scen 2 Budgets'!G54/'Scen 2 MWh Savings'!G18</f>
        <v>494.69174486522513</v>
      </c>
      <c r="H36" s="56">
        <f>'Scen 2 Budgets'!H54/'Scen 2 MWh Savings'!H18</f>
        <v>515.71773032149326</v>
      </c>
      <c r="I36" s="56">
        <f>'Scen 2 Budgets'!I54/'Scen 2 MWh Savings'!I18</f>
        <v>527.74408889537153</v>
      </c>
      <c r="J36" s="56">
        <f>'Scen 2 Budgets'!J54/'Scen 2 MWh Savings'!J18</f>
        <v>538.87250775240614</v>
      </c>
      <c r="K36" s="56">
        <f>'Scen 2 Budgets'!K54/'Scen 2 MWh Savings'!K18</f>
        <v>533.37992052261404</v>
      </c>
      <c r="L36" s="56">
        <f>'Scen 2 Budgets'!L54/'Scen 2 MWh Savings'!L18</f>
        <v>545.73578018760588</v>
      </c>
      <c r="M36" s="56">
        <f>'Scen 2 Budgets'!M54/'Scen 2 MWh Savings'!M18</f>
        <v>554.52257144799012</v>
      </c>
      <c r="N36" s="56">
        <f>'Scen 2 Budgets'!N54/'Scen 2 MWh Savings'!N18</f>
        <v>567.86490646481866</v>
      </c>
      <c r="O36" s="56">
        <f>'Scen 2 Budgets'!O54/'Scen 2 MWh Savings'!O18</f>
        <v>582.21014959458557</v>
      </c>
      <c r="P36" s="56">
        <f>'Scen 2 Budgets'!P54/'Scen 2 MWh Savings'!P18</f>
        <v>576.12166024606188</v>
      </c>
      <c r="Q36" s="56">
        <f>'Scen 2 Budgets'!Q54/'Scen 2 MWh Savings'!Q18</f>
        <v>588.06669416499994</v>
      </c>
      <c r="R36" s="56">
        <f>'Scen 2 Budgets'!R54/'Scen 2 MWh Savings'!R18</f>
        <v>600.5119148812496</v>
      </c>
      <c r="S36" s="56">
        <f>'Scen 2 Budgets'!S54/'Scen 2 MWh Savings'!S18</f>
        <v>615.17159826978502</v>
      </c>
      <c r="T36" s="56">
        <f>'Scen 2 Budgets'!T54/'Scen 2 MWh Savings'!T18</f>
        <v>632.13364186207036</v>
      </c>
      <c r="U36" s="56">
        <f>'Scen 2 Budgets'!U54/'Scen 2 MWh Savings'!U18</f>
        <v>634.95515943738155</v>
      </c>
      <c r="V36" s="56">
        <f>'Scen 2 Budgets'!V54/'Scen 2 MWh Savings'!V18</f>
        <v>533.85732281183516</v>
      </c>
    </row>
    <row r="37" spans="1:22">
      <c r="A37" s="8"/>
    </row>
    <row r="38" spans="1:22">
      <c r="A38" s="3" t="s">
        <v>4</v>
      </c>
      <c r="B38" s="314">
        <f>'Scen 2 Budgets'!B56/'Scen 2 MWh Savings'!B20</f>
        <v>390.13342597802006</v>
      </c>
      <c r="C38" s="56">
        <f>'Scen 2 Budgets'!C56/'Scen 2 MWh Savings'!C20</f>
        <v>402.87401357768192</v>
      </c>
      <c r="D38" s="56">
        <f>'Scen 2 Budgets'!D56/'Scen 2 MWh Savings'!D20</f>
        <v>418.63109127251175</v>
      </c>
      <c r="E38" s="56">
        <f>'Scen 2 Budgets'!E56/'Scen 2 MWh Savings'!E20</f>
        <v>440.71247958673291</v>
      </c>
      <c r="F38" s="56">
        <f>'Scen 2 Budgets'!F56/'Scen 2 MWh Savings'!F20</f>
        <v>433.29225788253012</v>
      </c>
      <c r="G38" s="56">
        <f>'Scen 2 Budgets'!G56/'Scen 2 MWh Savings'!G20</f>
        <v>486.1156161886654</v>
      </c>
      <c r="H38" s="56">
        <f>'Scen 2 Budgets'!H56/'Scen 2 MWh Savings'!H20</f>
        <v>514.70418830401604</v>
      </c>
      <c r="I38" s="56">
        <f>'Scen 2 Budgets'!I56/'Scen 2 MWh Savings'!I20</f>
        <v>529.24876585504887</v>
      </c>
      <c r="J38" s="56">
        <f>'Scen 2 Budgets'!J56/'Scen 2 MWh Savings'!J20</f>
        <v>545.28092877787151</v>
      </c>
      <c r="K38" s="56">
        <f>'Scen 2 Budgets'!K56/'Scen 2 MWh Savings'!K20</f>
        <v>540.55826067380985</v>
      </c>
      <c r="L38" s="56">
        <f>'Scen 2 Budgets'!L56/'Scen 2 MWh Savings'!L20</f>
        <v>546.12870592984609</v>
      </c>
      <c r="M38" s="56">
        <f>'Scen 2 Budgets'!M56/'Scen 2 MWh Savings'!M20</f>
        <v>549.48100038795974</v>
      </c>
      <c r="N38" s="56">
        <f>'Scen 2 Budgets'!N56/'Scen 2 MWh Savings'!N20</f>
        <v>556.34876625410584</v>
      </c>
      <c r="O38" s="56">
        <f>'Scen 2 Budgets'!O56/'Scen 2 MWh Savings'!O20</f>
        <v>571.80708824548958</v>
      </c>
      <c r="P38" s="56">
        <f>'Scen 2 Budgets'!P56/'Scen 2 MWh Savings'!P20</f>
        <v>570.4288474664304</v>
      </c>
      <c r="Q38" s="56">
        <f>'Scen 2 Budgets'!Q56/'Scen 2 MWh Savings'!Q20</f>
        <v>576.9137711437495</v>
      </c>
      <c r="R38" s="56">
        <f>'Scen 2 Budgets'!R56/'Scen 2 MWh Savings'!R20</f>
        <v>583.70681953262124</v>
      </c>
      <c r="S38" s="56">
        <f>'Scen 2 Budgets'!S56/'Scen 2 MWh Savings'!S20</f>
        <v>591.75033921716329</v>
      </c>
      <c r="T38" s="56">
        <f>'Scen 2 Budgets'!T56/'Scen 2 MWh Savings'!T20</f>
        <v>607.13539000011542</v>
      </c>
      <c r="U38" s="56">
        <f>'Scen 2 Budgets'!U56/'Scen 2 MWh Savings'!U20</f>
        <v>609.24879061256661</v>
      </c>
      <c r="V38" s="56">
        <f>'Scen 2 Budgets'!V56/'Scen 2 MWh Savings'!V20</f>
        <v>518.57324959887751</v>
      </c>
    </row>
    <row r="39" spans="1:22">
      <c r="A39" s="1"/>
    </row>
    <row r="40" spans="1:22">
      <c r="A40" s="62" t="s">
        <v>29</v>
      </c>
      <c r="B40" s="6">
        <v>2015</v>
      </c>
      <c r="C40" s="6">
        <f>B40+1</f>
        <v>2016</v>
      </c>
      <c r="D40" s="6">
        <f t="shared" ref="D40:U40" si="2">C40+1</f>
        <v>2017</v>
      </c>
      <c r="E40" s="6">
        <f t="shared" si="2"/>
        <v>2018</v>
      </c>
      <c r="F40" s="6">
        <f t="shared" si="2"/>
        <v>2019</v>
      </c>
      <c r="G40" s="6">
        <f t="shared" si="2"/>
        <v>2020</v>
      </c>
      <c r="H40" s="6">
        <f t="shared" si="2"/>
        <v>2021</v>
      </c>
      <c r="I40" s="6">
        <f t="shared" si="2"/>
        <v>2022</v>
      </c>
      <c r="J40" s="6">
        <f t="shared" si="2"/>
        <v>2023</v>
      </c>
      <c r="K40" s="6">
        <f t="shared" si="2"/>
        <v>2024</v>
      </c>
      <c r="L40" s="6">
        <f t="shared" si="2"/>
        <v>2025</v>
      </c>
      <c r="M40" s="6">
        <f t="shared" si="2"/>
        <v>2026</v>
      </c>
      <c r="N40" s="6">
        <f t="shared" si="2"/>
        <v>2027</v>
      </c>
      <c r="O40" s="6">
        <f t="shared" si="2"/>
        <v>2028</v>
      </c>
      <c r="P40" s="6">
        <f t="shared" si="2"/>
        <v>2029</v>
      </c>
      <c r="Q40" s="6">
        <f t="shared" si="2"/>
        <v>2030</v>
      </c>
      <c r="R40" s="6">
        <f t="shared" si="2"/>
        <v>2031</v>
      </c>
      <c r="S40" s="6">
        <f t="shared" si="2"/>
        <v>2032</v>
      </c>
      <c r="T40" s="6">
        <f t="shared" si="2"/>
        <v>2033</v>
      </c>
      <c r="U40" s="6">
        <f t="shared" si="2"/>
        <v>2034</v>
      </c>
      <c r="V40" s="6" t="s">
        <v>14</v>
      </c>
    </row>
    <row r="41" spans="1:22">
      <c r="A41" s="50" t="s">
        <v>2</v>
      </c>
    </row>
    <row r="42" spans="1:22">
      <c r="A42" s="9" t="s">
        <v>8</v>
      </c>
      <c r="B42" s="59">
        <f>'Scen 2 MWh Savings'!B6/('Scen 2 Summer &amp; Winter MW'!B6*1000)</f>
        <v>7.9431382144851392</v>
      </c>
      <c r="C42" s="59">
        <f>'Scen 2 MWh Savings'!C6/('Scen 2 Summer &amp; Winter MW'!C6*1000)</f>
        <v>7.9130445427644887</v>
      </c>
      <c r="D42" s="59">
        <f>'Scen 2 MWh Savings'!D6/('Scen 2 Summer &amp; Winter MW'!D6*1000)</f>
        <v>7.9999882998489253</v>
      </c>
      <c r="E42" s="59">
        <f>'Scen 2 MWh Savings'!E6/('Scen 2 Summer &amp; Winter MW'!E6*1000)</f>
        <v>7.8932145131885374</v>
      </c>
      <c r="F42" s="59">
        <f>'Scen 2 MWh Savings'!F6/('Scen 2 Summer &amp; Winter MW'!F6*1000)</f>
        <v>7.8923863671819294</v>
      </c>
      <c r="G42" s="59">
        <f>'Scen 2 MWh Savings'!G6/('Scen 2 Summer &amp; Winter MW'!G6*1000)</f>
        <v>7.7232598879252743</v>
      </c>
      <c r="H42" s="59">
        <f>'Scen 2 MWh Savings'!H6/('Scen 2 Summer &amp; Winter MW'!H6*1000)</f>
        <v>7.9647234831722962</v>
      </c>
      <c r="I42" s="59">
        <f>'Scen 2 MWh Savings'!I6/('Scen 2 Summer &amp; Winter MW'!I6*1000)</f>
        <v>7.9673407996182899</v>
      </c>
      <c r="J42" s="59">
        <f>'Scen 2 MWh Savings'!J6/('Scen 2 Summer &amp; Winter MW'!J6*1000)</f>
        <v>7.9973058936034747</v>
      </c>
      <c r="K42" s="59">
        <f>'Scen 2 MWh Savings'!K6/('Scen 2 Summer &amp; Winter MW'!K6*1000)</f>
        <v>8.2409148222811872</v>
      </c>
      <c r="L42" s="59">
        <f>'Scen 2 MWh Savings'!L6/('Scen 2 Summer &amp; Winter MW'!L6*1000)</f>
        <v>8.2413214681514262</v>
      </c>
      <c r="M42" s="59">
        <f>'Scen 2 MWh Savings'!M6/('Scen 2 Summer &amp; Winter MW'!M6*1000)</f>
        <v>8.241724748139708</v>
      </c>
      <c r="N42" s="59">
        <f>'Scen 2 MWh Savings'!N6/('Scen 2 Summer &amp; Winter MW'!N6*1000)</f>
        <v>8.4750638061706312</v>
      </c>
      <c r="O42" s="59">
        <f>'Scen 2 MWh Savings'!O6/('Scen 2 Summer &amp; Winter MW'!O6*1000)</f>
        <v>8.4849806851976197</v>
      </c>
      <c r="P42" s="59">
        <f>'Scen 2 MWh Savings'!P6/('Scen 2 Summer &amp; Winter MW'!P6*1000)</f>
        <v>8.4854768772940545</v>
      </c>
      <c r="Q42" s="59">
        <f>'Scen 2 MWh Savings'!Q6/('Scen 2 Summer &amp; Winter MW'!Q6*1000)</f>
        <v>9.0291807194933682</v>
      </c>
      <c r="R42" s="59">
        <f>'Scen 2 MWh Savings'!R6/('Scen 2 Summer &amp; Winter MW'!R6*1000)</f>
        <v>9.0299831228199583</v>
      </c>
      <c r="S42" s="59">
        <f>'Scen 2 MWh Savings'!S6/('Scen 2 Summer &amp; Winter MW'!S6*1000)</f>
        <v>9.0307788729657776</v>
      </c>
      <c r="T42" s="59">
        <f>'Scen 2 MWh Savings'!T6/('Scen 2 Summer &amp; Winter MW'!T6*1000)</f>
        <v>9.6256004834490607</v>
      </c>
      <c r="U42" s="59">
        <f>'Scen 2 MWh Savings'!U6/('Scen 2 Summer &amp; Winter MW'!U6*1000)</f>
        <v>9.6266841604172075</v>
      </c>
      <c r="V42" s="59">
        <f>'Scen 2 MWh Savings'!V6/('Scen 2 Summer &amp; Winter MW'!V6*1000)</f>
        <v>8.4490424893855316</v>
      </c>
    </row>
    <row r="43" spans="1:22">
      <c r="A43" s="10" t="s">
        <v>9</v>
      </c>
      <c r="B43" s="59">
        <f>'Scen 2 MWh Savings'!B7/('Scen 2 Summer &amp; Winter MW'!B7*1000)</f>
        <v>10.550449989472764</v>
      </c>
      <c r="C43" s="59">
        <f>'Scen 2 MWh Savings'!C7/('Scen 2 Summer &amp; Winter MW'!C7*1000)</f>
        <v>10.841477347503639</v>
      </c>
      <c r="D43" s="59">
        <f>'Scen 2 MWh Savings'!D7/('Scen 2 Summer &amp; Winter MW'!D7*1000)</f>
        <v>11.377476107038841</v>
      </c>
      <c r="E43" s="59">
        <f>'Scen 2 MWh Savings'!E7/('Scen 2 Summer &amp; Winter MW'!E7*1000)</f>
        <v>8.6893854452249073</v>
      </c>
      <c r="F43" s="59">
        <f>'Scen 2 MWh Savings'!F7/('Scen 2 Summer &amp; Winter MW'!F7*1000)</f>
        <v>8.5129141462024123</v>
      </c>
      <c r="G43" s="59">
        <f>'Scen 2 MWh Savings'!G7/('Scen 2 Summer &amp; Winter MW'!G7*1000)</f>
        <v>10.261545143243698</v>
      </c>
      <c r="H43" s="59">
        <f>'Scen 2 MWh Savings'!H7/('Scen 2 Summer &amp; Winter MW'!H7*1000)</f>
        <v>8.80736821449457</v>
      </c>
      <c r="I43" s="59">
        <f>'Scen 2 MWh Savings'!I7/('Scen 2 Summer &amp; Winter MW'!I7*1000)</f>
        <v>8.780422224717876</v>
      </c>
      <c r="J43" s="59">
        <f>'Scen 2 MWh Savings'!J7/('Scen 2 Summer &amp; Winter MW'!J7*1000)</f>
        <v>8.9608477440126144</v>
      </c>
      <c r="K43" s="59">
        <f>'Scen 2 MWh Savings'!K7/('Scen 2 Summer &amp; Winter MW'!K7*1000)</f>
        <v>9.4028668214396127</v>
      </c>
      <c r="L43" s="59">
        <f>'Scen 2 MWh Savings'!L7/('Scen 2 Summer &amp; Winter MW'!L7*1000)</f>
        <v>9.5593251880262429</v>
      </c>
      <c r="M43" s="59">
        <f>'Scen 2 MWh Savings'!M7/('Scen 2 Summer &amp; Winter MW'!M7*1000)</f>
        <v>9.5862524193035128</v>
      </c>
      <c r="N43" s="59">
        <f>'Scen 2 MWh Savings'!N7/('Scen 2 Summer &amp; Winter MW'!N7*1000)</f>
        <v>9.5206773540049756</v>
      </c>
      <c r="O43" s="59">
        <f>'Scen 2 MWh Savings'!O7/('Scen 2 Summer &amp; Winter MW'!O7*1000)</f>
        <v>9.6407773996436337</v>
      </c>
      <c r="P43" s="59">
        <f>'Scen 2 MWh Savings'!P7/('Scen 2 Summer &amp; Winter MW'!P7*1000)</f>
        <v>9.5522330574618852</v>
      </c>
      <c r="Q43" s="59">
        <f>'Scen 2 MWh Savings'!Q7/('Scen 2 Summer &amp; Winter MW'!Q7*1000)</f>
        <v>9.6261642613351235</v>
      </c>
      <c r="R43" s="59">
        <f>'Scen 2 MWh Savings'!R7/('Scen 2 Summer &amp; Winter MW'!R7*1000)</f>
        <v>9.7063144790083111</v>
      </c>
      <c r="S43" s="59">
        <f>'Scen 2 MWh Savings'!S7/('Scen 2 Summer &amp; Winter MW'!S7*1000)</f>
        <v>9.7057319082828322</v>
      </c>
      <c r="T43" s="59">
        <f>'Scen 2 MWh Savings'!T7/('Scen 2 Summer &amp; Winter MW'!T7*1000)</f>
        <v>9.7096081327391826</v>
      </c>
      <c r="U43" s="59">
        <f>'Scen 2 MWh Savings'!U7/('Scen 2 Summer &amp; Winter MW'!U7*1000)</f>
        <v>9.6617379665731029</v>
      </c>
      <c r="V43" s="59">
        <f>'Scen 2 MWh Savings'!V7/('Scen 2 Summer &amp; Winter MW'!V7*1000)</f>
        <v>9.6236868603815928</v>
      </c>
    </row>
    <row r="44" spans="1:22">
      <c r="A44" s="10" t="s">
        <v>10</v>
      </c>
      <c r="B44" s="59">
        <f>'Scen 2 MWh Savings'!B8/('Scen 2 Summer &amp; Winter MW'!B8*1000)</f>
        <v>8.8850553395651559</v>
      </c>
      <c r="C44" s="59">
        <f>'Scen 2 MWh Savings'!C8/('Scen 2 Summer &amp; Winter MW'!C8*1000)</f>
        <v>8.6754537909491809</v>
      </c>
      <c r="D44" s="59">
        <f>'Scen 2 MWh Savings'!D8/('Scen 2 Summer &amp; Winter MW'!D8*1000)</f>
        <v>8.4576991408413651</v>
      </c>
      <c r="E44" s="59">
        <f>'Scen 2 MWh Savings'!E8/('Scen 2 Summer &amp; Winter MW'!E8*1000)</f>
        <v>8.2791765497009138</v>
      </c>
      <c r="F44" s="59">
        <f>'Scen 2 MWh Savings'!F8/('Scen 2 Summer &amp; Winter MW'!F8*1000)</f>
        <v>8.1223039385063664</v>
      </c>
      <c r="G44" s="59">
        <f>'Scen 2 MWh Savings'!G8/('Scen 2 Summer &amp; Winter MW'!G8*1000)</f>
        <v>7.7941724791571447</v>
      </c>
      <c r="H44" s="59">
        <f>'Scen 2 MWh Savings'!H8/('Scen 2 Summer &amp; Winter MW'!H8*1000)</f>
        <v>7.7214399855806688</v>
      </c>
      <c r="I44" s="59">
        <f>'Scen 2 MWh Savings'!I8/('Scen 2 Summer &amp; Winter MW'!I8*1000)</f>
        <v>7.7368992736041422</v>
      </c>
      <c r="J44" s="59">
        <f>'Scen 2 MWh Savings'!J8/('Scen 2 Summer &amp; Winter MW'!J8*1000)</f>
        <v>7.7089659330353753</v>
      </c>
      <c r="K44" s="59">
        <f>'Scen 2 MWh Savings'!K8/('Scen 2 Summer &amp; Winter MW'!K8*1000)</f>
        <v>7.7504555892911444</v>
      </c>
      <c r="L44" s="59">
        <f>'Scen 2 MWh Savings'!L8/('Scen 2 Summer &amp; Winter MW'!L8*1000)</f>
        <v>7.7250583259433041</v>
      </c>
      <c r="M44" s="59">
        <f>'Scen 2 MWh Savings'!M8/('Scen 2 Summer &amp; Winter MW'!M8*1000)</f>
        <v>7.8052467917053354</v>
      </c>
      <c r="N44" s="59">
        <f>'Scen 2 MWh Savings'!N8/('Scen 2 Summer &amp; Winter MW'!N8*1000)</f>
        <v>7.7118871438634251</v>
      </c>
      <c r="O44" s="59">
        <f>'Scen 2 MWh Savings'!O8/('Scen 2 Summer &amp; Winter MW'!O8*1000)</f>
        <v>7.3401903895924736</v>
      </c>
      <c r="P44" s="59">
        <f>'Scen 2 MWh Savings'!P8/('Scen 2 Summer &amp; Winter MW'!P8*1000)</f>
        <v>7.2140070749046865</v>
      </c>
      <c r="Q44" s="59">
        <f>'Scen 2 MWh Savings'!Q8/('Scen 2 Summer &amp; Winter MW'!Q8*1000)</f>
        <v>7.1534646620920448</v>
      </c>
      <c r="R44" s="59">
        <f>'Scen 2 MWh Savings'!R8/('Scen 2 Summer &amp; Winter MW'!R8*1000)</f>
        <v>7.0828283739907416</v>
      </c>
      <c r="S44" s="59">
        <f>'Scen 2 MWh Savings'!S8/('Scen 2 Summer &amp; Winter MW'!S8*1000)</f>
        <v>7.058426581205774</v>
      </c>
      <c r="T44" s="59">
        <f>'Scen 2 MWh Savings'!T8/('Scen 2 Summer &amp; Winter MW'!T8*1000)</f>
        <v>6.8468120419541352</v>
      </c>
      <c r="U44" s="59">
        <f>'Scen 2 MWh Savings'!U8/('Scen 2 Summer &amp; Winter MW'!U8*1000)</f>
        <v>6.9045053393058282</v>
      </c>
      <c r="V44" s="59">
        <f>'Scen 2 MWh Savings'!V8/('Scen 2 Summer &amp; Winter MW'!V8*1000)</f>
        <v>7.5269025542426746</v>
      </c>
    </row>
    <row r="45" spans="1:22">
      <c r="A45" s="10" t="s">
        <v>11</v>
      </c>
      <c r="B45" s="59">
        <f>'Scen 2 MWh Savings'!B9/('Scen 2 Summer &amp; Winter MW'!B9*1000)</f>
        <v>9.3159327153457863</v>
      </c>
      <c r="C45" s="59">
        <f>'Scen 2 MWh Savings'!C9/('Scen 2 Summer &amp; Winter MW'!C9*1000)</f>
        <v>9.3320286407145439</v>
      </c>
      <c r="D45" s="59">
        <f>'Scen 2 MWh Savings'!D9/('Scen 2 Summer &amp; Winter MW'!D9*1000)</f>
        <v>9.3965513946482382</v>
      </c>
      <c r="E45" s="59">
        <f>'Scen 2 MWh Savings'!E9/('Scen 2 Summer &amp; Winter MW'!E9*1000)</f>
        <v>9.2894601224287285</v>
      </c>
      <c r="F45" s="59">
        <f>'Scen 2 MWh Savings'!F9/('Scen 2 Summer &amp; Winter MW'!F9*1000)</f>
        <v>9.3296299017344122</v>
      </c>
      <c r="G45" s="59">
        <f>'Scen 2 MWh Savings'!G9/('Scen 2 Summer &amp; Winter MW'!G9*1000)</f>
        <v>9.3338878879737646</v>
      </c>
      <c r="H45" s="59">
        <f>'Scen 2 MWh Savings'!H9/('Scen 2 Summer &amp; Winter MW'!H9*1000)</f>
        <v>9.3539657855054248</v>
      </c>
      <c r="I45" s="59">
        <f>'Scen 2 MWh Savings'!I9/('Scen 2 Summer &amp; Winter MW'!I9*1000)</f>
        <v>9.3439940850078731</v>
      </c>
      <c r="J45" s="59">
        <f>'Scen 2 MWh Savings'!J9/('Scen 2 Summer &amp; Winter MW'!J9*1000)</f>
        <v>9.32568836287812</v>
      </c>
      <c r="K45" s="59">
        <f>'Scen 2 MWh Savings'!K9/('Scen 2 Summer &amp; Winter MW'!K9*1000)</f>
        <v>9.3277574325678803</v>
      </c>
      <c r="L45" s="59">
        <f>'Scen 2 MWh Savings'!L9/('Scen 2 Summer &amp; Winter MW'!L9*1000)</f>
        <v>9.3224107962139744</v>
      </c>
      <c r="M45" s="59">
        <f>'Scen 2 MWh Savings'!M9/('Scen 2 Summer &amp; Winter MW'!M9*1000)</f>
        <v>9.3172519407638781</v>
      </c>
      <c r="N45" s="59">
        <f>'Scen 2 MWh Savings'!N9/('Scen 2 Summer &amp; Winter MW'!N9*1000)</f>
        <v>9.3099793577291088</v>
      </c>
      <c r="O45" s="59">
        <f>'Scen 2 MWh Savings'!O9/('Scen 2 Summer &amp; Winter MW'!O9*1000)</f>
        <v>9.3165687187826194</v>
      </c>
      <c r="P45" s="59">
        <f>'Scen 2 MWh Savings'!P9/('Scen 2 Summer &amp; Winter MW'!P9*1000)</f>
        <v>9.3113474546524682</v>
      </c>
      <c r="Q45" s="59">
        <f>'Scen 2 MWh Savings'!Q9/('Scen 2 Summer &amp; Winter MW'!Q9*1000)</f>
        <v>9.3062643352541308</v>
      </c>
      <c r="R45" s="59">
        <f>'Scen 2 MWh Savings'!R9/('Scen 2 Summer &amp; Winter MW'!R9*1000)</f>
        <v>9.2964822513397856</v>
      </c>
      <c r="S45" s="59">
        <f>'Scen 2 MWh Savings'!S9/('Scen 2 Summer &amp; Winter MW'!S9*1000)</f>
        <v>9.2914834041811236</v>
      </c>
      <c r="T45" s="59">
        <f>'Scen 2 MWh Savings'!T9/('Scen 2 Summer &amp; Winter MW'!T9*1000)</f>
        <v>9.2866178654787603</v>
      </c>
      <c r="U45" s="59">
        <f>'Scen 2 MWh Savings'!U9/('Scen 2 Summer &amp; Winter MW'!U9*1000)</f>
        <v>9.281163526251321</v>
      </c>
      <c r="V45" s="59">
        <f>'Scen 2 MWh Savings'!V9/('Scen 2 Summer &amp; Winter MW'!V9*1000)</f>
        <v>9.3176010054458835</v>
      </c>
    </row>
    <row r="46" spans="1:22">
      <c r="A46" s="2" t="s">
        <v>12</v>
      </c>
      <c r="B46" s="59">
        <f>'Scen 2 MWh Savings'!B10/('Scen 2 Summer &amp; Winter MW'!B10*1000)</f>
        <v>8.6842330391200377</v>
      </c>
      <c r="C46" s="59">
        <f>'Scen 2 MWh Savings'!C10/('Scen 2 Summer &amp; Winter MW'!C10*1000)</f>
        <v>8.739341966194047</v>
      </c>
      <c r="D46" s="59">
        <f>'Scen 2 MWh Savings'!D10/('Scen 2 Summer &amp; Winter MW'!D10*1000)</f>
        <v>8.824758938512014</v>
      </c>
      <c r="E46" s="59">
        <f>'Scen 2 MWh Savings'!E10/('Scen 2 Summer &amp; Winter MW'!E10*1000)</f>
        <v>8.7338633960086387</v>
      </c>
      <c r="F46" s="59">
        <f>'Scen 2 MWh Savings'!F10/('Scen 2 Summer &amp; Winter MW'!F10*1000)</f>
        <v>8.7605740072658662</v>
      </c>
      <c r="G46" s="59">
        <f>'Scen 2 MWh Savings'!G10/('Scen 2 Summer &amp; Winter MW'!G10*1000)</f>
        <v>8.7494975782300752</v>
      </c>
      <c r="H46" s="59">
        <f>'Scen 2 MWh Savings'!H10/('Scen 2 Summer &amp; Winter MW'!H10*1000)</f>
        <v>8.7568036747834377</v>
      </c>
      <c r="I46" s="59">
        <f>'Scen 2 MWh Savings'!I10/('Scen 2 Summer &amp; Winter MW'!I10*1000)</f>
        <v>8.7780240938677991</v>
      </c>
      <c r="J46" s="59">
        <f>'Scen 2 MWh Savings'!J10/('Scen 2 Summer &amp; Winter MW'!J10*1000)</f>
        <v>8.7871360926459019</v>
      </c>
      <c r="K46" s="59">
        <f>'Scen 2 MWh Savings'!K10/('Scen 2 Summer &amp; Winter MW'!K10*1000)</f>
        <v>8.782997460932128</v>
      </c>
      <c r="L46" s="59">
        <f>'Scen 2 MWh Savings'!L10/('Scen 2 Summer &amp; Winter MW'!L10*1000)</f>
        <v>8.7943023947272252</v>
      </c>
      <c r="M46" s="59">
        <f>'Scen 2 MWh Savings'!M10/('Scen 2 Summer &amp; Winter MW'!M10*1000)</f>
        <v>8.7979870325927436</v>
      </c>
      <c r="N46" s="59">
        <f>'Scen 2 MWh Savings'!N10/('Scen 2 Summer &amp; Winter MW'!N10*1000)</f>
        <v>8.8005368739862693</v>
      </c>
      <c r="O46" s="59">
        <f>'Scen 2 MWh Savings'!O10/('Scen 2 Summer &amp; Winter MW'!O10*1000)</f>
        <v>8.8042118713884783</v>
      </c>
      <c r="P46" s="59">
        <f>'Scen 2 MWh Savings'!P10/('Scen 2 Summer &amp; Winter MW'!P10*1000)</f>
        <v>8.8033306575536958</v>
      </c>
      <c r="Q46" s="59">
        <f>'Scen 2 MWh Savings'!Q10/('Scen 2 Summer &amp; Winter MW'!Q10*1000)</f>
        <v>8.8098560505356218</v>
      </c>
      <c r="R46" s="59">
        <f>'Scen 2 MWh Savings'!R10/('Scen 2 Summer &amp; Winter MW'!R10*1000)</f>
        <v>8.8159413265409405</v>
      </c>
      <c r="S46" s="59">
        <f>'Scen 2 MWh Savings'!S10/('Scen 2 Summer &amp; Winter MW'!S10*1000)</f>
        <v>8.8165687344543002</v>
      </c>
      <c r="T46" s="59">
        <f>'Scen 2 MWh Savings'!T10/('Scen 2 Summer &amp; Winter MW'!T10*1000)</f>
        <v>8.823596496650179</v>
      </c>
      <c r="U46" s="59">
        <f>'Scen 2 MWh Savings'!U10/('Scen 2 Summer &amp; Winter MW'!U10*1000)</f>
        <v>8.828892700228959</v>
      </c>
      <c r="V46" s="59">
        <f>'Scen 2 MWh Savings'!V10/('Scen 2 Summer &amp; Winter MW'!V10*1000)</f>
        <v>8.7867572805288958</v>
      </c>
    </row>
    <row r="47" spans="1:22">
      <c r="A47" s="2" t="s">
        <v>13</v>
      </c>
      <c r="B47" s="61">
        <f>'Scen 2 MWh Savings'!B11/('Scen 2 Summer &amp; Winter MW'!B11*1000)</f>
        <v>7.3920682489365772</v>
      </c>
      <c r="C47" s="61">
        <f>'Scen 2 MWh Savings'!C11/('Scen 2 Summer &amp; Winter MW'!C11*1000)</f>
        <v>7.3728878239699407</v>
      </c>
      <c r="D47" s="61">
        <f>'Scen 2 MWh Savings'!D11/('Scen 2 Summer &amp; Winter MW'!D11*1000)</f>
        <v>7.3734767025158838</v>
      </c>
      <c r="E47" s="61">
        <f>'Scen 2 MWh Savings'!E11/('Scen 2 Summer &amp; Winter MW'!E11*1000)</f>
        <v>7.2761588967580826</v>
      </c>
      <c r="F47" s="61">
        <f>'Scen 2 MWh Savings'!F11/('Scen 2 Summer &amp; Winter MW'!F11*1000)</f>
        <v>7.3102302869120832</v>
      </c>
      <c r="G47" s="61">
        <f>'Scen 2 MWh Savings'!G11/('Scen 2 Summer &amp; Winter MW'!G11*1000)</f>
        <v>7.2832706513490644</v>
      </c>
      <c r="H47" s="61">
        <f>'Scen 2 MWh Savings'!H11/('Scen 2 Summer &amp; Winter MW'!H11*1000)</f>
        <v>7.3149565844075122</v>
      </c>
      <c r="I47" s="61">
        <f>'Scen 2 MWh Savings'!I11/('Scen 2 Summer &amp; Winter MW'!I11*1000)</f>
        <v>7.3014806254869677</v>
      </c>
      <c r="J47" s="61">
        <f>'Scen 2 MWh Savings'!J11/('Scen 2 Summer &amp; Winter MW'!J11*1000)</f>
        <v>7.2784555719441943</v>
      </c>
      <c r="K47" s="61">
        <f>'Scen 2 MWh Savings'!K11/('Scen 2 Summer &amp; Winter MW'!K11*1000)</f>
        <v>7.274846213152415</v>
      </c>
      <c r="L47" s="61">
        <f>'Scen 2 MWh Savings'!L11/('Scen 2 Summer &amp; Winter MW'!L11*1000)</f>
        <v>7.3330964456131591</v>
      </c>
      <c r="M47" s="61">
        <f>'Scen 2 MWh Savings'!M11/('Scen 2 Summer &amp; Winter MW'!M11*1000)</f>
        <v>7.3729480617206447</v>
      </c>
      <c r="N47" s="61">
        <f>'Scen 2 MWh Savings'!N11/('Scen 2 Summer &amp; Winter MW'!N11*1000)</f>
        <v>7.4311092030766357</v>
      </c>
      <c r="O47" s="61">
        <f>'Scen 2 MWh Savings'!O11/('Scen 2 Summer &amp; Winter MW'!O11*1000)</f>
        <v>7.4462476143663183</v>
      </c>
      <c r="P47" s="61">
        <f>'Scen 2 MWh Savings'!P11/('Scen 2 Summer &amp; Winter MW'!P11*1000)</f>
        <v>7.4783973820739398</v>
      </c>
      <c r="Q47" s="61">
        <f>'Scen 2 MWh Savings'!Q11/('Scen 2 Summer &amp; Winter MW'!Q11*1000)</f>
        <v>7.5271340047112707</v>
      </c>
      <c r="R47" s="61">
        <f>'Scen 2 MWh Savings'!R11/('Scen 2 Summer &amp; Winter MW'!R11*1000)</f>
        <v>7.5871733468469822</v>
      </c>
      <c r="S47" s="61">
        <f>'Scen 2 MWh Savings'!S11/('Scen 2 Summer &amp; Winter MW'!S11*1000)</f>
        <v>7.6089384956192259</v>
      </c>
      <c r="T47" s="61">
        <f>'Scen 2 MWh Savings'!T11/('Scen 2 Summer &amp; Winter MW'!T11*1000)</f>
        <v>7.6525088564734611</v>
      </c>
      <c r="U47" s="61">
        <f>'Scen 2 MWh Savings'!U11/('Scen 2 Summer &amp; Winter MW'!U11*1000)</f>
        <v>7.6984353475757423</v>
      </c>
      <c r="V47" s="61">
        <f>'Scen 2 MWh Savings'!V11/('Scen 2 Summer &amp; Winter MW'!V11*1000)</f>
        <v>7.439176738464254</v>
      </c>
    </row>
    <row r="48" spans="1:22">
      <c r="A48" s="8" t="s">
        <v>15</v>
      </c>
      <c r="B48" s="60">
        <f>'Scen 2 MWh Savings'!B12/('Scen 2 Summer &amp; Winter MW'!B12*1000)</f>
        <v>9.7624687956298235</v>
      </c>
      <c r="C48" s="60">
        <f>'Scen 2 MWh Savings'!C12/('Scen 2 Summer &amp; Winter MW'!C12*1000)</f>
        <v>9.8853601646635045</v>
      </c>
      <c r="D48" s="60">
        <f>'Scen 2 MWh Savings'!D12/('Scen 2 Summer &amp; Winter MW'!D12*1000)</f>
        <v>10.11148518011283</v>
      </c>
      <c r="E48" s="60">
        <f>'Scen 2 MWh Savings'!E12/('Scen 2 Summer &amp; Winter MW'!E12*1000)</f>
        <v>8.5956970750108841</v>
      </c>
      <c r="F48" s="60">
        <f>'Scen 2 MWh Savings'!F12/('Scen 2 Summer &amp; Winter MW'!F12*1000)</f>
        <v>8.4652971137535484</v>
      </c>
      <c r="G48" s="60">
        <f>'Scen 2 MWh Savings'!G12/('Scen 2 Summer &amp; Winter MW'!G12*1000)</f>
        <v>9.0795849258219601</v>
      </c>
      <c r="H48" s="60">
        <f>'Scen 2 MWh Savings'!H12/('Scen 2 Summer &amp; Winter MW'!H12*1000)</f>
        <v>8.3931883567245311</v>
      </c>
      <c r="I48" s="60">
        <f>'Scen 2 MWh Savings'!I12/('Scen 2 Summer &amp; Winter MW'!I12*1000)</f>
        <v>8.3421165101454395</v>
      </c>
      <c r="J48" s="60">
        <f>'Scen 2 MWh Savings'!J12/('Scen 2 Summer &amp; Winter MW'!J12*1000)</f>
        <v>8.3355309065815497</v>
      </c>
      <c r="K48" s="60">
        <f>'Scen 2 MWh Savings'!K12/('Scen 2 Summer &amp; Winter MW'!K12*1000)</f>
        <v>8.4852579137752144</v>
      </c>
      <c r="L48" s="60">
        <f>'Scen 2 MWh Savings'!L12/('Scen 2 Summer &amp; Winter MW'!L12*1000)</f>
        <v>8.5050012993891428</v>
      </c>
      <c r="M48" s="60">
        <f>'Scen 2 MWh Savings'!M12/('Scen 2 Summer &amp; Winter MW'!M12*1000)</f>
        <v>8.5351188294303739</v>
      </c>
      <c r="N48" s="60">
        <f>'Scen 2 MWh Savings'!N12/('Scen 2 Summer &amp; Winter MW'!N12*1000)</f>
        <v>8.4703065062909317</v>
      </c>
      <c r="O48" s="60">
        <f>'Scen 2 MWh Savings'!O12/('Scen 2 Summer &amp; Winter MW'!O12*1000)</f>
        <v>8.3088048701979389</v>
      </c>
      <c r="P48" s="60">
        <f>'Scen 2 MWh Savings'!P12/('Scen 2 Summer &amp; Winter MW'!P12*1000)</f>
        <v>8.2052784914707164</v>
      </c>
      <c r="Q48" s="60">
        <f>'Scen 2 MWh Savings'!Q12/('Scen 2 Summer &amp; Winter MW'!Q12*1000)</f>
        <v>8.1937757001166851</v>
      </c>
      <c r="R48" s="60">
        <f>'Scen 2 MWh Savings'!R12/('Scen 2 Summer &amp; Winter MW'!R12*1000)</f>
        <v>8.1562007687549727</v>
      </c>
      <c r="S48" s="60">
        <f>'Scen 2 MWh Savings'!S12/('Scen 2 Summer &amp; Winter MW'!S12*1000)</f>
        <v>8.1304648517406388</v>
      </c>
      <c r="T48" s="60">
        <f>'Scen 2 MWh Savings'!T12/('Scen 2 Summer &amp; Winter MW'!T12*1000)</f>
        <v>8.0172784137046378</v>
      </c>
      <c r="U48" s="60">
        <f>'Scen 2 MWh Savings'!U12/('Scen 2 Summer &amp; Winter MW'!U12*1000)</f>
        <v>8.0336184128975692</v>
      </c>
      <c r="V48" s="60">
        <f>'Scen 2 MWh Savings'!V12/('Scen 2 Summer &amp; Winter MW'!V12*1000)</f>
        <v>8.5694708099151917</v>
      </c>
    </row>
    <row r="50" spans="1:22">
      <c r="A50" s="50" t="s">
        <v>3</v>
      </c>
    </row>
    <row r="51" spans="1:22">
      <c r="A51" s="2" t="s">
        <v>7</v>
      </c>
      <c r="B51" s="59">
        <f>'Scen 2 MWh Savings'!B15/('Scen 2 Summer &amp; Winter MW'!B15*1000)</f>
        <v>4.9090078332708096</v>
      </c>
      <c r="C51" s="59">
        <f>'Scen 2 MWh Savings'!C15/('Scen 2 Summer &amp; Winter MW'!C15*1000)</f>
        <v>5.0812796183721387</v>
      </c>
      <c r="D51" s="59">
        <f>'Scen 2 MWh Savings'!D15/('Scen 2 Summer &amp; Winter MW'!D15*1000)</f>
        <v>5.2496138421615965</v>
      </c>
      <c r="E51" s="59">
        <f>'Scen 2 MWh Savings'!E15/('Scen 2 Summer &amp; Winter MW'!E15*1000)</f>
        <v>5.2594127296883011</v>
      </c>
      <c r="F51" s="59">
        <f>'Scen 2 MWh Savings'!F15/('Scen 2 Summer &amp; Winter MW'!F15*1000)</f>
        <v>5.3710454391165516</v>
      </c>
      <c r="G51" s="59">
        <f>'Scen 2 MWh Savings'!G15/('Scen 2 Summer &amp; Winter MW'!G15*1000)</f>
        <v>5.4462738014832786</v>
      </c>
      <c r="H51" s="59">
        <f>'Scen 2 MWh Savings'!H15/('Scen 2 Summer &amp; Winter MW'!H15*1000)</f>
        <v>5.4462738157709136</v>
      </c>
      <c r="I51" s="59">
        <f>'Scen 2 MWh Savings'!I15/('Scen 2 Summer &amp; Winter MW'!I15*1000)</f>
        <v>5.446273810587682</v>
      </c>
      <c r="J51" s="59">
        <f>'Scen 2 MWh Savings'!J15/('Scen 2 Summer &amp; Winter MW'!J15*1000)</f>
        <v>5.4462738126430814</v>
      </c>
      <c r="K51" s="59">
        <f>'Scen 2 MWh Savings'!K15/('Scen 2 Summer &amp; Winter MW'!K15*1000)</f>
        <v>5.4462737959751539</v>
      </c>
      <c r="L51" s="59">
        <f>'Scen 2 MWh Savings'!L15/('Scen 2 Summer &amp; Winter MW'!L15*1000)</f>
        <v>5.4462738025311257</v>
      </c>
      <c r="M51" s="59">
        <f>'Scen 2 MWh Savings'!M15/('Scen 2 Summer &amp; Winter MW'!M15*1000)</f>
        <v>5.4462738236617314</v>
      </c>
      <c r="N51" s="59">
        <f>'Scen 2 MWh Savings'!N15/('Scen 2 Summer &amp; Winter MW'!N15*1000)</f>
        <v>5.4462737985301013</v>
      </c>
      <c r="O51" s="59">
        <f>'Scen 2 MWh Savings'!O15/('Scen 2 Summer &amp; Winter MW'!O15*1000)</f>
        <v>5.4462738000261979</v>
      </c>
      <c r="P51" s="59">
        <f>'Scen 2 MWh Savings'!P15/('Scen 2 Summer &amp; Winter MW'!P15*1000)</f>
        <v>5.446273829513224</v>
      </c>
      <c r="Q51" s="59">
        <f>'Scen 2 MWh Savings'!Q15/('Scen 2 Summer &amp; Winter MW'!Q15*1000)</f>
        <v>5.4462738126404284</v>
      </c>
      <c r="R51" s="59">
        <f>'Scen 2 MWh Savings'!R15/('Scen 2 Summer &amp; Winter MW'!R15*1000)</f>
        <v>5.4462737977163513</v>
      </c>
      <c r="S51" s="59">
        <f>'Scen 2 MWh Savings'!S15/('Scen 2 Summer &amp; Winter MW'!S15*1000)</f>
        <v>5.4462738250149938</v>
      </c>
      <c r="T51" s="59">
        <f>'Scen 2 MWh Savings'!T15/('Scen 2 Summer &amp; Winter MW'!T15*1000)</f>
        <v>5.4462738178558627</v>
      </c>
      <c r="U51" s="59">
        <f>'Scen 2 MWh Savings'!U15/('Scen 2 Summer &amp; Winter MW'!U15*1000)</f>
        <v>5.4462737939390387</v>
      </c>
      <c r="V51" s="59">
        <f>'Scen 2 MWh Savings'!V15/('Scen 2 Summer &amp; Winter MW'!V15*1000)</f>
        <v>5.3567746938049261</v>
      </c>
    </row>
    <row r="52" spans="1:22">
      <c r="A52" s="2" t="s">
        <v>6</v>
      </c>
      <c r="B52" s="59">
        <f>'Scen 2 MWh Savings'!B16/('Scen 2 Summer &amp; Winter MW'!B16*1000)</f>
        <v>5.0002753177833705</v>
      </c>
      <c r="C52" s="59">
        <f>'Scen 2 MWh Savings'!C16/('Scen 2 Summer &amp; Winter MW'!C16*1000)</f>
        <v>5.0602737514969354</v>
      </c>
      <c r="D52" s="59">
        <f>'Scen 2 MWh Savings'!D16/('Scen 2 Summer &amp; Winter MW'!D16*1000)</f>
        <v>5.14327741487112</v>
      </c>
      <c r="E52" s="59">
        <f>'Scen 2 MWh Savings'!E16/('Scen 2 Summer &amp; Winter MW'!E16*1000)</f>
        <v>5.0217208263985729</v>
      </c>
      <c r="F52" s="59">
        <f>'Scen 2 MWh Savings'!F16/('Scen 2 Summer &amp; Winter MW'!F16*1000)</f>
        <v>5.0390931349764969</v>
      </c>
      <c r="G52" s="59">
        <f>'Scen 2 MWh Savings'!G16/('Scen 2 Summer &amp; Winter MW'!G16*1000)</f>
        <v>5.0610767781887684</v>
      </c>
      <c r="H52" s="59">
        <f>'Scen 2 MWh Savings'!H16/('Scen 2 Summer &amp; Winter MW'!H16*1000)</f>
        <v>5.0610767781294026</v>
      </c>
      <c r="I52" s="59">
        <f>'Scen 2 MWh Savings'!I16/('Scen 2 Summer &amp; Winter MW'!I16*1000)</f>
        <v>5.0610767804442967</v>
      </c>
      <c r="J52" s="59">
        <f>'Scen 2 MWh Savings'!J16/('Scen 2 Summer &amp; Winter MW'!J16*1000)</f>
        <v>5.0610768119669771</v>
      </c>
      <c r="K52" s="59">
        <f>'Scen 2 MWh Savings'!K16/('Scen 2 Summer &amp; Winter MW'!K16*1000)</f>
        <v>5.0610767990797836</v>
      </c>
      <c r="L52" s="59">
        <f>'Scen 2 MWh Savings'!L16/('Scen 2 Summer &amp; Winter MW'!L16*1000)</f>
        <v>5.0610767699870989</v>
      </c>
      <c r="M52" s="59">
        <f>'Scen 2 MWh Savings'!M16/('Scen 2 Summer &amp; Winter MW'!M16*1000)</f>
        <v>5.0610767839154871</v>
      </c>
      <c r="N52" s="59">
        <f>'Scen 2 MWh Savings'!N16/('Scen 2 Summer &amp; Winter MW'!N16*1000)</f>
        <v>5.0610767911373182</v>
      </c>
      <c r="O52" s="59">
        <f>'Scen 2 MWh Savings'!O16/('Scen 2 Summer &amp; Winter MW'!O16*1000)</f>
        <v>5.0610767936361079</v>
      </c>
      <c r="P52" s="59">
        <f>'Scen 2 MWh Savings'!P16/('Scen 2 Summer &amp; Winter MW'!P16*1000)</f>
        <v>5.0610767691689205</v>
      </c>
      <c r="Q52" s="59">
        <f>'Scen 2 MWh Savings'!Q16/('Scen 2 Summer &amp; Winter MW'!Q16*1000)</f>
        <v>5.0610767913955046</v>
      </c>
      <c r="R52" s="59">
        <f>'Scen 2 MWh Savings'!R16/('Scen 2 Summer &amp; Winter MW'!R16*1000)</f>
        <v>5.061076786059127</v>
      </c>
      <c r="S52" s="59">
        <f>'Scen 2 MWh Savings'!S16/('Scen 2 Summer &amp; Winter MW'!S16*1000)</f>
        <v>5.0610767553943941</v>
      </c>
      <c r="T52" s="59">
        <f>'Scen 2 MWh Savings'!T16/('Scen 2 Summer &amp; Winter MW'!T16*1000)</f>
        <v>5.0610767794429536</v>
      </c>
      <c r="U52" s="59">
        <f>'Scen 2 MWh Savings'!U16/('Scen 2 Summer &amp; Winter MW'!U16*1000)</f>
        <v>5.0610767662233407</v>
      </c>
      <c r="V52" s="59">
        <f>'Scen 2 MWh Savings'!V16/('Scen 2 Summer &amp; Winter MW'!V16*1000)</f>
        <v>5.0579352222707374</v>
      </c>
    </row>
    <row r="53" spans="1:22">
      <c r="A53" s="2" t="s">
        <v>5</v>
      </c>
      <c r="B53" s="61">
        <f>'Scen 2 MWh Savings'!B17/('Scen 2 Summer &amp; Winter MW'!B17*1000)</f>
        <v>5.5453889298058527</v>
      </c>
      <c r="C53" s="61">
        <f>'Scen 2 MWh Savings'!C17/('Scen 2 Summer &amp; Winter MW'!C17*1000)</f>
        <v>5.2398245277055953</v>
      </c>
      <c r="D53" s="61">
        <f>'Scen 2 MWh Savings'!D17/('Scen 2 Summer &amp; Winter MW'!D17*1000)</f>
        <v>5.1903966148788987</v>
      </c>
      <c r="E53" s="61">
        <f>'Scen 2 MWh Savings'!E17/('Scen 2 Summer &amp; Winter MW'!E17*1000)</f>
        <v>5.4095473561103269</v>
      </c>
      <c r="F53" s="61">
        <f>'Scen 2 MWh Savings'!F17/('Scen 2 Summer &amp; Winter MW'!F17*1000)</f>
        <v>5.2436816125408745</v>
      </c>
      <c r="G53" s="61">
        <f>'Scen 2 MWh Savings'!G17/('Scen 2 Summer &amp; Winter MW'!G17*1000)</f>
        <v>5.2959721323583109</v>
      </c>
      <c r="H53" s="61">
        <f>'Scen 2 MWh Savings'!H17/('Scen 2 Summer &amp; Winter MW'!H17*1000)</f>
        <v>5.3090882768307255</v>
      </c>
      <c r="I53" s="61">
        <f>'Scen 2 MWh Savings'!I17/('Scen 2 Summer &amp; Winter MW'!I17*1000)</f>
        <v>5.3185856417008015</v>
      </c>
      <c r="J53" s="61">
        <f>'Scen 2 MWh Savings'!J17/('Scen 2 Summer &amp; Winter MW'!J17*1000)</f>
        <v>5.3403814907359681</v>
      </c>
      <c r="K53" s="61">
        <f>'Scen 2 MWh Savings'!K17/('Scen 2 Summer &amp; Winter MW'!K17*1000)</f>
        <v>5.3464052772642274</v>
      </c>
      <c r="L53" s="61">
        <f>'Scen 2 MWh Savings'!L17/('Scen 2 Summer &amp; Winter MW'!L17*1000)</f>
        <v>5.3576020145525582</v>
      </c>
      <c r="M53" s="61">
        <f>'Scen 2 MWh Savings'!M17/('Scen 2 Summer &amp; Winter MW'!M17*1000)</f>
        <v>5.3734608807529876</v>
      </c>
      <c r="N53" s="61">
        <f>'Scen 2 MWh Savings'!N17/('Scen 2 Summer &amp; Winter MW'!N17*1000)</f>
        <v>5.3859202688406578</v>
      </c>
      <c r="O53" s="61">
        <f>'Scen 2 MWh Savings'!O17/('Scen 2 Summer &amp; Winter MW'!O17*1000)</f>
        <v>5.4070140073274739</v>
      </c>
      <c r="P53" s="61">
        <f>'Scen 2 MWh Savings'!P17/('Scen 2 Summer &amp; Winter MW'!P17*1000)</f>
        <v>5.4132914783722024</v>
      </c>
      <c r="Q53" s="61">
        <f>'Scen 2 MWh Savings'!Q17/('Scen 2 Summer &amp; Winter MW'!Q17*1000)</f>
        <v>5.4257767495488949</v>
      </c>
      <c r="R53" s="61">
        <f>'Scen 2 MWh Savings'!R17/('Scen 2 Summer &amp; Winter MW'!R17*1000)</f>
        <v>5.4383522524159131</v>
      </c>
      <c r="S53" s="61">
        <f>'Scen 2 MWh Savings'!S17/('Scen 2 Summer &amp; Winter MW'!S17*1000)</f>
        <v>5.4516579717962497</v>
      </c>
      <c r="T53" s="61">
        <f>'Scen 2 MWh Savings'!T17/('Scen 2 Summer &amp; Winter MW'!T17*1000)</f>
        <v>5.472519425710221</v>
      </c>
      <c r="U53" s="61">
        <f>'Scen 2 MWh Savings'!U17/('Scen 2 Summer &amp; Winter MW'!U17*1000)</f>
        <v>5.4771312909584084</v>
      </c>
      <c r="V53" s="61">
        <f>'Scen 2 MWh Savings'!V17/('Scen 2 Summer &amp; Winter MW'!V17*1000)</f>
        <v>5.367569960592439</v>
      </c>
    </row>
    <row r="54" spans="1:22">
      <c r="A54" s="8" t="s">
        <v>16</v>
      </c>
      <c r="B54" s="60">
        <f>'Scen 2 MWh Savings'!B18/('Scen 2 Summer &amp; Winter MW'!B18*1000)</f>
        <v>5.2321434388842398</v>
      </c>
      <c r="C54" s="60">
        <f>'Scen 2 MWh Savings'!C18/('Scen 2 Summer &amp; Winter MW'!C18*1000)</f>
        <v>5.1546047083718936</v>
      </c>
      <c r="D54" s="60">
        <f>'Scen 2 MWh Savings'!D18/('Scen 2 Summer &amp; Winter MW'!D18*1000)</f>
        <v>5.1861632461371903</v>
      </c>
      <c r="E54" s="60">
        <f>'Scen 2 MWh Savings'!E18/('Scen 2 Summer &amp; Winter MW'!E18*1000)</f>
        <v>5.2670910905628805</v>
      </c>
      <c r="F54" s="60">
        <f>'Scen 2 MWh Savings'!F18/('Scen 2 Summer &amp; Winter MW'!F18*1000)</f>
        <v>5.2027874227504842</v>
      </c>
      <c r="G54" s="60">
        <f>'Scen 2 MWh Savings'!G18/('Scen 2 Summer &amp; Winter MW'!G18*1000)</f>
        <v>5.2493954990866918</v>
      </c>
      <c r="H54" s="60">
        <f>'Scen 2 MWh Savings'!H18/('Scen 2 Summer &amp; Winter MW'!H18*1000)</f>
        <v>5.2567524378273003</v>
      </c>
      <c r="I54" s="60">
        <f>'Scen 2 MWh Savings'!I18/('Scen 2 Summer &amp; Winter MW'!I18*1000)</f>
        <v>5.262584025378608</v>
      </c>
      <c r="J54" s="60">
        <f>'Scen 2 MWh Savings'!J18/('Scen 2 Summer &amp; Winter MW'!J18*1000)</f>
        <v>5.2773560552680472</v>
      </c>
      <c r="K54" s="60">
        <f>'Scen 2 MWh Savings'!K18/('Scen 2 Summer &amp; Winter MW'!K18*1000)</f>
        <v>5.2794418755935597</v>
      </c>
      <c r="L54" s="60">
        <f>'Scen 2 MWh Savings'!L18/('Scen 2 Summer &amp; Winter MW'!L18*1000)</f>
        <v>5.2868589993197368</v>
      </c>
      <c r="M54" s="60">
        <f>'Scen 2 MWh Savings'!M18/('Scen 2 Summer &amp; Winter MW'!M18*1000)</f>
        <v>5.2947113955071421</v>
      </c>
      <c r="N54" s="60">
        <f>'Scen 2 MWh Savings'!N18/('Scen 2 Summer &amp; Winter MW'!N18*1000)</f>
        <v>5.3041589459989833</v>
      </c>
      <c r="O54" s="60">
        <f>'Scen 2 MWh Savings'!O18/('Scen 2 Summer &amp; Winter MW'!O18*1000)</f>
        <v>5.3232744096304421</v>
      </c>
      <c r="P54" s="60">
        <f>'Scen 2 MWh Savings'!P18/('Scen 2 Summer &amp; Winter MW'!P18*1000)</f>
        <v>5.3260172552062226</v>
      </c>
      <c r="Q54" s="60">
        <f>'Scen 2 MWh Savings'!Q18/('Scen 2 Summer &amp; Winter MW'!Q18*1000)</f>
        <v>5.3346358657505046</v>
      </c>
      <c r="R54" s="60">
        <f>'Scen 2 MWh Savings'!R18/('Scen 2 Summer &amp; Winter MW'!R18*1000)</f>
        <v>5.3430469666885498</v>
      </c>
      <c r="S54" s="60">
        <f>'Scen 2 MWh Savings'!S18/('Scen 2 Summer &amp; Winter MW'!S18*1000)</f>
        <v>5.3529287703006245</v>
      </c>
      <c r="T54" s="60">
        <f>'Scen 2 MWh Savings'!T18/('Scen 2 Summer &amp; Winter MW'!T18*1000)</f>
        <v>5.3726669606394308</v>
      </c>
      <c r="U54" s="60">
        <f>'Scen 2 MWh Savings'!U18/('Scen 2 Summer &amp; Winter MW'!U18*1000)</f>
        <v>5.3775226745122584</v>
      </c>
      <c r="V54" s="60">
        <f>'Scen 2 MWh Savings'!V18/('Scen 2 Summer &amp; Winter MW'!V18*1000)</f>
        <v>5.2776037321539491</v>
      </c>
    </row>
    <row r="55" spans="1:22">
      <c r="A55" s="8"/>
    </row>
    <row r="56" spans="1:22">
      <c r="A56" s="3" t="s">
        <v>4</v>
      </c>
      <c r="B56" s="60">
        <f>'Scen 2 MWh Savings'!B20/('Scen 2 Summer &amp; Winter MW'!B20*1000)</f>
        <v>6.3767089659389002</v>
      </c>
      <c r="C56" s="60">
        <f>'Scen 2 MWh Savings'!C20/('Scen 2 Summer &amp; Winter MW'!C20*1000)</f>
        <v>6.4352414137895924</v>
      </c>
      <c r="D56" s="60">
        <f>'Scen 2 MWh Savings'!D20/('Scen 2 Summer &amp; Winter MW'!D20*1000)</f>
        <v>6.5942386565162909</v>
      </c>
      <c r="E56" s="60">
        <f>'Scen 2 MWh Savings'!E20/('Scen 2 Summer &amp; Winter MW'!E20*1000)</f>
        <v>6.3808708288520117</v>
      </c>
      <c r="F56" s="60">
        <f>'Scen 2 MWh Savings'!F20/('Scen 2 Summer &amp; Winter MW'!F20*1000)</f>
        <v>6.3382354410910651</v>
      </c>
      <c r="G56" s="60">
        <f>'Scen 2 MWh Savings'!G20/('Scen 2 Summer &amp; Winter MW'!G20*1000)</f>
        <v>6.351943065795548</v>
      </c>
      <c r="H56" s="60">
        <f>'Scen 2 MWh Savings'!H20/('Scen 2 Summer &amp; Winter MW'!H20*1000)</f>
        <v>6.1857636237753963</v>
      </c>
      <c r="I56" s="60">
        <f>'Scen 2 MWh Savings'!I20/('Scen 2 Summer &amp; Winter MW'!I20*1000)</f>
        <v>6.1722071324610148</v>
      </c>
      <c r="J56" s="60">
        <f>'Scen 2 MWh Savings'!J20/('Scen 2 Summer &amp; Winter MW'!J20*1000)</f>
        <v>6.2479654456437252</v>
      </c>
      <c r="K56" s="60">
        <f>'Scen 2 MWh Savings'!K20/('Scen 2 Summer &amp; Winter MW'!K20*1000)</f>
        <v>6.282432670702069</v>
      </c>
      <c r="L56" s="60">
        <f>'Scen 2 MWh Savings'!L20/('Scen 2 Summer &amp; Winter MW'!L20*1000)</f>
        <v>6.3139090266552929</v>
      </c>
      <c r="M56" s="60">
        <f>'Scen 2 MWh Savings'!M20/('Scen 2 Summer &amp; Winter MW'!M20*1000)</f>
        <v>6.3432103707298761</v>
      </c>
      <c r="N56" s="60">
        <f>'Scen 2 MWh Savings'!N20/('Scen 2 Summer &amp; Winter MW'!N20*1000)</f>
        <v>6.3533411573311325</v>
      </c>
      <c r="O56" s="60">
        <f>'Scen 2 MWh Savings'!O20/('Scen 2 Summer &amp; Winter MW'!O20*1000)</f>
        <v>6.4048810013796906</v>
      </c>
      <c r="P56" s="60">
        <f>'Scen 2 MWh Savings'!P20/('Scen 2 Summer &amp; Winter MW'!P20*1000)</f>
        <v>6.36637878694963</v>
      </c>
      <c r="Q56" s="60">
        <f>'Scen 2 MWh Savings'!Q20/('Scen 2 Summer &amp; Winter MW'!Q20*1000)</f>
        <v>6.3829045772251716</v>
      </c>
      <c r="R56" s="60">
        <f>'Scen 2 MWh Savings'!R20/('Scen 2 Summer &amp; Winter MW'!R20*1000)</f>
        <v>6.3914292485641617</v>
      </c>
      <c r="S56" s="60">
        <f>'Scen 2 MWh Savings'!S20/('Scen 2 Summer &amp; Winter MW'!S20*1000)</f>
        <v>6.4057123417329738</v>
      </c>
      <c r="T56" s="60">
        <f>'Scen 2 MWh Savings'!T20/('Scen 2 Summer &amp; Winter MW'!T20*1000)</f>
        <v>6.4369375589478564</v>
      </c>
      <c r="U56" s="60">
        <f>'Scen 2 MWh Savings'!U20/('Scen 2 Summer &amp; Winter MW'!U20*1000)</f>
        <v>6.4470386539619966</v>
      </c>
      <c r="V56" s="60">
        <f>'Scen 2 MWh Savings'!V20/('Scen 2 Summer &amp; Winter MW'!V20*1000)</f>
        <v>6.361772473379351</v>
      </c>
    </row>
    <row r="57" spans="1:22">
      <c r="A57" s="1"/>
    </row>
    <row r="58" spans="1:22">
      <c r="A58" s="62" t="s">
        <v>30</v>
      </c>
      <c r="B58" s="6">
        <v>2015</v>
      </c>
      <c r="C58" s="6">
        <f>B58+1</f>
        <v>2016</v>
      </c>
      <c r="D58" s="6">
        <f t="shared" ref="D58:U58" si="3">C58+1</f>
        <v>2017</v>
      </c>
      <c r="E58" s="6">
        <f t="shared" si="3"/>
        <v>2018</v>
      </c>
      <c r="F58" s="6">
        <f t="shared" si="3"/>
        <v>2019</v>
      </c>
      <c r="G58" s="6">
        <f t="shared" si="3"/>
        <v>2020</v>
      </c>
      <c r="H58" s="6">
        <f t="shared" si="3"/>
        <v>2021</v>
      </c>
      <c r="I58" s="6">
        <f t="shared" si="3"/>
        <v>2022</v>
      </c>
      <c r="J58" s="6">
        <f t="shared" si="3"/>
        <v>2023</v>
      </c>
      <c r="K58" s="6">
        <f t="shared" si="3"/>
        <v>2024</v>
      </c>
      <c r="L58" s="6">
        <f t="shared" si="3"/>
        <v>2025</v>
      </c>
      <c r="M58" s="6">
        <f t="shared" si="3"/>
        <v>2026</v>
      </c>
      <c r="N58" s="6">
        <f t="shared" si="3"/>
        <v>2027</v>
      </c>
      <c r="O58" s="6">
        <f t="shared" si="3"/>
        <v>2028</v>
      </c>
      <c r="P58" s="6">
        <f t="shared" si="3"/>
        <v>2029</v>
      </c>
      <c r="Q58" s="6">
        <f t="shared" si="3"/>
        <v>2030</v>
      </c>
      <c r="R58" s="6">
        <f t="shared" si="3"/>
        <v>2031</v>
      </c>
      <c r="S58" s="6">
        <f t="shared" si="3"/>
        <v>2032</v>
      </c>
      <c r="T58" s="6">
        <f t="shared" si="3"/>
        <v>2033</v>
      </c>
      <c r="U58" s="6">
        <f t="shared" si="3"/>
        <v>2034</v>
      </c>
      <c r="V58" s="6" t="s">
        <v>14</v>
      </c>
    </row>
    <row r="59" spans="1:22">
      <c r="A59" s="50" t="s">
        <v>2</v>
      </c>
    </row>
    <row r="60" spans="1:22">
      <c r="A60" s="9" t="s">
        <v>8</v>
      </c>
      <c r="B60" s="59">
        <f>'Scen 2 MWh Savings'!B6/('Scen 2 Summer &amp; Winter MW'!B24*1000)</f>
        <v>4.0125842556617783</v>
      </c>
      <c r="C60" s="59">
        <f>'Scen 2 MWh Savings'!C6/('Scen 2 Summer &amp; Winter MW'!C24*1000)</f>
        <v>3.8643461362507803</v>
      </c>
      <c r="D60" s="59">
        <f>'Scen 2 MWh Savings'!D6/('Scen 2 Summer &amp; Winter MW'!D24*1000)</f>
        <v>3.7251178381466539</v>
      </c>
      <c r="E60" s="59">
        <f>'Scen 2 MWh Savings'!E6/('Scen 2 Summer &amp; Winter MW'!E24*1000)</f>
        <v>3.8756098962261971</v>
      </c>
      <c r="F60" s="59">
        <f>'Scen 2 MWh Savings'!F6/('Scen 2 Summer &amp; Winter MW'!F24*1000)</f>
        <v>4.0310870454565482</v>
      </c>
      <c r="G60" s="59">
        <f>'Scen 2 MWh Savings'!G6/('Scen 2 Summer &amp; Winter MW'!G24*1000)</f>
        <v>4.4230336624861062</v>
      </c>
      <c r="H60" s="59">
        <f>'Scen 2 MWh Savings'!H6/('Scen 2 Summer &amp; Winter MW'!H24*1000)</f>
        <v>4.3976789874244888</v>
      </c>
      <c r="I60" s="59">
        <f>'Scen 2 MWh Savings'!I6/('Scen 2 Summer &amp; Winter MW'!I24*1000)</f>
        <v>4.3721995192404082</v>
      </c>
      <c r="J60" s="59">
        <f>'Scen 2 MWh Savings'!J6/('Scen 2 Summer &amp; Winter MW'!J24*1000)</f>
        <v>4.3303184262695096</v>
      </c>
      <c r="K60" s="59">
        <f>'Scen 2 MWh Savings'!K6/('Scen 2 Summer &amp; Winter MW'!K24*1000)</f>
        <v>4.3120873220048876</v>
      </c>
      <c r="L60" s="59">
        <f>'Scen 2 MWh Savings'!L6/('Scen 2 Summer &amp; Winter MW'!L24*1000)</f>
        <v>4.3113516059325523</v>
      </c>
      <c r="M60" s="59">
        <f>'Scen 2 MWh Savings'!M6/('Scen 2 Summer &amp; Winter MW'!M24*1000)</f>
        <v>4.3106222024428966</v>
      </c>
      <c r="N60" s="59">
        <f>'Scen 2 MWh Savings'!N6/('Scen 2 Summer &amp; Winter MW'!N24*1000)</f>
        <v>4.3240708963083057</v>
      </c>
      <c r="O60" s="59">
        <f>'Scen 2 MWh Savings'!O6/('Scen 2 Summer &amp; Winter MW'!O24*1000)</f>
        <v>4.3112010054573053</v>
      </c>
      <c r="P60" s="59">
        <f>'Scen 2 MWh Savings'!P6/('Scen 2 Summer &amp; Winter MW'!P24*1000)</f>
        <v>4.3105601149729331</v>
      </c>
      <c r="Q60" s="59">
        <f>'Scen 2 MWh Savings'!Q6/('Scen 2 Summer &amp; Winter MW'!Q24*1000)</f>
        <v>4.3127229184514331</v>
      </c>
      <c r="R60" s="59">
        <f>'Scen 2 MWh Savings'!R6/('Scen 2 Summer &amp; Winter MW'!R24*1000)</f>
        <v>4.3121110622527201</v>
      </c>
      <c r="S60" s="59">
        <f>'Scen 2 MWh Savings'!S6/('Scen 2 Summer &amp; Winter MW'!S24*1000)</f>
        <v>4.3115043893846146</v>
      </c>
      <c r="T60" s="59">
        <f>'Scen 2 MWh Savings'!T6/('Scen 2 Summer &amp; Winter MW'!T24*1000)</f>
        <v>4.3058620140778698</v>
      </c>
      <c r="U60" s="59">
        <f>'Scen 2 MWh Savings'!U6/('Scen 2 Summer &amp; Winter MW'!U24*1000)</f>
        <v>4.305309863485328</v>
      </c>
      <c r="V60" s="59">
        <f>'Scen 2 MWh Savings'!V6/('Scen 2 Summer &amp; Winter MW'!V24*1000)</f>
        <v>4.2311446942931479</v>
      </c>
    </row>
    <row r="61" spans="1:22">
      <c r="A61" s="10" t="s">
        <v>9</v>
      </c>
      <c r="B61" s="59">
        <f>'Scen 2 MWh Savings'!B7/('Scen 2 Summer &amp; Winter MW'!B25*1000)</f>
        <v>4.886102724967067</v>
      </c>
      <c r="C61" s="59">
        <f>'Scen 2 MWh Savings'!C7/('Scen 2 Summer &amp; Winter MW'!C25*1000)</f>
        <v>5.0557897555728166</v>
      </c>
      <c r="D61" s="59">
        <f>'Scen 2 MWh Savings'!D7/('Scen 2 Summer &amp; Winter MW'!D25*1000)</f>
        <v>5.186677403589246</v>
      </c>
      <c r="E61" s="59">
        <f>'Scen 2 MWh Savings'!E7/('Scen 2 Summer &amp; Winter MW'!E25*1000)</f>
        <v>4.0223224266368094</v>
      </c>
      <c r="F61" s="59">
        <f>'Scen 2 MWh Savings'!F7/('Scen 2 Summer &amp; Winter MW'!F25*1000)</f>
        <v>3.990662803152667</v>
      </c>
      <c r="G61" s="59">
        <f>'Scen 2 MWh Savings'!G7/('Scen 2 Summer &amp; Winter MW'!G25*1000)</f>
        <v>5.0491011763892946</v>
      </c>
      <c r="H61" s="59">
        <f>'Scen 2 MWh Savings'!H7/('Scen 2 Summer &amp; Winter MW'!H25*1000)</f>
        <v>4.513002253267274</v>
      </c>
      <c r="I61" s="59">
        <f>'Scen 2 MWh Savings'!I7/('Scen 2 Summer &amp; Winter MW'!I25*1000)</f>
        <v>4.9319350439302916</v>
      </c>
      <c r="J61" s="59">
        <f>'Scen 2 MWh Savings'!J7/('Scen 2 Summer &amp; Winter MW'!J25*1000)</f>
        <v>5.8040632245205526</v>
      </c>
      <c r="K61" s="59">
        <f>'Scen 2 MWh Savings'!K7/('Scen 2 Summer &amp; Winter MW'!K25*1000)</f>
        <v>6.3232765671596711</v>
      </c>
      <c r="L61" s="59">
        <f>'Scen 2 MWh Savings'!L7/('Scen 2 Summer &amp; Winter MW'!L25*1000)</f>
        <v>6.9368680543124475</v>
      </c>
      <c r="M61" s="59">
        <f>'Scen 2 MWh Savings'!M7/('Scen 2 Summer &amp; Winter MW'!M25*1000)</f>
        <v>6.9718904906635171</v>
      </c>
      <c r="N61" s="59">
        <f>'Scen 2 MWh Savings'!N7/('Scen 2 Summer &amp; Winter MW'!N25*1000)</f>
        <v>6.9504176809731417</v>
      </c>
      <c r="O61" s="59">
        <f>'Scen 2 MWh Savings'!O7/('Scen 2 Summer &amp; Winter MW'!O25*1000)</f>
        <v>7.0152589108902399</v>
      </c>
      <c r="P61" s="59">
        <f>'Scen 2 MWh Savings'!P7/('Scen 2 Summer &amp; Winter MW'!P25*1000)</f>
        <v>6.9596482464750107</v>
      </c>
      <c r="Q61" s="59">
        <f>'Scen 2 MWh Savings'!Q7/('Scen 2 Summer &amp; Winter MW'!Q25*1000)</f>
        <v>7.1192006458024579</v>
      </c>
      <c r="R61" s="59">
        <f>'Scen 2 MWh Savings'!R7/('Scen 2 Summer &amp; Winter MW'!R25*1000)</f>
        <v>7.2949916197650815</v>
      </c>
      <c r="S61" s="59">
        <f>'Scen 2 MWh Savings'!S7/('Scen 2 Summer &amp; Winter MW'!S25*1000)</f>
        <v>7.3055428410254182</v>
      </c>
      <c r="T61" s="59">
        <f>'Scen 2 MWh Savings'!T7/('Scen 2 Summer &amp; Winter MW'!T25*1000)</f>
        <v>7.2882431060406008</v>
      </c>
      <c r="U61" s="59">
        <f>'Scen 2 MWh Savings'!U7/('Scen 2 Summer &amp; Winter MW'!U25*1000)</f>
        <v>7.2803093891068018</v>
      </c>
      <c r="V61" s="59">
        <f>'Scen 2 MWh Savings'!V7/('Scen 2 Summer &amp; Winter MW'!V25*1000)</f>
        <v>5.4097880913378127</v>
      </c>
    </row>
    <row r="62" spans="1:22">
      <c r="A62" s="10" t="s">
        <v>10</v>
      </c>
      <c r="B62" s="59">
        <f>'Scen 2 MWh Savings'!B8/('Scen 2 Summer &amp; Winter MW'!B26*1000)</f>
        <v>7.1412364050648547</v>
      </c>
      <c r="C62" s="59">
        <f>'Scen 2 MWh Savings'!C8/('Scen 2 Summer &amp; Winter MW'!C26*1000)</f>
        <v>7.0377936277761224</v>
      </c>
      <c r="D62" s="59">
        <f>'Scen 2 MWh Savings'!D8/('Scen 2 Summer &amp; Winter MW'!D26*1000)</f>
        <v>7.0065397754904319</v>
      </c>
      <c r="E62" s="59">
        <f>'Scen 2 MWh Savings'!E8/('Scen 2 Summer &amp; Winter MW'!E26*1000)</f>
        <v>6.8222311348365618</v>
      </c>
      <c r="F62" s="59">
        <f>'Scen 2 MWh Savings'!F8/('Scen 2 Summer &amp; Winter MW'!F26*1000)</f>
        <v>6.8629278122792368</v>
      </c>
      <c r="G62" s="59">
        <f>'Scen 2 MWh Savings'!G8/('Scen 2 Summer &amp; Winter MW'!G26*1000)</f>
        <v>6.8123298055536123</v>
      </c>
      <c r="H62" s="59">
        <f>'Scen 2 MWh Savings'!H8/('Scen 2 Summer &amp; Winter MW'!H26*1000)</f>
        <v>6.5143900229810718</v>
      </c>
      <c r="I62" s="59">
        <f>'Scen 2 MWh Savings'!I8/('Scen 2 Summer &amp; Winter MW'!I26*1000)</f>
        <v>6.3418178286546523</v>
      </c>
      <c r="J62" s="59">
        <f>'Scen 2 MWh Savings'!J8/('Scen 2 Summer &amp; Winter MW'!J26*1000)</f>
        <v>6.0757973195417083</v>
      </c>
      <c r="K62" s="59">
        <f>'Scen 2 MWh Savings'!K8/('Scen 2 Summer &amp; Winter MW'!K26*1000)</f>
        <v>6.0905341428017801</v>
      </c>
      <c r="L62" s="59">
        <f>'Scen 2 MWh Savings'!L8/('Scen 2 Summer &amp; Winter MW'!L26*1000)</f>
        <v>6.0977258871703413</v>
      </c>
      <c r="M62" s="59">
        <f>'Scen 2 MWh Savings'!M8/('Scen 2 Summer &amp; Winter MW'!M26*1000)</f>
        <v>6.1166275258115572</v>
      </c>
      <c r="N62" s="59">
        <f>'Scen 2 MWh Savings'!N8/('Scen 2 Summer &amp; Winter MW'!N26*1000)</f>
        <v>6.1316437852974701</v>
      </c>
      <c r="O62" s="59">
        <f>'Scen 2 MWh Savings'!O8/('Scen 2 Summer &amp; Winter MW'!O26*1000)</f>
        <v>6.0691764044924881</v>
      </c>
      <c r="P62" s="59">
        <f>'Scen 2 MWh Savings'!P8/('Scen 2 Summer &amp; Winter MW'!P26*1000)</f>
        <v>6.0758409016973456</v>
      </c>
      <c r="Q62" s="59">
        <f>'Scen 2 MWh Savings'!Q8/('Scen 2 Summer &amp; Winter MW'!Q26*1000)</f>
        <v>6.079900972689428</v>
      </c>
      <c r="R62" s="59">
        <f>'Scen 2 MWh Savings'!R8/('Scen 2 Summer &amp; Winter MW'!R26*1000)</f>
        <v>6.1001526802922266</v>
      </c>
      <c r="S62" s="59">
        <f>'Scen 2 MWh Savings'!S8/('Scen 2 Summer &amp; Winter MW'!S26*1000)</f>
        <v>6.0676652312490758</v>
      </c>
      <c r="T62" s="59">
        <f>'Scen 2 MWh Savings'!T8/('Scen 2 Summer &amp; Winter MW'!T26*1000)</f>
        <v>6.0335259327628199</v>
      </c>
      <c r="U62" s="59">
        <f>'Scen 2 MWh Savings'!U8/('Scen 2 Summer &amp; Winter MW'!U26*1000)</f>
        <v>5.9672640879030618</v>
      </c>
      <c r="V62" s="59">
        <f>'Scen 2 MWh Savings'!V8/('Scen 2 Summer &amp; Winter MW'!V26*1000)</f>
        <v>6.2540642098190675</v>
      </c>
    </row>
    <row r="63" spans="1:22">
      <c r="A63" s="10" t="s">
        <v>11</v>
      </c>
      <c r="B63" s="59">
        <f>'Scen 2 MWh Savings'!B9/('Scen 2 Summer &amp; Winter MW'!B27*1000)</f>
        <v>6.6919368279476803</v>
      </c>
      <c r="C63" s="59">
        <f>'Scen 2 MWh Savings'!C9/('Scen 2 Summer &amp; Winter MW'!C27*1000)</f>
        <v>6.7267425538781387</v>
      </c>
      <c r="D63" s="59">
        <f>'Scen 2 MWh Savings'!D9/('Scen 2 Summer &amp; Winter MW'!D27*1000)</f>
        <v>6.7498106053615636</v>
      </c>
      <c r="E63" s="59">
        <f>'Scen 2 MWh Savings'!E9/('Scen 2 Summer &amp; Winter MW'!E27*1000)</f>
        <v>6.7317242353852746</v>
      </c>
      <c r="F63" s="59">
        <f>'Scen 2 MWh Savings'!F9/('Scen 2 Summer &amp; Winter MW'!F27*1000)</f>
        <v>6.7390435058786622</v>
      </c>
      <c r="G63" s="59">
        <f>'Scen 2 MWh Savings'!G9/('Scen 2 Summer &amp; Winter MW'!G27*1000)</f>
        <v>7.1435177196842954</v>
      </c>
      <c r="H63" s="59">
        <f>'Scen 2 MWh Savings'!H9/('Scen 2 Summer &amp; Winter MW'!H27*1000)</f>
        <v>7.1382085390301295</v>
      </c>
      <c r="I63" s="59">
        <f>'Scen 2 MWh Savings'!I9/('Scen 2 Summer &amp; Winter MW'!I27*1000)</f>
        <v>7.1556515542486121</v>
      </c>
      <c r="J63" s="59">
        <f>'Scen 2 MWh Savings'!J9/('Scen 2 Summer &amp; Winter MW'!J27*1000)</f>
        <v>7.0940058658908711</v>
      </c>
      <c r="K63" s="59">
        <f>'Scen 2 MWh Savings'!K9/('Scen 2 Summer &amp; Winter MW'!K27*1000)</f>
        <v>7.0492377073556893</v>
      </c>
      <c r="L63" s="59">
        <f>'Scen 2 MWh Savings'!L9/('Scen 2 Summer &amp; Winter MW'!L27*1000)</f>
        <v>7.0590592858476269</v>
      </c>
      <c r="M63" s="59">
        <f>'Scen 2 MWh Savings'!M9/('Scen 2 Summer &amp; Winter MW'!M27*1000)</f>
        <v>7.044626167910228</v>
      </c>
      <c r="N63" s="59">
        <f>'Scen 2 MWh Savings'!N9/('Scen 2 Summer &amp; Winter MW'!N27*1000)</f>
        <v>7.0108017442994557</v>
      </c>
      <c r="O63" s="59">
        <f>'Scen 2 MWh Savings'!O9/('Scen 2 Summer &amp; Winter MW'!O27*1000)</f>
        <v>6.9884799408767346</v>
      </c>
      <c r="P63" s="59">
        <f>'Scen 2 MWh Savings'!P9/('Scen 2 Summer &amp; Winter MW'!P27*1000)</f>
        <v>6.9983987190514254</v>
      </c>
      <c r="Q63" s="59">
        <f>'Scen 2 MWh Savings'!Q9/('Scen 2 Summer &amp; Winter MW'!Q27*1000)</f>
        <v>7.008087362789845</v>
      </c>
      <c r="R63" s="59">
        <f>'Scen 2 MWh Savings'!R9/('Scen 2 Summer &amp; Winter MW'!R27*1000)</f>
        <v>7.0273110953851727</v>
      </c>
      <c r="S63" s="59">
        <f>'Scen 2 MWh Savings'!S9/('Scen 2 Summer &amp; Winter MW'!S27*1000)</f>
        <v>7.0369592048653162</v>
      </c>
      <c r="T63" s="59">
        <f>'Scen 2 MWh Savings'!T9/('Scen 2 Summer &amp; Winter MW'!T27*1000)</f>
        <v>7.0463798731805021</v>
      </c>
      <c r="U63" s="59">
        <f>'Scen 2 MWh Savings'!U9/('Scen 2 Summer &amp; Winter MW'!U27*1000)</f>
        <v>7.0580137122930697</v>
      </c>
      <c r="V63" s="59">
        <f>'Scen 2 MWh Savings'!V9/('Scen 2 Summer &amp; Winter MW'!V27*1000)</f>
        <v>6.9826931480161356</v>
      </c>
    </row>
    <row r="64" spans="1:22">
      <c r="A64" s="2" t="s">
        <v>12</v>
      </c>
      <c r="B64" s="59">
        <f>'Scen 2 MWh Savings'!B10/('Scen 2 Summer &amp; Winter MW'!B28*1000)</f>
        <v>5.4676669518871117</v>
      </c>
      <c r="C64" s="59">
        <f>'Scen 2 MWh Savings'!C10/('Scen 2 Summer &amp; Winter MW'!C28*1000)</f>
        <v>5.4891508809315566</v>
      </c>
      <c r="D64" s="59">
        <f>'Scen 2 MWh Savings'!D10/('Scen 2 Summer &amp; Winter MW'!D28*1000)</f>
        <v>5.5610545643032259</v>
      </c>
      <c r="E64" s="59">
        <f>'Scen 2 MWh Savings'!E10/('Scen 2 Summer &amp; Winter MW'!E28*1000)</f>
        <v>5.5659869219304596</v>
      </c>
      <c r="F64" s="59">
        <f>'Scen 2 MWh Savings'!F10/('Scen 2 Summer &amp; Winter MW'!F28*1000)</f>
        <v>5.6334211418225761</v>
      </c>
      <c r="G64" s="59">
        <f>'Scen 2 MWh Savings'!G10/('Scen 2 Summer &amp; Winter MW'!G28*1000)</f>
        <v>5.88874660131584</v>
      </c>
      <c r="H64" s="59">
        <f>'Scen 2 MWh Savings'!H10/('Scen 2 Summer &amp; Winter MW'!H28*1000)</f>
        <v>5.906511639313397</v>
      </c>
      <c r="I64" s="59">
        <f>'Scen 2 MWh Savings'!I10/('Scen 2 Summer &amp; Winter MW'!I28*1000)</f>
        <v>5.9360068853593067</v>
      </c>
      <c r="J64" s="59">
        <f>'Scen 2 MWh Savings'!J10/('Scen 2 Summer &amp; Winter MW'!J28*1000)</f>
        <v>5.9594079142475627</v>
      </c>
      <c r="K64" s="59">
        <f>'Scen 2 MWh Savings'!K10/('Scen 2 Summer &amp; Winter MW'!K28*1000)</f>
        <v>5.9530325177778938</v>
      </c>
      <c r="L64" s="59">
        <f>'Scen 2 MWh Savings'!L10/('Scen 2 Summer &amp; Winter MW'!L28*1000)</f>
        <v>5.9671886891362549</v>
      </c>
      <c r="M64" s="59">
        <f>'Scen 2 MWh Savings'!M10/('Scen 2 Summer &amp; Winter MW'!M28*1000)</f>
        <v>5.975465682593236</v>
      </c>
      <c r="N64" s="59">
        <f>'Scen 2 MWh Savings'!N10/('Scen 2 Summer &amp; Winter MW'!N28*1000)</f>
        <v>5.9899458870109568</v>
      </c>
      <c r="O64" s="59">
        <f>'Scen 2 MWh Savings'!O10/('Scen 2 Summer &amp; Winter MW'!O28*1000)</f>
        <v>5.9984265394974567</v>
      </c>
      <c r="P64" s="59">
        <f>'Scen 2 MWh Savings'!P10/('Scen 2 Summer &amp; Winter MW'!P28*1000)</f>
        <v>5.9785415269981428</v>
      </c>
      <c r="Q64" s="59">
        <f>'Scen 2 MWh Savings'!Q10/('Scen 2 Summer &amp; Winter MW'!Q28*1000)</f>
        <v>5.9902483109803901</v>
      </c>
      <c r="R64" s="59">
        <f>'Scen 2 MWh Savings'!R10/('Scen 2 Summer &amp; Winter MW'!R28*1000)</f>
        <v>6.0103520687952257</v>
      </c>
      <c r="S64" s="59">
        <f>'Scen 2 MWh Savings'!S10/('Scen 2 Summer &amp; Winter MW'!S28*1000)</f>
        <v>6.0030583135780411</v>
      </c>
      <c r="T64" s="59">
        <f>'Scen 2 MWh Savings'!T10/('Scen 2 Summer &amp; Winter MW'!T28*1000)</f>
        <v>6.0150355925199452</v>
      </c>
      <c r="U64" s="59">
        <f>'Scen 2 MWh Savings'!U10/('Scen 2 Summer &amp; Winter MW'!U28*1000)</f>
        <v>6.0281863155209194</v>
      </c>
      <c r="V64" s="59">
        <f>'Scen 2 MWh Savings'!V10/('Scen 2 Summer &amp; Winter MW'!V28*1000)</f>
        <v>5.8714999047266545</v>
      </c>
    </row>
    <row r="65" spans="1:22">
      <c r="A65" s="2" t="s">
        <v>13</v>
      </c>
      <c r="B65" s="61">
        <f>'Scen 2 MWh Savings'!B11/('Scen 2 Summer &amp; Winter MW'!B29*1000)</f>
        <v>5.0812159651575914</v>
      </c>
      <c r="C65" s="61">
        <f>'Scen 2 MWh Savings'!C11/('Scen 2 Summer &amp; Winter MW'!C29*1000)</f>
        <v>5.0151854197668886</v>
      </c>
      <c r="D65" s="61">
        <f>'Scen 2 MWh Savings'!D11/('Scen 2 Summer &amp; Winter MW'!D29*1000)</f>
        <v>5.0300668633196874</v>
      </c>
      <c r="E65" s="61">
        <f>'Scen 2 MWh Savings'!E11/('Scen 2 Summer &amp; Winter MW'!E29*1000)</f>
        <v>4.9372577062530576</v>
      </c>
      <c r="F65" s="61">
        <f>'Scen 2 MWh Savings'!F11/('Scen 2 Summer &amp; Winter MW'!F29*1000)</f>
        <v>4.967008327975754</v>
      </c>
      <c r="G65" s="61">
        <f>'Scen 2 MWh Savings'!G11/('Scen 2 Summer &amp; Winter MW'!G29*1000)</f>
        <v>4.9796533416694677</v>
      </c>
      <c r="H65" s="61">
        <f>'Scen 2 MWh Savings'!H11/('Scen 2 Summer &amp; Winter MW'!H29*1000)</f>
        <v>4.974068315019073</v>
      </c>
      <c r="I65" s="61">
        <f>'Scen 2 MWh Savings'!I11/('Scen 2 Summer &amp; Winter MW'!I29*1000)</f>
        <v>4.9267311400056233</v>
      </c>
      <c r="J65" s="61">
        <f>'Scen 2 MWh Savings'!J11/('Scen 2 Summer &amp; Winter MW'!J29*1000)</f>
        <v>4.8760710305114143</v>
      </c>
      <c r="K65" s="61">
        <f>'Scen 2 MWh Savings'!K11/('Scen 2 Summer &amp; Winter MW'!K29*1000)</f>
        <v>4.8840048228800672</v>
      </c>
      <c r="L65" s="61">
        <f>'Scen 2 MWh Savings'!L11/('Scen 2 Summer &amp; Winter MW'!L29*1000)</f>
        <v>4.86281384304145</v>
      </c>
      <c r="M65" s="61">
        <f>'Scen 2 MWh Savings'!M11/('Scen 2 Summer &amp; Winter MW'!M29*1000)</f>
        <v>4.8660826657650027</v>
      </c>
      <c r="N65" s="61">
        <f>'Scen 2 MWh Savings'!N11/('Scen 2 Summer &amp; Winter MW'!N29*1000)</f>
        <v>4.8535119720654007</v>
      </c>
      <c r="O65" s="61">
        <f>'Scen 2 MWh Savings'!O11/('Scen 2 Summer &amp; Winter MW'!O29*1000)</f>
        <v>4.7750087001598844</v>
      </c>
      <c r="P65" s="61">
        <f>'Scen 2 MWh Savings'!P11/('Scen 2 Summer &amp; Winter MW'!P29*1000)</f>
        <v>4.7664403621669322</v>
      </c>
      <c r="Q65" s="61">
        <f>'Scen 2 MWh Savings'!Q11/('Scen 2 Summer &amp; Winter MW'!Q29*1000)</f>
        <v>4.7523991483907837</v>
      </c>
      <c r="R65" s="61">
        <f>'Scen 2 MWh Savings'!R11/('Scen 2 Summer &amp; Winter MW'!R29*1000)</f>
        <v>4.7517354475701348</v>
      </c>
      <c r="S65" s="61">
        <f>'Scen 2 MWh Savings'!S11/('Scen 2 Summer &amp; Winter MW'!S29*1000)</f>
        <v>4.7482694240606405</v>
      </c>
      <c r="T65" s="61">
        <f>'Scen 2 MWh Savings'!T11/('Scen 2 Summer &amp; Winter MW'!T29*1000)</f>
        <v>4.7022704053616362</v>
      </c>
      <c r="U65" s="61">
        <f>'Scen 2 MWh Savings'!U11/('Scen 2 Summer &amp; Winter MW'!U29*1000)</f>
        <v>4.6910105281424093</v>
      </c>
      <c r="V65" s="61">
        <f>'Scen 2 MWh Savings'!V11/('Scen 2 Summer &amp; Winter MW'!V29*1000)</f>
        <v>4.8409059234167868</v>
      </c>
    </row>
    <row r="66" spans="1:22">
      <c r="A66" s="8" t="s">
        <v>15</v>
      </c>
      <c r="B66" s="60">
        <f>'Scen 2 MWh Savings'!B12/('Scen 2 Summer &amp; Winter MW'!B30*1000)</f>
        <v>5.3937109805497663</v>
      </c>
      <c r="C66" s="60">
        <f>'Scen 2 MWh Savings'!C12/('Scen 2 Summer &amp; Winter MW'!C30*1000)</f>
        <v>5.4743421767297695</v>
      </c>
      <c r="D66" s="60">
        <f>'Scen 2 MWh Savings'!D12/('Scen 2 Summer &amp; Winter MW'!D30*1000)</f>
        <v>5.5511303922430812</v>
      </c>
      <c r="E66" s="60">
        <f>'Scen 2 MWh Savings'!E12/('Scen 2 Summer &amp; Winter MW'!E30*1000)</f>
        <v>4.6802650532449528</v>
      </c>
      <c r="F66" s="60">
        <f>'Scen 2 MWh Savings'!F12/('Scen 2 Summer &amp; Winter MW'!F30*1000)</f>
        <v>4.6368325883511297</v>
      </c>
      <c r="G66" s="60">
        <f>'Scen 2 MWh Savings'!G12/('Scen 2 Summer &amp; Winter MW'!G30*1000)</f>
        <v>5.6697537452980278</v>
      </c>
      <c r="H66" s="60">
        <f>'Scen 2 MWh Savings'!H12/('Scen 2 Summer &amp; Winter MW'!H30*1000)</f>
        <v>5.4097252871274089</v>
      </c>
      <c r="I66" s="60">
        <f>'Scen 2 MWh Savings'!I12/('Scen 2 Summer &amp; Winter MW'!I30*1000)</f>
        <v>5.677036516366786</v>
      </c>
      <c r="J66" s="60">
        <f>'Scen 2 MWh Savings'!J12/('Scen 2 Summer &amp; Winter MW'!J30*1000)</f>
        <v>5.9490870576525312</v>
      </c>
      <c r="K66" s="60">
        <f>'Scen 2 MWh Savings'!K12/('Scen 2 Summer &amp; Winter MW'!K30*1000)</f>
        <v>6.1127753782380809</v>
      </c>
      <c r="L66" s="60">
        <f>'Scen 2 MWh Savings'!L12/('Scen 2 Summer &amp; Winter MW'!L30*1000)</f>
        <v>6.2853560112849021</v>
      </c>
      <c r="M66" s="60">
        <f>'Scen 2 MWh Savings'!M12/('Scen 2 Summer &amp; Winter MW'!M30*1000)</f>
        <v>6.2945598654184005</v>
      </c>
      <c r="N66" s="60">
        <f>'Scen 2 MWh Savings'!N12/('Scen 2 Summer &amp; Winter MW'!N30*1000)</f>
        <v>6.2844035147013333</v>
      </c>
      <c r="O66" s="60">
        <f>'Scen 2 MWh Savings'!O12/('Scen 2 Summer &amp; Winter MW'!O30*1000)</f>
        <v>6.2615606614961727</v>
      </c>
      <c r="P66" s="60">
        <f>'Scen 2 MWh Savings'!P12/('Scen 2 Summer &amp; Winter MW'!P30*1000)</f>
        <v>6.2422298943487036</v>
      </c>
      <c r="Q66" s="60">
        <f>'Scen 2 MWh Savings'!Q12/('Scen 2 Summer &amp; Winter MW'!Q30*1000)</f>
        <v>6.2724255770270343</v>
      </c>
      <c r="R66" s="60">
        <f>'Scen 2 MWh Savings'!R12/('Scen 2 Summer &amp; Winter MW'!R30*1000)</f>
        <v>6.3161463614093609</v>
      </c>
      <c r="S66" s="60">
        <f>'Scen 2 MWh Savings'!S12/('Scen 2 Summer &amp; Winter MW'!S30*1000)</f>
        <v>6.2974533051269761</v>
      </c>
      <c r="T66" s="60">
        <f>'Scen 2 MWh Savings'!T12/('Scen 2 Summer &amp; Winter MW'!T30*1000)</f>
        <v>6.2618811091470787</v>
      </c>
      <c r="U66" s="60">
        <f>'Scen 2 MWh Savings'!U12/('Scen 2 Summer &amp; Winter MW'!U30*1000)</f>
        <v>6.2226385256138652</v>
      </c>
      <c r="V66" s="60">
        <f>'Scen 2 MWh Savings'!V12/('Scen 2 Summer &amp; Winter MW'!V30*1000)</f>
        <v>5.7920656719286825</v>
      </c>
    </row>
    <row r="68" spans="1:22">
      <c r="A68" s="50" t="s">
        <v>3</v>
      </c>
    </row>
    <row r="69" spans="1:22">
      <c r="A69" s="2" t="s">
        <v>7</v>
      </c>
      <c r="B69" s="59">
        <f>'Scen 2 MWh Savings'!B15/('Scen 2 Summer &amp; Winter MW'!B33*1000)</f>
        <v>6.8873475618646038</v>
      </c>
      <c r="C69" s="59">
        <f>'Scen 2 MWh Savings'!C15/('Scen 2 Summer &amp; Winter MW'!C33*1000)</f>
        <v>7.075203940863708</v>
      </c>
      <c r="D69" s="59">
        <f>'Scen 2 MWh Savings'!D15/('Scen 2 Summer &amp; Winter MW'!D33*1000)</f>
        <v>7.2431339923873104</v>
      </c>
      <c r="E69" s="59">
        <f>'Scen 2 MWh Savings'!E15/('Scen 2 Summer &amp; Winter MW'!E33*1000)</f>
        <v>7.2174468682928685</v>
      </c>
      <c r="F69" s="59">
        <f>'Scen 2 MWh Savings'!F15/('Scen 2 Summer &amp; Winter MW'!F33*1000)</f>
        <v>7.3599937898293</v>
      </c>
      <c r="G69" s="59">
        <f>'Scen 2 MWh Savings'!G15/('Scen 2 Summer &amp; Winter MW'!G33*1000)</f>
        <v>7.4447442795408953</v>
      </c>
      <c r="H69" s="59">
        <f>'Scen 2 MWh Savings'!H15/('Scen 2 Summer &amp; Winter MW'!H33*1000)</f>
        <v>7.4447442805890685</v>
      </c>
      <c r="I69" s="59">
        <f>'Scen 2 MWh Savings'!I15/('Scen 2 Summer &amp; Winter MW'!I33*1000)</f>
        <v>7.4447443123645192</v>
      </c>
      <c r="J69" s="59">
        <f>'Scen 2 MWh Savings'!J15/('Scen 2 Summer &amp; Winter MW'!J33*1000)</f>
        <v>7.4447443086818756</v>
      </c>
      <c r="K69" s="59">
        <f>'Scen 2 MWh Savings'!K15/('Scen 2 Summer &amp; Winter MW'!K33*1000)</f>
        <v>7.4447442885544906</v>
      </c>
      <c r="L69" s="59">
        <f>'Scen 2 MWh Savings'!L15/('Scen 2 Summer &amp; Winter MW'!L33*1000)</f>
        <v>7.4447442354989262</v>
      </c>
      <c r="M69" s="59">
        <f>'Scen 2 MWh Savings'!M15/('Scen 2 Summer &amp; Winter MW'!M33*1000)</f>
        <v>7.444744336695039</v>
      </c>
      <c r="N69" s="59">
        <f>'Scen 2 MWh Savings'!N15/('Scen 2 Summer &amp; Winter MW'!N33*1000)</f>
        <v>7.4447442808876376</v>
      </c>
      <c r="O69" s="59">
        <f>'Scen 2 MWh Savings'!O15/('Scen 2 Summer &amp; Winter MW'!O33*1000)</f>
        <v>7.4447442393116408</v>
      </c>
      <c r="P69" s="59">
        <f>'Scen 2 MWh Savings'!P15/('Scen 2 Summer &amp; Winter MW'!P33*1000)</f>
        <v>7.4447443102304671</v>
      </c>
      <c r="Q69" s="59">
        <f>'Scen 2 MWh Savings'!Q15/('Scen 2 Summer &amp; Winter MW'!Q33*1000)</f>
        <v>7.4447442829756767</v>
      </c>
      <c r="R69" s="59">
        <f>'Scen 2 MWh Savings'!R15/('Scen 2 Summer &amp; Winter MW'!R33*1000)</f>
        <v>7.4447442463695079</v>
      </c>
      <c r="S69" s="59">
        <f>'Scen 2 MWh Savings'!S15/('Scen 2 Summer &amp; Winter MW'!S33*1000)</f>
        <v>7.4447443163700484</v>
      </c>
      <c r="T69" s="59">
        <f>'Scen 2 MWh Savings'!T15/('Scen 2 Summer &amp; Winter MW'!T33*1000)</f>
        <v>7.4447442726273456</v>
      </c>
      <c r="U69" s="59">
        <f>'Scen 2 MWh Savings'!U15/('Scen 2 Summer &amp; Winter MW'!U33*1000)</f>
        <v>7.4447442981974348</v>
      </c>
      <c r="V69" s="59">
        <f>'Scen 2 MWh Savings'!V15/('Scen 2 Summer &amp; Winter MW'!V33*1000)</f>
        <v>7.3517917039718039</v>
      </c>
    </row>
    <row r="70" spans="1:22">
      <c r="A70" s="2" t="s">
        <v>6</v>
      </c>
      <c r="B70" s="59">
        <f>'Scen 2 MWh Savings'!B16/('Scen 2 Summer &amp; Winter MW'!B34*1000)</f>
        <v>6.9880910954598399</v>
      </c>
      <c r="C70" s="59">
        <f>'Scen 2 MWh Savings'!C16/('Scen 2 Summer &amp; Winter MW'!C34*1000)</f>
        <v>7.1557812468413635</v>
      </c>
      <c r="D70" s="59">
        <f>'Scen 2 MWh Savings'!D16/('Scen 2 Summer &amp; Winter MW'!D34*1000)</f>
        <v>7.3071822321815629</v>
      </c>
      <c r="E70" s="59">
        <f>'Scen 2 MWh Savings'!E16/('Scen 2 Summer &amp; Winter MW'!E34*1000)</f>
        <v>7.1457179860674742</v>
      </c>
      <c r="F70" s="59">
        <f>'Scen 2 MWh Savings'!F16/('Scen 2 Summer &amp; Winter MW'!F34*1000)</f>
        <v>7.2776600751326486</v>
      </c>
      <c r="G70" s="59">
        <f>'Scen 2 MWh Savings'!G16/('Scen 2 Summer &amp; Winter MW'!G34*1000)</f>
        <v>7.3415359762913104</v>
      </c>
      <c r="H70" s="59">
        <f>'Scen 2 MWh Savings'!H16/('Scen 2 Summer &amp; Winter MW'!H34*1000)</f>
        <v>7.3415359282776524</v>
      </c>
      <c r="I70" s="59">
        <f>'Scen 2 MWh Savings'!I16/('Scen 2 Summer &amp; Winter MW'!I34*1000)</f>
        <v>7.3415360061036106</v>
      </c>
      <c r="J70" s="59">
        <f>'Scen 2 MWh Savings'!J16/('Scen 2 Summer &amp; Winter MW'!J34*1000)</f>
        <v>7.3415360074047173</v>
      </c>
      <c r="K70" s="59">
        <f>'Scen 2 MWh Savings'!K16/('Scen 2 Summer &amp; Winter MW'!K34*1000)</f>
        <v>7.3415359618141816</v>
      </c>
      <c r="L70" s="59">
        <f>'Scen 2 MWh Savings'!L16/('Scen 2 Summer &amp; Winter MW'!L34*1000)</f>
        <v>7.3415359334077275</v>
      </c>
      <c r="M70" s="59">
        <f>'Scen 2 MWh Savings'!M16/('Scen 2 Summer &amp; Winter MW'!M34*1000)</f>
        <v>7.3415360340099118</v>
      </c>
      <c r="N70" s="59">
        <f>'Scen 2 MWh Savings'!N16/('Scen 2 Summer &amp; Winter MW'!N34*1000)</f>
        <v>7.3415359570896852</v>
      </c>
      <c r="O70" s="59">
        <f>'Scen 2 MWh Savings'!O16/('Scen 2 Summer &amp; Winter MW'!O34*1000)</f>
        <v>7.3415360524095803</v>
      </c>
      <c r="P70" s="59">
        <f>'Scen 2 MWh Savings'!P16/('Scen 2 Summer &amp; Winter MW'!P34*1000)</f>
        <v>7.341535901604864</v>
      </c>
      <c r="Q70" s="59">
        <f>'Scen 2 MWh Savings'!Q16/('Scen 2 Summer &amp; Winter MW'!Q34*1000)</f>
        <v>7.3415359809685787</v>
      </c>
      <c r="R70" s="59">
        <f>'Scen 2 MWh Savings'!R16/('Scen 2 Summer &amp; Winter MW'!R34*1000)</f>
        <v>7.3415359210935724</v>
      </c>
      <c r="S70" s="59">
        <f>'Scen 2 MWh Savings'!S16/('Scen 2 Summer &amp; Winter MW'!S34*1000)</f>
        <v>7.3415359487649203</v>
      </c>
      <c r="T70" s="59">
        <f>'Scen 2 MWh Savings'!T16/('Scen 2 Summer &amp; Winter MW'!T34*1000)</f>
        <v>7.3415359904477704</v>
      </c>
      <c r="U70" s="59">
        <f>'Scen 2 MWh Savings'!U16/('Scen 2 Summer &amp; Winter MW'!U34*1000)</f>
        <v>7.3415360102450933</v>
      </c>
      <c r="V70" s="59">
        <f>'Scen 2 MWh Savings'!V16/('Scen 2 Summer &amp; Winter MW'!V34*1000)</f>
        <v>7.2839621037244004</v>
      </c>
    </row>
    <row r="71" spans="1:22">
      <c r="A71" s="2" t="s">
        <v>5</v>
      </c>
      <c r="B71" s="61">
        <f>'Scen 2 MWh Savings'!B17/('Scen 2 Summer &amp; Winter MW'!B35*1000)</f>
        <v>6.9218563937565305</v>
      </c>
      <c r="C71" s="61">
        <f>'Scen 2 MWh Savings'!C17/('Scen 2 Summer &amp; Winter MW'!C35*1000)</f>
        <v>6.7212478309270818</v>
      </c>
      <c r="D71" s="61">
        <f>'Scen 2 MWh Savings'!D17/('Scen 2 Summer &amp; Winter MW'!D35*1000)</f>
        <v>6.6621940406288047</v>
      </c>
      <c r="E71" s="61">
        <f>'Scen 2 MWh Savings'!E17/('Scen 2 Summer &amp; Winter MW'!E35*1000)</f>
        <v>6.71340910005169</v>
      </c>
      <c r="F71" s="61">
        <f>'Scen 2 MWh Savings'!F17/('Scen 2 Summer &amp; Winter MW'!F35*1000)</f>
        <v>6.6274366797439965</v>
      </c>
      <c r="G71" s="61">
        <f>'Scen 2 MWh Savings'!G17/('Scen 2 Summer &amp; Winter MW'!G35*1000)</f>
        <v>6.6475666128658082</v>
      </c>
      <c r="H71" s="61">
        <f>'Scen 2 MWh Savings'!H17/('Scen 2 Summer &amp; Winter MW'!H35*1000)</f>
        <v>6.6432388697059022</v>
      </c>
      <c r="I71" s="61">
        <f>'Scen 2 MWh Savings'!I17/('Scen 2 Summer &amp; Winter MW'!I35*1000)</f>
        <v>6.6393846138929087</v>
      </c>
      <c r="J71" s="61">
        <f>'Scen 2 MWh Savings'!J17/('Scen 2 Summer &amp; Winter MW'!J35*1000)</f>
        <v>6.6333345615944452</v>
      </c>
      <c r="K71" s="61">
        <f>'Scen 2 MWh Savings'!K17/('Scen 2 Summer &amp; Winter MW'!K35*1000)</f>
        <v>6.6299433312361629</v>
      </c>
      <c r="L71" s="61">
        <f>'Scen 2 MWh Savings'!L17/('Scen 2 Summer &amp; Winter MW'!L35*1000)</f>
        <v>6.6255926556156695</v>
      </c>
      <c r="M71" s="61">
        <f>'Scen 2 MWh Savings'!M17/('Scen 2 Summer &amp; Winter MW'!M35*1000)</f>
        <v>6.6202668597371179</v>
      </c>
      <c r="N71" s="61">
        <f>'Scen 2 MWh Savings'!N17/('Scen 2 Summer &amp; Winter MW'!N35*1000)</f>
        <v>6.6155439294761837</v>
      </c>
      <c r="O71" s="61">
        <f>'Scen 2 MWh Savings'!O17/('Scen 2 Summer &amp; Winter MW'!O35*1000)</f>
        <v>6.6089523441961067</v>
      </c>
      <c r="P71" s="61">
        <f>'Scen 2 MWh Savings'!P17/('Scen 2 Summer &amp; Winter MW'!P35*1000)</f>
        <v>6.6054419226286543</v>
      </c>
      <c r="Q71" s="61">
        <f>'Scen 2 MWh Savings'!Q17/('Scen 2 Summer &amp; Winter MW'!Q35*1000)</f>
        <v>6.6006203234146472</v>
      </c>
      <c r="R71" s="61">
        <f>'Scen 2 MWh Savings'!R17/('Scen 2 Summer &amp; Winter MW'!R35*1000)</f>
        <v>6.5957533672173225</v>
      </c>
      <c r="S71" s="61">
        <f>'Scen 2 MWh Savings'!S17/('Scen 2 Summer &amp; Winter MW'!S35*1000)</f>
        <v>6.590697637917307</v>
      </c>
      <c r="T71" s="61">
        <f>'Scen 2 MWh Savings'!T17/('Scen 2 Summer &amp; Winter MW'!T35*1000)</f>
        <v>6.5838572268262503</v>
      </c>
      <c r="U71" s="61">
        <f>'Scen 2 MWh Savings'!U17/('Scen 2 Summer &amp; Winter MW'!U35*1000)</f>
        <v>6.5807922093792799</v>
      </c>
      <c r="V71" s="61">
        <f>'Scen 2 MWh Savings'!V17/('Scen 2 Summer &amp; Winter MW'!V35*1000)</f>
        <v>6.644797079677951</v>
      </c>
    </row>
    <row r="72" spans="1:22">
      <c r="A72" s="8" t="s">
        <v>16</v>
      </c>
      <c r="B72" s="60">
        <f>'Scen 2 MWh Savings'!B18/('Scen 2 Summer &amp; Winter MW'!B36*1000)</f>
        <v>6.9375487462885728</v>
      </c>
      <c r="C72" s="60">
        <f>'Scen 2 MWh Savings'!C18/('Scen 2 Summer &amp; Winter MW'!C36*1000)</f>
        <v>6.9127637013768579</v>
      </c>
      <c r="D72" s="60">
        <f>'Scen 2 MWh Savings'!D18/('Scen 2 Summer &amp; Winter MW'!D36*1000)</f>
        <v>6.9361542815267514</v>
      </c>
      <c r="E72" s="60">
        <f>'Scen 2 MWh Savings'!E18/('Scen 2 Summer &amp; Winter MW'!E36*1000)</f>
        <v>6.9122285721893224</v>
      </c>
      <c r="F72" s="60">
        <f>'Scen 2 MWh Savings'!F18/('Scen 2 Summer &amp; Winter MW'!F36*1000)</f>
        <v>6.9157285710822256</v>
      </c>
      <c r="G72" s="60">
        <f>'Scen 2 MWh Savings'!G18/('Scen 2 Summer &amp; Winter MW'!G36*1000)</f>
        <v>6.9553223857881488</v>
      </c>
      <c r="H72" s="60">
        <f>'Scen 2 MWh Savings'!H18/('Scen 2 Summer &amp; Winter MW'!H36*1000)</f>
        <v>6.9512313403642212</v>
      </c>
      <c r="I72" s="60">
        <f>'Scen 2 MWh Savings'!I18/('Scen 2 Summer &amp; Winter MW'!I36*1000)</f>
        <v>6.9450419386420563</v>
      </c>
      <c r="J72" s="60">
        <f>'Scen 2 MWh Savings'!J18/('Scen 2 Summer &amp; Winter MW'!J36*1000)</f>
        <v>6.9398487366673987</v>
      </c>
      <c r="K72" s="60">
        <f>'Scen 2 MWh Savings'!K18/('Scen 2 Summer &amp; Winter MW'!K36*1000)</f>
        <v>6.9406636791796545</v>
      </c>
      <c r="L72" s="60">
        <f>'Scen 2 MWh Savings'!L18/('Scen 2 Summer &amp; Winter MW'!L36*1000)</f>
        <v>6.9350605926361801</v>
      </c>
      <c r="M72" s="60">
        <f>'Scen 2 MWh Savings'!M18/('Scen 2 Summer &amp; Winter MW'!M36*1000)</f>
        <v>6.9371776679153303</v>
      </c>
      <c r="N72" s="60">
        <f>'Scen 2 MWh Savings'!N18/('Scen 2 Summer &amp; Winter MW'!N36*1000)</f>
        <v>6.9274609213119573</v>
      </c>
      <c r="O72" s="60">
        <f>'Scen 2 MWh Savings'!O18/('Scen 2 Summer &amp; Winter MW'!O36*1000)</f>
        <v>6.9067876916204778</v>
      </c>
      <c r="P72" s="60">
        <f>'Scen 2 MWh Savings'!P18/('Scen 2 Summer &amp; Winter MW'!P36*1000)</f>
        <v>6.9048455975517333</v>
      </c>
      <c r="Q72" s="60">
        <f>'Scen 2 MWh Savings'!Q18/('Scen 2 Summer &amp; Winter MW'!Q36*1000)</f>
        <v>6.8987905308689852</v>
      </c>
      <c r="R72" s="60">
        <f>'Scen 2 MWh Savings'!R18/('Scen 2 Summer &amp; Winter MW'!R36*1000)</f>
        <v>6.8935325193449541</v>
      </c>
      <c r="S72" s="60">
        <f>'Scen 2 MWh Savings'!S18/('Scen 2 Summer &amp; Winter MW'!S36*1000)</f>
        <v>6.8857661930873402</v>
      </c>
      <c r="T72" s="60">
        <f>'Scen 2 MWh Savings'!T18/('Scen 2 Summer &amp; Winter MW'!T36*1000)</f>
        <v>6.8663551779520535</v>
      </c>
      <c r="U72" s="60">
        <f>'Scen 2 MWh Savings'!U18/('Scen 2 Summer &amp; Winter MW'!U36*1000)</f>
        <v>6.8572487227147745</v>
      </c>
      <c r="V72" s="60">
        <f>'Scen 2 MWh Savings'!V18/('Scen 2 Summer &amp; Winter MW'!V36*1000)</f>
        <v>6.9197303872627627</v>
      </c>
    </row>
    <row r="73" spans="1:22">
      <c r="A73" s="8"/>
    </row>
    <row r="74" spans="1:22">
      <c r="A74" s="3" t="s">
        <v>4</v>
      </c>
      <c r="B74" s="60">
        <f>'Scen 2 MWh Savings'!B20/('Scen 2 Summer &amp; Winter MW'!B38*1000)</f>
        <v>6.2460465889342753</v>
      </c>
      <c r="C74" s="60">
        <f>'Scen 2 MWh Savings'!C20/('Scen 2 Summer &amp; Winter MW'!C38*1000)</f>
        <v>6.2318468177975896</v>
      </c>
      <c r="D74" s="60">
        <f>'Scen 2 MWh Savings'!D20/('Scen 2 Summer &amp; Winter MW'!D38*1000)</f>
        <v>6.2523090072658913</v>
      </c>
      <c r="E74" s="60">
        <f>'Scen 2 MWh Savings'!E20/('Scen 2 Summer &amp; Winter MW'!E38*1000)</f>
        <v>5.6892711249442449</v>
      </c>
      <c r="F74" s="60">
        <f>'Scen 2 MWh Savings'!F20/('Scen 2 Summer &amp; Winter MW'!F38*1000)</f>
        <v>5.6296348991892859</v>
      </c>
      <c r="G74" s="60">
        <f>'Scen 2 MWh Savings'!G20/('Scen 2 Summer &amp; Winter MW'!G38*1000)</f>
        <v>6.3617869224536916</v>
      </c>
      <c r="H74" s="60">
        <f>'Scen 2 MWh Savings'!H20/('Scen 2 Summer &amp; Winter MW'!H38*1000)</f>
        <v>6.2369630539118797</v>
      </c>
      <c r="I74" s="60">
        <f>'Scen 2 MWh Savings'!I20/('Scen 2 Summer &amp; Winter MW'!I38*1000)</f>
        <v>6.376461855636947</v>
      </c>
      <c r="J74" s="60">
        <f>'Scen 2 MWh Savings'!J20/('Scen 2 Summer &amp; Winter MW'!J38*1000)</f>
        <v>6.4827058017356185</v>
      </c>
      <c r="K74" s="60">
        <f>'Scen 2 MWh Savings'!K20/('Scen 2 Summer &amp; Winter MW'!K38*1000)</f>
        <v>6.5649473175546698</v>
      </c>
      <c r="L74" s="60">
        <f>'Scen 2 MWh Savings'!L20/('Scen 2 Summer &amp; Winter MW'!L38*1000)</f>
        <v>6.6399965294340495</v>
      </c>
      <c r="M74" s="60">
        <f>'Scen 2 MWh Savings'!M20/('Scen 2 Summer &amp; Winter MW'!M38*1000)</f>
        <v>6.6419533988185107</v>
      </c>
      <c r="N74" s="60">
        <f>'Scen 2 MWh Savings'!N20/('Scen 2 Summer &amp; Winter MW'!N38*1000)</f>
        <v>6.6278384956212708</v>
      </c>
      <c r="O74" s="60">
        <f>'Scen 2 MWh Savings'!O20/('Scen 2 Summer &amp; Winter MW'!O38*1000)</f>
        <v>6.5877497273273544</v>
      </c>
      <c r="P74" s="60">
        <f>'Scen 2 MWh Savings'!P20/('Scen 2 Summer &amp; Winter MW'!P38*1000)</f>
        <v>6.5795899404842313</v>
      </c>
      <c r="Q74" s="60">
        <f>'Scen 2 MWh Savings'!Q20/('Scen 2 Summer &amp; Winter MW'!Q38*1000)</f>
        <v>6.5891047323402061</v>
      </c>
      <c r="R74" s="60">
        <f>'Scen 2 MWh Savings'!R20/('Scen 2 Summer &amp; Winter MW'!R38*1000)</f>
        <v>6.6063285302534931</v>
      </c>
      <c r="S74" s="60">
        <f>'Scen 2 MWh Savings'!S20/('Scen 2 Summer &amp; Winter MW'!S38*1000)</f>
        <v>6.5896037127497422</v>
      </c>
      <c r="T74" s="60">
        <f>'Scen 2 MWh Savings'!T20/('Scen 2 Summer &amp; Winter MW'!T38*1000)</f>
        <v>6.5494595964964271</v>
      </c>
      <c r="U74" s="60">
        <f>'Scen 2 MWh Savings'!U20/('Scen 2 Summer &amp; Winter MW'!U38*1000)</f>
        <v>6.5234356551382717</v>
      </c>
      <c r="V74" s="60">
        <f>'Scen 2 MWh Savings'!V20/('Scen 2 Summer &amp; Winter MW'!V38*1000)</f>
        <v>6.3695725955948266</v>
      </c>
    </row>
    <row r="75" spans="1:22">
      <c r="A75" s="1"/>
    </row>
    <row r="76" spans="1:22">
      <c r="A76" s="1"/>
    </row>
    <row r="77" spans="1:22" ht="15.75">
      <c r="A77" s="68" t="s">
        <v>31</v>
      </c>
      <c r="B77" s="69"/>
      <c r="C77" s="69"/>
      <c r="D77" s="69"/>
      <c r="E77" s="69"/>
      <c r="F77" s="69"/>
      <c r="G77" s="69"/>
      <c r="H77" s="69"/>
      <c r="I77" s="69"/>
      <c r="J77" s="69"/>
      <c r="K77" s="69"/>
      <c r="L77" s="69"/>
      <c r="M77" s="69"/>
      <c r="N77" s="69"/>
      <c r="O77" s="69"/>
      <c r="P77" s="69"/>
      <c r="Q77" s="69"/>
      <c r="R77" s="69"/>
      <c r="S77" s="69"/>
      <c r="T77" s="69"/>
      <c r="U77" s="69"/>
      <c r="V77" s="69"/>
    </row>
    <row r="78" spans="1:22">
      <c r="A78" s="62" t="s">
        <v>27</v>
      </c>
      <c r="B78" s="6">
        <v>2015</v>
      </c>
      <c r="C78" s="6">
        <f>B78+1</f>
        <v>2016</v>
      </c>
      <c r="D78" s="6">
        <f t="shared" ref="D78:U78" si="4">C78+1</f>
        <v>2017</v>
      </c>
      <c r="E78" s="6">
        <f t="shared" si="4"/>
        <v>2018</v>
      </c>
      <c r="F78" s="6">
        <f t="shared" si="4"/>
        <v>2019</v>
      </c>
      <c r="G78" s="6">
        <f t="shared" si="4"/>
        <v>2020</v>
      </c>
      <c r="H78" s="6">
        <f t="shared" si="4"/>
        <v>2021</v>
      </c>
      <c r="I78" s="6">
        <f t="shared" si="4"/>
        <v>2022</v>
      </c>
      <c r="J78" s="6">
        <f t="shared" si="4"/>
        <v>2023</v>
      </c>
      <c r="K78" s="6">
        <f t="shared" si="4"/>
        <v>2024</v>
      </c>
      <c r="L78" s="6">
        <f t="shared" si="4"/>
        <v>2025</v>
      </c>
      <c r="M78" s="6">
        <f t="shared" si="4"/>
        <v>2026</v>
      </c>
      <c r="N78" s="6">
        <f t="shared" si="4"/>
        <v>2027</v>
      </c>
      <c r="O78" s="6">
        <f t="shared" si="4"/>
        <v>2028</v>
      </c>
      <c r="P78" s="6">
        <f t="shared" si="4"/>
        <v>2029</v>
      </c>
      <c r="Q78" s="6">
        <f t="shared" si="4"/>
        <v>2030</v>
      </c>
      <c r="R78" s="6">
        <f t="shared" si="4"/>
        <v>2031</v>
      </c>
      <c r="S78" s="6">
        <f t="shared" si="4"/>
        <v>2032</v>
      </c>
      <c r="T78" s="6">
        <f t="shared" si="4"/>
        <v>2033</v>
      </c>
      <c r="U78" s="6">
        <f t="shared" si="4"/>
        <v>2034</v>
      </c>
      <c r="V78" s="6" t="s">
        <v>14</v>
      </c>
    </row>
    <row r="79" spans="1:22">
      <c r="A79" s="3" t="s">
        <v>2</v>
      </c>
      <c r="B79" s="54">
        <f>'Scen 2 Budgets'!B60/'Scen 2 MWh Savings'!B24</f>
        <v>56.122039520098909</v>
      </c>
      <c r="C79" s="54">
        <f>'Scen 2 Budgets'!C60/'Scen 2 MWh Savings'!C24</f>
        <v>55.955965729249023</v>
      </c>
      <c r="D79" s="54">
        <f>'Scen 2 Budgets'!D60/'Scen 2 MWh Savings'!D24</f>
        <v>55.663183080008608</v>
      </c>
      <c r="E79" s="54">
        <f>'Scen 2 Budgets'!E60/'Scen 2 MWh Savings'!E24</f>
        <v>55.271876065754427</v>
      </c>
      <c r="F79" s="54">
        <f>'Scen 2 Budgets'!F60/'Scen 2 MWh Savings'!F24</f>
        <v>54.630043094471368</v>
      </c>
      <c r="G79" s="54">
        <f>'Scen 2 Budgets'!G60/'Scen 2 MWh Savings'!G24</f>
        <v>53.701135455958223</v>
      </c>
      <c r="H79" s="54">
        <f>'Scen 2 Budgets'!H60/'Scen 2 MWh Savings'!H24</f>
        <v>52.563593674427317</v>
      </c>
      <c r="I79" s="54">
        <f>'Scen 2 Budgets'!I60/'Scen 2 MWh Savings'!I24</f>
        <v>51.361308906100774</v>
      </c>
      <c r="J79" s="54">
        <f>'Scen 2 Budgets'!J60/'Scen 2 MWh Savings'!J24</f>
        <v>50.222014875922284</v>
      </c>
      <c r="K79" s="54">
        <f>'Scen 2 Budgets'!K60/'Scen 2 MWh Savings'!K24</f>
        <v>49.59040029148747</v>
      </c>
      <c r="L79" s="54">
        <f>'Scen 2 Budgets'!L60/'Scen 2 MWh Savings'!L24</f>
        <v>49.065497217359649</v>
      </c>
      <c r="M79" s="54">
        <f>'Scen 2 Budgets'!M60/'Scen 2 MWh Savings'!M24</f>
        <v>48.518774247460975</v>
      </c>
      <c r="N79" s="54">
        <f>'Scen 2 Budgets'!N60/'Scen 2 MWh Savings'!N24</f>
        <v>47.597857094306526</v>
      </c>
      <c r="O79" s="54">
        <f>'Scen 2 Budgets'!O60/'Scen 2 MWh Savings'!O24</f>
        <v>47.082137101563617</v>
      </c>
      <c r="P79" s="54">
        <f>'Scen 2 Budgets'!P60/'Scen 2 MWh Savings'!P24</f>
        <v>46.569041298484727</v>
      </c>
      <c r="Q79" s="54">
        <f>'Scen 2 Budgets'!Q60/'Scen 2 MWh Savings'!Q24</f>
        <v>46.086352149111761</v>
      </c>
      <c r="R79" s="54">
        <f>'Scen 2 Budgets'!R60/'Scen 2 MWh Savings'!R24</f>
        <v>45.137407709049633</v>
      </c>
      <c r="S79" s="54">
        <f>'Scen 2 Budgets'!S60/'Scen 2 MWh Savings'!S24</f>
        <v>44.657998596768039</v>
      </c>
      <c r="T79" s="54">
        <f>'Scen 2 Budgets'!T60/'Scen 2 MWh Savings'!T24</f>
        <v>44.206504146191214</v>
      </c>
      <c r="U79" s="54">
        <f>'Scen 2 Budgets'!U60/'Scen 2 MWh Savings'!U24</f>
        <v>43.668185432565735</v>
      </c>
      <c r="V79" s="54">
        <f>'Scen 2 Budgets'!V60/'Scen 2 MWh Savings'!V24</f>
        <v>49.370672995159644</v>
      </c>
    </row>
    <row r="80" spans="1:22">
      <c r="A80" s="3" t="s">
        <v>3</v>
      </c>
      <c r="B80" s="54">
        <f>'Scen 2 Budgets'!B61/'Scen 2 MWh Savings'!B25</f>
        <v>114.79558800318944</v>
      </c>
      <c r="C80" s="54">
        <f>'Scen 2 Budgets'!C61/'Scen 2 MWh Savings'!C25</f>
        <v>116.52032233169092</v>
      </c>
      <c r="D80" s="54">
        <f>'Scen 2 Budgets'!D61/'Scen 2 MWh Savings'!D25</f>
        <v>120.02593473937701</v>
      </c>
      <c r="E80" s="54">
        <f>'Scen 2 Budgets'!E61/'Scen 2 MWh Savings'!E25</f>
        <v>124.58460274971053</v>
      </c>
      <c r="F80" s="54">
        <f>'Scen 2 Budgets'!F61/'Scen 2 MWh Savings'!F25</f>
        <v>123.53506907939888</v>
      </c>
      <c r="G80" s="54">
        <f>'Scen 2 Budgets'!G61/'Scen 2 MWh Savings'!G25</f>
        <v>126.40351457088137</v>
      </c>
      <c r="H80" s="54">
        <f>'Scen 2 Budgets'!H61/'Scen 2 MWh Savings'!H25</f>
        <v>129.30989901778378</v>
      </c>
      <c r="I80" s="54">
        <f>'Scen 2 Budgets'!I61/'Scen 2 MWh Savings'!I25</f>
        <v>132.09620512058959</v>
      </c>
      <c r="J80" s="54">
        <f>'Scen 2 Budgets'!J61/'Scen 2 MWh Savings'!J25</f>
        <v>135.1578720912662</v>
      </c>
      <c r="K80" s="54">
        <f>'Scen 2 Budgets'!K61/'Scen 2 MWh Savings'!K25</f>
        <v>133.9211882302491</v>
      </c>
      <c r="L80" s="54">
        <f>'Scen 2 Budgets'!L61/'Scen 2 MWh Savings'!L25</f>
        <v>137.02785859474952</v>
      </c>
      <c r="M80" s="54">
        <f>'Scen 2 Budgets'!M61/'Scen 2 MWh Savings'!M25</f>
        <v>140.19196699652477</v>
      </c>
      <c r="N80" s="54">
        <f>'Scen 2 Budgets'!N61/'Scen 2 MWh Savings'!N25</f>
        <v>143.27305634254765</v>
      </c>
      <c r="O80" s="54">
        <f>'Scen 2 Budgets'!O61/'Scen 2 MWh Savings'!O25</f>
        <v>145.87898333521281</v>
      </c>
      <c r="P80" s="54">
        <f>'Scen 2 Budgets'!P61/'Scen 2 MWh Savings'!P25</f>
        <v>144.33270557889773</v>
      </c>
      <c r="Q80" s="54">
        <f>'Scen 2 Budgets'!Q61/'Scen 2 MWh Savings'!Q25</f>
        <v>147.49351748036878</v>
      </c>
      <c r="R80" s="54">
        <f>'Scen 2 Budgets'!R61/'Scen 2 MWh Savings'!R25</f>
        <v>150.91069022166508</v>
      </c>
      <c r="S80" s="54">
        <f>'Scen 2 Budgets'!S61/'Scen 2 MWh Savings'!S25</f>
        <v>154.72768818045981</v>
      </c>
      <c r="T80" s="54">
        <f>'Scen 2 Budgets'!T61/'Scen 2 MWh Savings'!T25</f>
        <v>158.37184063837429</v>
      </c>
      <c r="U80" s="54">
        <f>'Scen 2 Budgets'!U61/'Scen 2 MWh Savings'!U25</f>
        <v>158.41113807129116</v>
      </c>
      <c r="V80" s="54">
        <f>'Scen 2 Budgets'!V61/'Scen 2 MWh Savings'!V25</f>
        <v>139.92214625803314</v>
      </c>
    </row>
    <row r="81" spans="1:22">
      <c r="A81" s="3" t="s">
        <v>4</v>
      </c>
      <c r="B81" s="56">
        <f>'Scen 2 Budgets'!B62/'Scen 2 MWh Savings'!B26</f>
        <v>65.410185948146932</v>
      </c>
      <c r="C81" s="56">
        <f>'Scen 2 Budgets'!C62/'Scen 2 MWh Savings'!C26</f>
        <v>71.172398200224634</v>
      </c>
      <c r="D81" s="56">
        <f>'Scen 2 Budgets'!D62/'Scen 2 MWh Savings'!D26</f>
        <v>75.625234097726093</v>
      </c>
      <c r="E81" s="56">
        <f>'Scen 2 Budgets'!E62/'Scen 2 MWh Savings'!E26</f>
        <v>79.580387459727163</v>
      </c>
      <c r="F81" s="56">
        <f>'Scen 2 Budgets'!F62/'Scen 2 MWh Savings'!F26</f>
        <v>78.911634313579498</v>
      </c>
      <c r="G81" s="56">
        <f>'Scen 2 Budgets'!G62/'Scen 2 MWh Savings'!G26</f>
        <v>79.374637822943086</v>
      </c>
      <c r="H81" s="56">
        <f>'Scen 2 Budgets'!H62/'Scen 2 MWh Savings'!H26</f>
        <v>79.558899830094887</v>
      </c>
      <c r="I81" s="56">
        <f>'Scen 2 Budgets'!I62/'Scen 2 MWh Savings'!I26</f>
        <v>79.696001730628439</v>
      </c>
      <c r="J81" s="56">
        <f>'Scen 2 Budgets'!J62/'Scen 2 MWh Savings'!J26</f>
        <v>80.039879500754125</v>
      </c>
      <c r="K81" s="56">
        <f>'Scen 2 Budgets'!K62/'Scen 2 MWh Savings'!K26</f>
        <v>79.308201513230813</v>
      </c>
      <c r="L81" s="56">
        <f>'Scen 2 Budgets'!L62/'Scen 2 MWh Savings'!L26</f>
        <v>80.212567319658859</v>
      </c>
      <c r="M81" s="56">
        <f>'Scen 2 Budgets'!M62/'Scen 2 MWh Savings'!M26</f>
        <v>81.184502947620288</v>
      </c>
      <c r="N81" s="56">
        <f>'Scen 2 Budgets'!N62/'Scen 2 MWh Savings'!N26</f>
        <v>81.838706370673037</v>
      </c>
      <c r="O81" s="56">
        <f>'Scen 2 Budgets'!O62/'Scen 2 MWh Savings'!O26</f>
        <v>82.722170814573133</v>
      </c>
      <c r="P81" s="56">
        <f>'Scen 2 Budgets'!P62/'Scen 2 MWh Savings'!P26</f>
        <v>82.107241065217423</v>
      </c>
      <c r="Q81" s="56">
        <f>'Scen 2 Budgets'!Q62/'Scen 2 MWh Savings'!Q26</f>
        <v>83.087764266901956</v>
      </c>
      <c r="R81" s="56">
        <f>'Scen 2 Budgets'!R62/'Scen 2 MWh Savings'!R26</f>
        <v>83.571588366111072</v>
      </c>
      <c r="S81" s="56">
        <f>'Scen 2 Budgets'!S62/'Scen 2 MWh Savings'!S26</f>
        <v>84.938345765067851</v>
      </c>
      <c r="T81" s="56">
        <f>'Scen 2 Budgets'!T62/'Scen 2 MWh Savings'!T26</f>
        <v>86.140167428885221</v>
      </c>
      <c r="U81" s="56">
        <f>'Scen 2 Budgets'!U62/'Scen 2 MWh Savings'!U26</f>
        <v>85.991943947564693</v>
      </c>
      <c r="V81" s="56">
        <f>'Scen 2 Budgets'!V62/'Scen 2 MWh Savings'!V26</f>
        <v>80.77250397396125</v>
      </c>
    </row>
    <row r="82" spans="1:22">
      <c r="A82" s="1"/>
    </row>
    <row r="83" spans="1:22">
      <c r="A83" s="62" t="s">
        <v>28</v>
      </c>
      <c r="B83" s="6"/>
      <c r="C83" s="6"/>
      <c r="D83" s="6"/>
      <c r="E83" s="6"/>
      <c r="F83" s="6"/>
      <c r="G83" s="6"/>
      <c r="H83" s="6"/>
      <c r="I83" s="6"/>
      <c r="J83" s="6"/>
      <c r="K83" s="6"/>
      <c r="L83" s="6"/>
      <c r="M83" s="6"/>
      <c r="N83" s="6"/>
      <c r="O83" s="6"/>
      <c r="P83" s="6"/>
      <c r="Q83" s="6"/>
      <c r="R83" s="6"/>
      <c r="S83" s="6"/>
      <c r="T83" s="6"/>
      <c r="U83" s="6"/>
      <c r="V83" s="6"/>
    </row>
    <row r="84" spans="1:22">
      <c r="A84" s="3" t="s">
        <v>2</v>
      </c>
      <c r="B84" s="54">
        <f>'Scen 2 Budgets'!B70/'Scen 2 MWh Savings'!B24</f>
        <v>112.24407904019782</v>
      </c>
      <c r="C84" s="54">
        <f>'Scen 2 Budgets'!C70/'Scen 2 MWh Savings'!C24</f>
        <v>111.91193145849805</v>
      </c>
      <c r="D84" s="54">
        <f>'Scen 2 Budgets'!D70/'Scen 2 MWh Savings'!D24</f>
        <v>111.32636616001722</v>
      </c>
      <c r="E84" s="54">
        <f>'Scen 2 Budgets'!E70/'Scen 2 MWh Savings'!E24</f>
        <v>110.54375213150885</v>
      </c>
      <c r="F84" s="54">
        <f>'Scen 2 Budgets'!F70/'Scen 2 MWh Savings'!F24</f>
        <v>109.26008618894274</v>
      </c>
      <c r="G84" s="54">
        <f>'Scen 2 Budgets'!G70/'Scen 2 MWh Savings'!G24</f>
        <v>107.40227091191645</v>
      </c>
      <c r="H84" s="54">
        <f>'Scen 2 Budgets'!H70/'Scen 2 MWh Savings'!H24</f>
        <v>105.12718734885463</v>
      </c>
      <c r="I84" s="54">
        <f>'Scen 2 Budgets'!I70/'Scen 2 MWh Savings'!I24</f>
        <v>102.72261781220155</v>
      </c>
      <c r="J84" s="54">
        <f>'Scen 2 Budgets'!J70/'Scen 2 MWh Savings'!J24</f>
        <v>100.44402975184457</v>
      </c>
      <c r="K84" s="54">
        <f>'Scen 2 Budgets'!K70/'Scen 2 MWh Savings'!K24</f>
        <v>99.180800582974939</v>
      </c>
      <c r="L84" s="54">
        <f>'Scen 2 Budgets'!L70/'Scen 2 MWh Savings'!L24</f>
        <v>98.130994434719298</v>
      </c>
      <c r="M84" s="54">
        <f>'Scen 2 Budgets'!M70/'Scen 2 MWh Savings'!M24</f>
        <v>97.03754849492195</v>
      </c>
      <c r="N84" s="54">
        <f>'Scen 2 Budgets'!N70/'Scen 2 MWh Savings'!N24</f>
        <v>95.195714188613053</v>
      </c>
      <c r="O84" s="54">
        <f>'Scen 2 Budgets'!O70/'Scen 2 MWh Savings'!O24</f>
        <v>94.164274203127235</v>
      </c>
      <c r="P84" s="54">
        <f>'Scen 2 Budgets'!P70/'Scen 2 MWh Savings'!P24</f>
        <v>93.138082596969454</v>
      </c>
      <c r="Q84" s="54">
        <f>'Scen 2 Budgets'!Q70/'Scen 2 MWh Savings'!Q24</f>
        <v>92.172704298223522</v>
      </c>
      <c r="R84" s="54">
        <f>'Scen 2 Budgets'!R70/'Scen 2 MWh Savings'!R24</f>
        <v>90.274815418099266</v>
      </c>
      <c r="S84" s="54">
        <f>'Scen 2 Budgets'!S70/'Scen 2 MWh Savings'!S24</f>
        <v>89.315997193536077</v>
      </c>
      <c r="T84" s="54">
        <f>'Scen 2 Budgets'!T70/'Scen 2 MWh Savings'!T24</f>
        <v>88.413008292382429</v>
      </c>
      <c r="U84" s="54">
        <f>'Scen 2 Budgets'!U70/'Scen 2 MWh Savings'!U24</f>
        <v>87.336370865131471</v>
      </c>
      <c r="V84" s="54">
        <f>'Scen 2 Budgets'!V70/'Scen 2 MWh Savings'!V24</f>
        <v>98.741345990319289</v>
      </c>
    </row>
    <row r="85" spans="1:22">
      <c r="A85" s="3" t="s">
        <v>3</v>
      </c>
      <c r="B85" s="54">
        <f>'Scen 2 Budgets'!B71/'Scen 2 MWh Savings'!B25</f>
        <v>264.02985240733568</v>
      </c>
      <c r="C85" s="54">
        <f>'Scen 2 Budgets'!C71/'Scen 2 MWh Savings'!C25</f>
        <v>267.99674136288911</v>
      </c>
      <c r="D85" s="54">
        <f>'Scen 2 Budgets'!D71/'Scen 2 MWh Savings'!D25</f>
        <v>276.05964990056714</v>
      </c>
      <c r="E85" s="54">
        <f>'Scen 2 Budgets'!E71/'Scen 2 MWh Savings'!E25</f>
        <v>286.5445863243342</v>
      </c>
      <c r="F85" s="54">
        <f>'Scen 2 Budgets'!F71/'Scen 2 MWh Savings'!F25</f>
        <v>284.13065888261747</v>
      </c>
      <c r="G85" s="54">
        <f>'Scen 2 Budgets'!G71/'Scen 2 MWh Savings'!G25</f>
        <v>290.72808351302717</v>
      </c>
      <c r="H85" s="54">
        <f>'Scen 2 Budgets'!H71/'Scen 2 MWh Savings'!H25</f>
        <v>297.41276774090272</v>
      </c>
      <c r="I85" s="54">
        <f>'Scen 2 Budgets'!I71/'Scen 2 MWh Savings'!I25</f>
        <v>303.821271777356</v>
      </c>
      <c r="J85" s="54">
        <f>'Scen 2 Budgets'!J71/'Scen 2 MWh Savings'!J25</f>
        <v>310.86310580991227</v>
      </c>
      <c r="K85" s="54">
        <f>'Scen 2 Budgets'!K71/'Scen 2 MWh Savings'!K25</f>
        <v>308.01873292957293</v>
      </c>
      <c r="L85" s="54">
        <f>'Scen 2 Budgets'!L71/'Scen 2 MWh Savings'!L25</f>
        <v>315.16407476792386</v>
      </c>
      <c r="M85" s="54">
        <f>'Scen 2 Budgets'!M71/'Scen 2 MWh Savings'!M25</f>
        <v>322.44152409200694</v>
      </c>
      <c r="N85" s="54">
        <f>'Scen 2 Budgets'!N71/'Scen 2 MWh Savings'!N25</f>
        <v>329.52802958785958</v>
      </c>
      <c r="O85" s="54">
        <f>'Scen 2 Budgets'!O71/'Scen 2 MWh Savings'!O25</f>
        <v>335.52166167098949</v>
      </c>
      <c r="P85" s="54">
        <f>'Scen 2 Budgets'!P71/'Scen 2 MWh Savings'!P25</f>
        <v>331.96522283146481</v>
      </c>
      <c r="Q85" s="54">
        <f>'Scen 2 Budgets'!Q71/'Scen 2 MWh Savings'!Q25</f>
        <v>339.23509020484818</v>
      </c>
      <c r="R85" s="54">
        <f>'Scen 2 Budgets'!R71/'Scen 2 MWh Savings'!R25</f>
        <v>347.09458750982964</v>
      </c>
      <c r="S85" s="54">
        <f>'Scen 2 Budgets'!S71/'Scen 2 MWh Savings'!S25</f>
        <v>355.87368281505758</v>
      </c>
      <c r="T85" s="54">
        <f>'Scen 2 Budgets'!T71/'Scen 2 MWh Savings'!T25</f>
        <v>364.25523346826088</v>
      </c>
      <c r="U85" s="54">
        <f>'Scen 2 Budgets'!U71/'Scen 2 MWh Savings'!U25</f>
        <v>364.34561756396971</v>
      </c>
      <c r="V85" s="54">
        <f>'Scen 2 Budgets'!V71/'Scen 2 MWh Savings'!V25</f>
        <v>321.82093639347625</v>
      </c>
    </row>
    <row r="86" spans="1:22">
      <c r="A86" s="3" t="s">
        <v>4</v>
      </c>
      <c r="B86" s="56">
        <f>'Scen 2 Budgets'!B72/'Scen 2 MWh Savings'!B26</f>
        <v>136.2720869786437</v>
      </c>
      <c r="C86" s="56">
        <f>'Scen 2 Budgets'!C72/'Scen 2 MWh Savings'!C26</f>
        <v>151.12730668729182</v>
      </c>
      <c r="D86" s="56">
        <f>'Scen 2 Budgets'!D72/'Scen 2 MWh Savings'!D26</f>
        <v>162.41824973498458</v>
      </c>
      <c r="E86" s="56">
        <f>'Scen 2 Budgets'!E72/'Scen 2 MWh Savings'!E26</f>
        <v>172.26861115823229</v>
      </c>
      <c r="F86" s="56">
        <f>'Scen 2 Budgets'!F72/'Scen 2 MWh Savings'!F26</f>
        <v>170.88310572496255</v>
      </c>
      <c r="G86" s="56">
        <f>'Scen 2 Budgets'!G72/'Scen 2 MWh Savings'!G26</f>
        <v>172.14039559287261</v>
      </c>
      <c r="H86" s="56">
        <f>'Scen 2 Budgets'!H72/'Scen 2 MWh Savings'!H26</f>
        <v>172.76312224865643</v>
      </c>
      <c r="I86" s="56">
        <f>'Scen 2 Budgets'!I72/'Scen 2 MWh Savings'!I26</f>
        <v>173.30013577160474</v>
      </c>
      <c r="J86" s="56">
        <f>'Scen 2 Budgets'!J72/'Scen 2 MWh Savings'!J26</f>
        <v>174.31445067988807</v>
      </c>
      <c r="K86" s="56">
        <f>'Scen 2 Budgets'!K72/'Scen 2 MWh Savings'!K26</f>
        <v>172.77437551248744</v>
      </c>
      <c r="L86" s="56">
        <f>'Scen 2 Budgets'!L72/'Scen 2 MWh Savings'!L26</f>
        <v>174.98141615832094</v>
      </c>
      <c r="M86" s="56">
        <f>'Scen 2 Budgets'!M72/'Scen 2 MWh Savings'!M26</f>
        <v>177.35530436218343</v>
      </c>
      <c r="N86" s="56">
        <f>'Scen 2 Budgets'!N72/'Scen 2 MWh Savings'!N26</f>
        <v>179.06005474095412</v>
      </c>
      <c r="O86" s="56">
        <f>'Scen 2 Budgets'!O72/'Scen 2 MWh Savings'!O26</f>
        <v>181.23168327704929</v>
      </c>
      <c r="P86" s="56">
        <f>'Scen 2 Budgets'!P72/'Scen 2 MWh Savings'!P26</f>
        <v>179.95445432201586</v>
      </c>
      <c r="Q86" s="56">
        <f>'Scen 2 Budgets'!Q72/'Scen 2 MWh Savings'!Q26</f>
        <v>182.32074393500235</v>
      </c>
      <c r="R86" s="56">
        <f>'Scen 2 Budgets'!R72/'Scen 2 MWh Savings'!R26</f>
        <v>183.59382076996258</v>
      </c>
      <c r="S86" s="56">
        <f>'Scen 2 Budgets'!S72/'Scen 2 MWh Savings'!S26</f>
        <v>186.86361595964036</v>
      </c>
      <c r="T86" s="56">
        <f>'Scen 2 Budgets'!T72/'Scen 2 MWh Savings'!T26</f>
        <v>189.73163393727199</v>
      </c>
      <c r="U86" s="56">
        <f>'Scen 2 Budgets'!U72/'Scen 2 MWh Savings'!U26</f>
        <v>189.51321217944988</v>
      </c>
      <c r="V86" s="56">
        <f>'Scen 2 Budgets'!V72/'Scen 2 MWh Savings'!V26</f>
        <v>176.10184980370508</v>
      </c>
    </row>
    <row r="87" spans="1:22">
      <c r="A87" s="1"/>
    </row>
    <row r="88" spans="1:22">
      <c r="A88" s="62" t="s">
        <v>29</v>
      </c>
      <c r="B88" s="6"/>
      <c r="C88" s="6"/>
      <c r="D88" s="6"/>
      <c r="E88" s="6"/>
      <c r="F88" s="6"/>
      <c r="G88" s="6"/>
      <c r="H88" s="6"/>
      <c r="I88" s="6"/>
      <c r="J88" s="6"/>
      <c r="K88" s="6"/>
      <c r="L88" s="6"/>
      <c r="M88" s="6"/>
      <c r="N88" s="6"/>
      <c r="O88" s="6"/>
      <c r="P88" s="6"/>
      <c r="Q88" s="6"/>
      <c r="R88" s="6"/>
      <c r="S88" s="6"/>
      <c r="T88" s="6"/>
      <c r="U88" s="6"/>
      <c r="V88" s="6"/>
    </row>
    <row r="89" spans="1:22">
      <c r="A89" s="3" t="s">
        <v>2</v>
      </c>
      <c r="B89" s="64">
        <f>'Scen 2 MWh Savings'!B24/('Scen 2 Summer &amp; Winter MW'!B43*1000)</f>
        <v>8.670029468241113</v>
      </c>
      <c r="C89" s="64">
        <f>'Scen 2 MWh Savings'!C24/('Scen 2 Summer &amp; Winter MW'!C43*1000)</f>
        <v>8.6700294682411148</v>
      </c>
      <c r="D89" s="64">
        <f>'Scen 2 MWh Savings'!D24/('Scen 2 Summer &amp; Winter MW'!D43*1000)</f>
        <v>8.6700294682411148</v>
      </c>
      <c r="E89" s="64">
        <f>'Scen 2 MWh Savings'!E24/('Scen 2 Summer &amp; Winter MW'!E43*1000)</f>
        <v>8.6700294682411112</v>
      </c>
      <c r="F89" s="64">
        <f>'Scen 2 MWh Savings'!F24/('Scen 2 Summer &amp; Winter MW'!F43*1000)</f>
        <v>8.670029468241113</v>
      </c>
      <c r="G89" s="64">
        <f>'Scen 2 MWh Savings'!G24/('Scen 2 Summer &amp; Winter MW'!G43*1000)</f>
        <v>8.6700294682411112</v>
      </c>
      <c r="H89" s="64">
        <f>'Scen 2 MWh Savings'!H24/('Scen 2 Summer &amp; Winter MW'!H43*1000)</f>
        <v>8.6700294682411148</v>
      </c>
      <c r="I89" s="64">
        <f>'Scen 2 MWh Savings'!I24/('Scen 2 Summer &amp; Winter MW'!I43*1000)</f>
        <v>8.6700294682411112</v>
      </c>
      <c r="J89" s="64">
        <f>'Scen 2 MWh Savings'!J24/('Scen 2 Summer &amp; Winter MW'!J43*1000)</f>
        <v>8.670029468241113</v>
      </c>
      <c r="K89" s="64">
        <f>'Scen 2 MWh Savings'!K24/('Scen 2 Summer &amp; Winter MW'!K43*1000)</f>
        <v>8.6700294682411112</v>
      </c>
      <c r="L89" s="64">
        <f>'Scen 2 MWh Savings'!L24/('Scen 2 Summer &amp; Winter MW'!L43*1000)</f>
        <v>8.6700294682411112</v>
      </c>
      <c r="M89" s="64">
        <f>'Scen 2 MWh Savings'!M24/('Scen 2 Summer &amp; Winter MW'!M43*1000)</f>
        <v>8.670029468241113</v>
      </c>
      <c r="N89" s="64">
        <f>'Scen 2 MWh Savings'!N24/('Scen 2 Summer &amp; Winter MW'!N43*1000)</f>
        <v>8.670029468241113</v>
      </c>
      <c r="O89" s="64">
        <f>'Scen 2 MWh Savings'!O24/('Scen 2 Summer &amp; Winter MW'!O43*1000)</f>
        <v>8.670029468241113</v>
      </c>
      <c r="P89" s="64">
        <f>'Scen 2 MWh Savings'!P24/('Scen 2 Summer &amp; Winter MW'!P43*1000)</f>
        <v>8.670029468241113</v>
      </c>
      <c r="Q89" s="64">
        <f>'Scen 2 MWh Savings'!Q24/('Scen 2 Summer &amp; Winter MW'!Q43*1000)</f>
        <v>8.6700294682411148</v>
      </c>
      <c r="R89" s="64">
        <f>'Scen 2 MWh Savings'!R24/('Scen 2 Summer &amp; Winter MW'!R43*1000)</f>
        <v>8.670029468241113</v>
      </c>
      <c r="S89" s="64">
        <f>'Scen 2 MWh Savings'!S24/('Scen 2 Summer &amp; Winter MW'!S43*1000)</f>
        <v>8.670029468241113</v>
      </c>
      <c r="T89" s="64">
        <f>'Scen 2 MWh Savings'!T24/('Scen 2 Summer &amp; Winter MW'!T43*1000)</f>
        <v>8.6700294682411112</v>
      </c>
      <c r="U89" s="64">
        <f>'Scen 2 MWh Savings'!U24/('Scen 2 Summer &amp; Winter MW'!U43*1000)</f>
        <v>8.670029468241113</v>
      </c>
      <c r="V89" s="64">
        <f>'Scen 2 MWh Savings'!V24/('Scen 2 Summer &amp; Winter MW'!V43*1000)</f>
        <v>8.6700294682411112</v>
      </c>
    </row>
    <row r="90" spans="1:22">
      <c r="A90" s="3" t="s">
        <v>3</v>
      </c>
      <c r="B90" s="64">
        <f>'Scen 2 MWh Savings'!B25/('Scen 2 Summer &amp; Winter MW'!B44*1000)</f>
        <v>6.0619148191317542</v>
      </c>
      <c r="C90" s="64">
        <f>'Scen 2 MWh Savings'!C25/('Scen 2 Summer &amp; Winter MW'!C44*1000)</f>
        <v>6.0822446430558914</v>
      </c>
      <c r="D90" s="64">
        <f>'Scen 2 MWh Savings'!D25/('Scen 2 Summer &amp; Winter MW'!D44*1000)</f>
        <v>6.1047552340234619</v>
      </c>
      <c r="E90" s="64">
        <f>'Scen 2 MWh Savings'!E25/('Scen 2 Summer &amp; Winter MW'!E44*1000)</f>
        <v>6.1204550561903357</v>
      </c>
      <c r="F90" s="64">
        <f>'Scen 2 MWh Savings'!F25/('Scen 2 Summer &amp; Winter MW'!F44*1000)</f>
        <v>6.1423188919649387</v>
      </c>
      <c r="G90" s="64">
        <f>'Scen 2 MWh Savings'!G25/('Scen 2 Summer &amp; Winter MW'!G44*1000)</f>
        <v>6.1634063255122999</v>
      </c>
      <c r="H90" s="64">
        <f>'Scen 2 MWh Savings'!H25/('Scen 2 Summer &amp; Winter MW'!H44*1000)</f>
        <v>6.183791739378151</v>
      </c>
      <c r="I90" s="64">
        <f>'Scen 2 MWh Savings'!I25/('Scen 2 Summer &amp; Winter MW'!I44*1000)</f>
        <v>6.203668739042854</v>
      </c>
      <c r="J90" s="64">
        <f>'Scen 2 MWh Savings'!J25/('Scen 2 Summer &amp; Winter MW'!J44*1000)</f>
        <v>6.2229489785920924</v>
      </c>
      <c r="K90" s="64">
        <f>'Scen 2 MWh Savings'!K25/('Scen 2 Summer &amp; Winter MW'!K44*1000)</f>
        <v>6.2416956494288938</v>
      </c>
      <c r="L90" s="64">
        <f>'Scen 2 MWh Savings'!L25/('Scen 2 Summer &amp; Winter MW'!L44*1000)</f>
        <v>6.2599340416454901</v>
      </c>
      <c r="M90" s="64">
        <f>'Scen 2 MWh Savings'!M25/('Scen 2 Summer &amp; Winter MW'!M44*1000)</f>
        <v>6.2777155038286283</v>
      </c>
      <c r="N90" s="64">
        <f>'Scen 2 MWh Savings'!N25/('Scen 2 Summer &amp; Winter MW'!N44*1000)</f>
        <v>6.29498429294856</v>
      </c>
      <c r="O90" s="64">
        <f>'Scen 2 MWh Savings'!O25/('Scen 2 Summer &amp; Winter MW'!O44*1000)</f>
        <v>6.3118382564566362</v>
      </c>
      <c r="P90" s="64">
        <f>'Scen 2 MWh Savings'!P25/('Scen 2 Summer &amp; Winter MW'!P44*1000)</f>
        <v>6.3281316623603265</v>
      </c>
      <c r="Q90" s="64">
        <f>'Scen 2 MWh Savings'!Q25/('Scen 2 Summer &amp; Winter MW'!Q44*1000)</f>
        <v>6.3437991943873051</v>
      </c>
      <c r="R90" s="64">
        <f>'Scen 2 MWh Savings'!R25/('Scen 2 Summer &amp; Winter MW'!R44*1000)</f>
        <v>6.3590458549561077</v>
      </c>
      <c r="S90" s="64">
        <f>'Scen 2 MWh Savings'!S25/('Scen 2 Summer &amp; Winter MW'!S44*1000)</f>
        <v>6.3738850852757212</v>
      </c>
      <c r="T90" s="64">
        <f>'Scen 2 MWh Savings'!T25/('Scen 2 Summer &amp; Winter MW'!T44*1000)</f>
        <v>6.388327461217874</v>
      </c>
      <c r="U90" s="64">
        <f>'Scen 2 MWh Savings'!U25/('Scen 2 Summer &amp; Winter MW'!U44*1000)</f>
        <v>6.4024083945288544</v>
      </c>
      <c r="V90" s="64">
        <f>'Scen 2 MWh Savings'!V25/('Scen 2 Summer &amp; Winter MW'!V44*1000)</f>
        <v>6.2664593682381904</v>
      </c>
    </row>
    <row r="91" spans="1:22">
      <c r="A91" s="3" t="s">
        <v>4</v>
      </c>
      <c r="B91" s="65">
        <f>'Scen 2 MWh Savings'!B26/('Scen 2 Summer &amp; Winter MW'!B45*1000)</f>
        <v>8.1171778208287648</v>
      </c>
      <c r="C91" s="65">
        <f>'Scen 2 MWh Savings'!C26/('Scen 2 Summer &amp; Winter MW'!C45*1000)</f>
        <v>7.8327433186603566</v>
      </c>
      <c r="D91" s="65">
        <f>'Scen 2 MWh Savings'!D26/('Scen 2 Summer &amp; Winter MW'!D45*1000)</f>
        <v>7.6703693249805776</v>
      </c>
      <c r="E91" s="65">
        <f>'Scen 2 MWh Savings'!E26/('Scen 2 Summer &amp; Winter MW'!E45*1000)</f>
        <v>7.5648569452186054</v>
      </c>
      <c r="F91" s="65">
        <f>'Scen 2 MWh Savings'!F26/('Scen 2 Summer &amp; Winter MW'!F45*1000)</f>
        <v>7.5719606114602671</v>
      </c>
      <c r="G91" s="65">
        <f>'Scen 2 MWh Savings'!G26/('Scen 2 Summer &amp; Winter MW'!G45*1000)</f>
        <v>7.5812376426863404</v>
      </c>
      <c r="H91" s="65">
        <f>'Scen 2 MWh Savings'!H26/('Scen 2 Summer &amp; Winter MW'!H45*1000)</f>
        <v>7.5958107545916107</v>
      </c>
      <c r="I91" s="65">
        <f>'Scen 2 MWh Savings'!I26/('Scen 2 Summer &amp; Winter MW'!I45*1000)</f>
        <v>7.6084309187076196</v>
      </c>
      <c r="J91" s="65">
        <f>'Scen 2 MWh Savings'!J26/('Scen 2 Summer &amp; Winter MW'!J45*1000)</f>
        <v>7.6183180728315811</v>
      </c>
      <c r="K91" s="65">
        <f>'Scen 2 MWh Savings'!K26/('Scen 2 Summer &amp; Winter MW'!K45*1000)</f>
        <v>7.6246875482580672</v>
      </c>
      <c r="L91" s="65">
        <f>'Scen 2 MWh Savings'!L26/('Scen 2 Summer &amp; Winter MW'!L45*1000)</f>
        <v>7.6298657555412968</v>
      </c>
      <c r="M91" s="65">
        <f>'Scen 2 MWh Savings'!M26/('Scen 2 Summer &amp; Winter MW'!M45*1000)</f>
        <v>7.6334819380385612</v>
      </c>
      <c r="N91" s="65">
        <f>'Scen 2 MWh Savings'!N26/('Scen 2 Summer &amp; Winter MW'!N45*1000)</f>
        <v>7.6386070936124213</v>
      </c>
      <c r="O91" s="65">
        <f>'Scen 2 MWh Savings'!O26/('Scen 2 Summer &amp; Winter MW'!O45*1000)</f>
        <v>7.6402886117751683</v>
      </c>
      <c r="P91" s="65">
        <f>'Scen 2 MWh Savings'!P26/('Scen 2 Summer &amp; Winter MW'!P45*1000)</f>
        <v>7.6419752626299422</v>
      </c>
      <c r="Q91" s="65">
        <f>'Scen 2 MWh Savings'!Q26/('Scen 2 Summer &amp; Winter MW'!Q45*1000)</f>
        <v>7.6468838982348748</v>
      </c>
      <c r="R91" s="65">
        <f>'Scen 2 MWh Savings'!R26/('Scen 2 Summer &amp; Winter MW'!R45*1000)</f>
        <v>7.6586815886036934</v>
      </c>
      <c r="S91" s="65">
        <f>'Scen 2 MWh Savings'!S26/('Scen 2 Summer &amp; Winter MW'!S45*1000)</f>
        <v>7.6601743276737055</v>
      </c>
      <c r="T91" s="65">
        <f>'Scen 2 MWh Savings'!T26/('Scen 2 Summer &amp; Winter MW'!T45*1000)</f>
        <v>7.6645218529680097</v>
      </c>
      <c r="U91" s="65">
        <f>'Scen 2 MWh Savings'!U26/('Scen 2 Summer &amp; Winter MW'!U45*1000)</f>
        <v>7.6682307112840151</v>
      </c>
      <c r="V91" s="65">
        <f>'Scen 2 MWh Savings'!V26/('Scen 2 Summer &amp; Winter MW'!V45*1000)</f>
        <v>7.6521890208953263</v>
      </c>
    </row>
    <row r="92" spans="1:22">
      <c r="A92" s="1"/>
      <c r="B92" s="64"/>
      <c r="C92" s="64"/>
      <c r="D92" s="64"/>
      <c r="E92" s="64"/>
      <c r="F92" s="64"/>
      <c r="G92" s="64"/>
      <c r="H92" s="64"/>
      <c r="I92" s="64"/>
      <c r="J92" s="64"/>
      <c r="K92" s="64"/>
      <c r="L92" s="64"/>
      <c r="M92" s="64"/>
      <c r="N92" s="64"/>
      <c r="O92" s="64"/>
      <c r="P92" s="64"/>
      <c r="Q92" s="64"/>
      <c r="R92" s="64"/>
      <c r="S92" s="64"/>
      <c r="T92" s="64"/>
      <c r="U92" s="64"/>
      <c r="V92" s="64"/>
    </row>
    <row r="93" spans="1:22">
      <c r="A93" s="62" t="s">
        <v>30</v>
      </c>
      <c r="B93" s="66"/>
      <c r="C93" s="66"/>
      <c r="D93" s="66"/>
      <c r="E93" s="66"/>
      <c r="F93" s="66"/>
      <c r="G93" s="66"/>
      <c r="H93" s="66"/>
      <c r="I93" s="66"/>
      <c r="J93" s="66"/>
      <c r="K93" s="66"/>
      <c r="L93" s="66"/>
      <c r="M93" s="66"/>
      <c r="N93" s="66"/>
      <c r="O93" s="66"/>
      <c r="P93" s="66"/>
      <c r="Q93" s="66"/>
      <c r="R93" s="66"/>
      <c r="S93" s="66"/>
      <c r="T93" s="66"/>
      <c r="U93" s="66"/>
      <c r="V93" s="66"/>
    </row>
    <row r="94" spans="1:22">
      <c r="A94" s="3" t="s">
        <v>2</v>
      </c>
      <c r="B94" s="64">
        <f>'Scen 2 MWh Savings'!B24/('Scen 2 Summer &amp; Winter MW'!B48*1000)</f>
        <v>8.670029468241113</v>
      </c>
      <c r="C94" s="64">
        <f>'Scen 2 MWh Savings'!C24/('Scen 2 Summer &amp; Winter MW'!C48*1000)</f>
        <v>8.6700294682411148</v>
      </c>
      <c r="D94" s="64">
        <f>'Scen 2 MWh Savings'!D24/('Scen 2 Summer &amp; Winter MW'!D48*1000)</f>
        <v>8.6700294682411148</v>
      </c>
      <c r="E94" s="64">
        <f>'Scen 2 MWh Savings'!E24/('Scen 2 Summer &amp; Winter MW'!E48*1000)</f>
        <v>8.6700294682411112</v>
      </c>
      <c r="F94" s="64">
        <f>'Scen 2 MWh Savings'!F24/('Scen 2 Summer &amp; Winter MW'!F48*1000)</f>
        <v>8.670029468241113</v>
      </c>
      <c r="G94" s="64">
        <f>'Scen 2 MWh Savings'!G24/('Scen 2 Summer &amp; Winter MW'!G48*1000)</f>
        <v>8.6700294682411112</v>
      </c>
      <c r="H94" s="64">
        <f>'Scen 2 MWh Savings'!H24/('Scen 2 Summer &amp; Winter MW'!H48*1000)</f>
        <v>8.6700294682411148</v>
      </c>
      <c r="I94" s="64">
        <f>'Scen 2 MWh Savings'!I24/('Scen 2 Summer &amp; Winter MW'!I48*1000)</f>
        <v>8.6700294682411112</v>
      </c>
      <c r="J94" s="64">
        <f>'Scen 2 MWh Savings'!J24/('Scen 2 Summer &amp; Winter MW'!J48*1000)</f>
        <v>8.670029468241113</v>
      </c>
      <c r="K94" s="64">
        <f>'Scen 2 MWh Savings'!K24/('Scen 2 Summer &amp; Winter MW'!K48*1000)</f>
        <v>8.6700294682411112</v>
      </c>
      <c r="L94" s="64">
        <f>'Scen 2 MWh Savings'!L24/('Scen 2 Summer &amp; Winter MW'!L48*1000)</f>
        <v>8.6700294682411112</v>
      </c>
      <c r="M94" s="64">
        <f>'Scen 2 MWh Savings'!M24/('Scen 2 Summer &amp; Winter MW'!M48*1000)</f>
        <v>8.670029468241113</v>
      </c>
      <c r="N94" s="64">
        <f>'Scen 2 MWh Savings'!N24/('Scen 2 Summer &amp; Winter MW'!N48*1000)</f>
        <v>8.670029468241113</v>
      </c>
      <c r="O94" s="64">
        <f>'Scen 2 MWh Savings'!O24/('Scen 2 Summer &amp; Winter MW'!O48*1000)</f>
        <v>8.670029468241113</v>
      </c>
      <c r="P94" s="64">
        <f>'Scen 2 MWh Savings'!P24/('Scen 2 Summer &amp; Winter MW'!P48*1000)</f>
        <v>8.670029468241113</v>
      </c>
      <c r="Q94" s="64">
        <f>'Scen 2 MWh Savings'!Q24/('Scen 2 Summer &amp; Winter MW'!Q48*1000)</f>
        <v>8.6700294682411148</v>
      </c>
      <c r="R94" s="64">
        <f>'Scen 2 MWh Savings'!R24/('Scen 2 Summer &amp; Winter MW'!R48*1000)</f>
        <v>8.670029468241113</v>
      </c>
      <c r="S94" s="64">
        <f>'Scen 2 MWh Savings'!S24/('Scen 2 Summer &amp; Winter MW'!S48*1000)</f>
        <v>8.670029468241113</v>
      </c>
      <c r="T94" s="64">
        <f>'Scen 2 MWh Savings'!T24/('Scen 2 Summer &amp; Winter MW'!T48*1000)</f>
        <v>8.6700294682411112</v>
      </c>
      <c r="U94" s="64">
        <f>'Scen 2 MWh Savings'!U24/('Scen 2 Summer &amp; Winter MW'!U48*1000)</f>
        <v>8.670029468241113</v>
      </c>
      <c r="V94" s="64">
        <f>'Scen 2 MWh Savings'!V24/('Scen 2 Summer &amp; Winter MW'!V48*1000)</f>
        <v>8.6700294682411112</v>
      </c>
    </row>
    <row r="95" spans="1:22">
      <c r="A95" s="3" t="s">
        <v>3</v>
      </c>
      <c r="B95" s="64">
        <f>'Scen 2 MWh Savings'!B25/('Scen 2 Summer &amp; Winter MW'!B49*1000)</f>
        <v>6.6061426015366971</v>
      </c>
      <c r="C95" s="64">
        <f>'Scen 2 MWh Savings'!C25/('Scen 2 Summer &amp; Winter MW'!C49*1000)</f>
        <v>6.5926719660230289</v>
      </c>
      <c r="D95" s="64">
        <f>'Scen 2 MWh Savings'!D25/('Scen 2 Summer &amp; Winter MW'!D49*1000)</f>
        <v>6.5779242806467906</v>
      </c>
      <c r="E95" s="64">
        <f>'Scen 2 MWh Savings'!E25/('Scen 2 Summer &amp; Winter MW'!E49*1000)</f>
        <v>6.5677414984211788</v>
      </c>
      <c r="F95" s="64">
        <f>'Scen 2 MWh Savings'!F25/('Scen 2 Summer &amp; Winter MW'!F49*1000)</f>
        <v>6.5536994125802055</v>
      </c>
      <c r="G95" s="64">
        <f>'Scen 2 MWh Savings'!G25/('Scen 2 Summer &amp; Winter MW'!G49*1000)</f>
        <v>6.5403065331234744</v>
      </c>
      <c r="H95" s="64">
        <f>'Scen 2 MWh Savings'!H25/('Scen 2 Summer &amp; Winter MW'!H49*1000)</f>
        <v>6.5274977614444678</v>
      </c>
      <c r="I95" s="64">
        <f>'Scen 2 MWh Savings'!I25/('Scen 2 Summer &amp; Winter MW'!I49*1000)</f>
        <v>6.5151372498124633</v>
      </c>
      <c r="J95" s="64">
        <f>'Scen 2 MWh Savings'!J25/('Scen 2 Summer &amp; Winter MW'!J49*1000)</f>
        <v>6.5032675005746858</v>
      </c>
      <c r="K95" s="64">
        <f>'Scen 2 MWh Savings'!K25/('Scen 2 Summer &amp; Winter MW'!K49*1000)</f>
        <v>6.4918375761215241</v>
      </c>
      <c r="L95" s="64">
        <f>'Scen 2 MWh Savings'!L25/('Scen 2 Summer &amp; Winter MW'!L49*1000)</f>
        <v>6.4808214049558766</v>
      </c>
      <c r="M95" s="64">
        <f>'Scen 2 MWh Savings'!M25/('Scen 2 Summer &amp; Winter MW'!M49*1000)</f>
        <v>6.4701784758827356</v>
      </c>
      <c r="N95" s="64">
        <f>'Scen 2 MWh Savings'!N25/('Scen 2 Summer &amp; Winter MW'!N49*1000)</f>
        <v>6.4599330820900374</v>
      </c>
      <c r="O95" s="64">
        <f>'Scen 2 MWh Savings'!O25/('Scen 2 Summer &amp; Winter MW'!O49*1000)</f>
        <v>6.4500188447678548</v>
      </c>
      <c r="P95" s="64">
        <f>'Scen 2 MWh Savings'!P25/('Scen 2 Summer &amp; Winter MW'!P49*1000)</f>
        <v>6.4405132184101106</v>
      </c>
      <c r="Q95" s="64">
        <f>'Scen 2 MWh Savings'!Q25/('Scen 2 Summer &amp; Winter MW'!Q49*1000)</f>
        <v>6.4314449688832163</v>
      </c>
      <c r="R95" s="64">
        <f>'Scen 2 MWh Savings'!R25/('Scen 2 Summer &amp; Winter MW'!R49*1000)</f>
        <v>6.4226875228504392</v>
      </c>
      <c r="S95" s="64">
        <f>'Scen 2 MWh Savings'!S25/('Scen 2 Summer &amp; Winter MW'!S49*1000)</f>
        <v>6.414227041315077</v>
      </c>
      <c r="T95" s="64">
        <f>'Scen 2 MWh Savings'!T25/('Scen 2 Summer &amp; Winter MW'!T49*1000)</f>
        <v>6.4060517960314547</v>
      </c>
      <c r="U95" s="64">
        <f>'Scen 2 MWh Savings'!U25/('Scen 2 Summer &amp; Winter MW'!U49*1000)</f>
        <v>6.3981365645397945</v>
      </c>
      <c r="V95" s="64">
        <f>'Scen 2 MWh Savings'!V25/('Scen 2 Summer &amp; Winter MW'!V49*1000)</f>
        <v>6.4769046482504748</v>
      </c>
    </row>
    <row r="96" spans="1:22">
      <c r="A96" s="3" t="s">
        <v>4</v>
      </c>
      <c r="B96" s="65">
        <f>'Scen 2 MWh Savings'!B26/('Scen 2 Summer &amp; Winter MW'!B50*1000)</f>
        <v>8.2614460715844746</v>
      </c>
      <c r="C96" s="65">
        <f>'Scen 2 MWh Savings'!C26/('Scen 2 Summer &amp; Winter MW'!C50*1000)</f>
        <v>8.03399986344089</v>
      </c>
      <c r="D96" s="65">
        <f>'Scen 2 MWh Savings'!D26/('Scen 2 Summer &amp; Winter MW'!D50*1000)</f>
        <v>7.8915820527088671</v>
      </c>
      <c r="E96" s="65">
        <f>'Scen 2 MWh Savings'!E26/('Scen 2 Summer &amp; Winter MW'!E50*1000)</f>
        <v>7.7949728722852463</v>
      </c>
      <c r="F96" s="65">
        <f>'Scen 2 MWh Savings'!F26/('Scen 2 Summer &amp; Winter MW'!F50*1000)</f>
        <v>7.7842238319576937</v>
      </c>
      <c r="G96" s="65">
        <f>'Scen 2 MWh Savings'!G26/('Scen 2 Summer &amp; Winter MW'!G50*1000)</f>
        <v>7.7758782871644128</v>
      </c>
      <c r="H96" s="65">
        <f>'Scen 2 MWh Savings'!H26/('Scen 2 Summer &amp; Winter MW'!H50*1000)</f>
        <v>7.7726420543616337</v>
      </c>
      <c r="I96" s="65">
        <f>'Scen 2 MWh Savings'!I26/('Scen 2 Summer &amp; Winter MW'!I50*1000)</f>
        <v>7.7682833910074329</v>
      </c>
      <c r="J96" s="65">
        <f>'Scen 2 MWh Savings'!J26/('Scen 2 Summer &amp; Winter MW'!J50*1000)</f>
        <v>7.7621146520466597</v>
      </c>
      <c r="K96" s="65">
        <f>'Scen 2 MWh Savings'!K26/('Scen 2 Summer &amp; Winter MW'!K50*1000)</f>
        <v>7.7532916874045652</v>
      </c>
      <c r="L96" s="65">
        <f>'Scen 2 MWh Savings'!L26/('Scen 2 Summer &amp; Winter MW'!L50*1000)</f>
        <v>7.7437755410168299</v>
      </c>
      <c r="M96" s="65">
        <f>'Scen 2 MWh Savings'!M26/('Scen 2 Summer &amp; Winter MW'!M50*1000)</f>
        <v>7.733150556580914</v>
      </c>
      <c r="N96" s="65">
        <f>'Scen 2 MWh Savings'!N26/('Scen 2 Summer &amp; Winter MW'!N50*1000)</f>
        <v>7.7242601128696657</v>
      </c>
      <c r="O96" s="65">
        <f>'Scen 2 MWh Savings'!O26/('Scen 2 Summer &amp; Winter MW'!O50*1000)</f>
        <v>7.7124369962476322</v>
      </c>
      <c r="P96" s="65">
        <f>'Scen 2 MWh Savings'!P26/('Scen 2 Summer &amp; Winter MW'!P50*1000)</f>
        <v>7.7009638128030033</v>
      </c>
      <c r="Q96" s="65">
        <f>'Scen 2 MWh Savings'!Q26/('Scen 2 Summer &amp; Winter MW'!Q50*1000)</f>
        <v>7.692994690333971</v>
      </c>
      <c r="R96" s="65">
        <f>'Scen 2 MWh Savings'!R26/('Scen 2 Summer &amp; Winter MW'!R50*1000)</f>
        <v>7.6920372719228487</v>
      </c>
      <c r="S96" s="65">
        <f>'Scen 2 MWh Savings'!S26/('Scen 2 Summer &amp; Winter MW'!S50*1000)</f>
        <v>7.6814221361621691</v>
      </c>
      <c r="T96" s="65">
        <f>'Scen 2 MWh Savings'!T26/('Scen 2 Summer &amp; Winter MW'!T50*1000)</f>
        <v>7.673878513187244</v>
      </c>
      <c r="U96" s="65">
        <f>'Scen 2 MWh Savings'!U26/('Scen 2 Summer &amp; Winter MW'!U50*1000)</f>
        <v>7.6659695187292458</v>
      </c>
      <c r="V96" s="65">
        <f>'Scen 2 MWh Savings'!V26/('Scen 2 Summer &amp; Winter MW'!V50*1000)</f>
        <v>7.7589462620916771</v>
      </c>
    </row>
  </sheetData>
  <pageMargins left="0.7" right="0.7" top="0.75" bottom="0.75" header="0.3" footer="0.3"/>
  <pageSetup orientation="portrait" r:id="rId1"/>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7030A0"/>
  </sheetPr>
  <dimension ref="A1:V33"/>
  <sheetViews>
    <sheetView workbookViewId="0">
      <pane ySplit="1" topLeftCell="A2" activePane="bottomLeft" state="frozen"/>
      <selection activeCell="I108" sqref="I108"/>
      <selection pane="bottomLeft" activeCell="F34" sqref="F34"/>
    </sheetView>
  </sheetViews>
  <sheetFormatPr defaultRowHeight="15"/>
  <cols>
    <col min="1" max="1" width="37.85546875" customWidth="1"/>
  </cols>
  <sheetData>
    <row r="1" spans="1:22" ht="15.75">
      <c r="A1" s="7" t="s">
        <v>40</v>
      </c>
    </row>
    <row r="2" spans="1:22" ht="15.75">
      <c r="A2" s="7"/>
    </row>
    <row r="3" spans="1:22" ht="15.75">
      <c r="A3" s="7" t="s">
        <v>26</v>
      </c>
    </row>
    <row r="4" spans="1:22">
      <c r="A4" s="5" t="s">
        <v>18</v>
      </c>
      <c r="B4" s="6">
        <v>2015</v>
      </c>
      <c r="C4" s="6">
        <f>B4+1</f>
        <v>2016</v>
      </c>
      <c r="D4" s="6">
        <f t="shared" ref="D4:U4" si="0">C4+1</f>
        <v>2017</v>
      </c>
      <c r="E4" s="6">
        <f t="shared" si="0"/>
        <v>2018</v>
      </c>
      <c r="F4" s="6">
        <f t="shared" si="0"/>
        <v>2019</v>
      </c>
      <c r="G4" s="6">
        <f t="shared" si="0"/>
        <v>2020</v>
      </c>
      <c r="H4" s="6">
        <f t="shared" si="0"/>
        <v>2021</v>
      </c>
      <c r="I4" s="6">
        <f t="shared" si="0"/>
        <v>2022</v>
      </c>
      <c r="J4" s="6">
        <f t="shared" si="0"/>
        <v>2023</v>
      </c>
      <c r="K4" s="6">
        <f t="shared" si="0"/>
        <v>2024</v>
      </c>
      <c r="L4" s="6">
        <f t="shared" si="0"/>
        <v>2025</v>
      </c>
      <c r="M4" s="6">
        <f t="shared" si="0"/>
        <v>2026</v>
      </c>
      <c r="N4" s="6">
        <f t="shared" si="0"/>
        <v>2027</v>
      </c>
      <c r="O4" s="6">
        <f t="shared" si="0"/>
        <v>2028</v>
      </c>
      <c r="P4" s="6">
        <f t="shared" si="0"/>
        <v>2029</v>
      </c>
      <c r="Q4" s="6">
        <f t="shared" si="0"/>
        <v>2030</v>
      </c>
      <c r="R4" s="6">
        <f t="shared" si="0"/>
        <v>2031</v>
      </c>
      <c r="S4" s="6">
        <f t="shared" si="0"/>
        <v>2032</v>
      </c>
      <c r="T4" s="6">
        <f t="shared" si="0"/>
        <v>2033</v>
      </c>
      <c r="U4" s="6">
        <f t="shared" si="0"/>
        <v>2034</v>
      </c>
      <c r="V4" s="6" t="s">
        <v>14</v>
      </c>
    </row>
    <row r="5" spans="1:22">
      <c r="A5" s="50" t="s">
        <v>2</v>
      </c>
    </row>
    <row r="6" spans="1:22">
      <c r="A6" s="9" t="s">
        <v>8</v>
      </c>
      <c r="B6" s="11">
        <v>1169.5574552629894</v>
      </c>
      <c r="C6" s="11">
        <v>1345.1300386013497</v>
      </c>
      <c r="D6" s="11">
        <v>1545.7275599674674</v>
      </c>
      <c r="E6" s="11">
        <v>1595.7349589080022</v>
      </c>
      <c r="F6" s="11">
        <v>1561.6872513527696</v>
      </c>
      <c r="G6" s="11">
        <v>1414.8669098623554</v>
      </c>
      <c r="H6" s="11">
        <v>1487.5532013720137</v>
      </c>
      <c r="I6" s="11">
        <v>1529.6637398075809</v>
      </c>
      <c r="J6" s="11">
        <v>1705.3087548744686</v>
      </c>
      <c r="K6" s="11">
        <v>1784.5988375353318</v>
      </c>
      <c r="L6" s="11">
        <v>1801.3437071651356</v>
      </c>
      <c r="M6" s="11">
        <v>1816.6896037250035</v>
      </c>
      <c r="N6" s="11">
        <v>1878.5990587788733</v>
      </c>
      <c r="O6" s="11">
        <v>1938.9359238760044</v>
      </c>
      <c r="P6" s="11">
        <v>1877.6163690381049</v>
      </c>
      <c r="Q6" s="11">
        <v>1929.4205941374746</v>
      </c>
      <c r="R6" s="11">
        <v>1876.9800816284815</v>
      </c>
      <c r="S6" s="11">
        <v>1836.282340479801</v>
      </c>
      <c r="T6" s="11">
        <v>1901.3326041882804</v>
      </c>
      <c r="U6" s="11">
        <v>1858.9985968506687</v>
      </c>
      <c r="V6" s="11">
        <f>SUM(B6:U6)</f>
        <v>33856.027587412151</v>
      </c>
    </row>
    <row r="7" spans="1:22">
      <c r="A7" s="10" t="s">
        <v>9</v>
      </c>
      <c r="B7" s="11">
        <v>32294.245558965853</v>
      </c>
      <c r="C7" s="11">
        <v>34960.571240460071</v>
      </c>
      <c r="D7" s="11">
        <v>36360.674528816577</v>
      </c>
      <c r="E7" s="11">
        <v>36551.766092751343</v>
      </c>
      <c r="F7" s="11">
        <v>38263.713154747486</v>
      </c>
      <c r="G7" s="11">
        <v>29570.334443033633</v>
      </c>
      <c r="H7" s="11">
        <v>25113.178421718672</v>
      </c>
      <c r="I7" s="11">
        <v>21298.769394928404</v>
      </c>
      <c r="J7" s="11">
        <v>17529.277908809418</v>
      </c>
      <c r="K7" s="11">
        <v>17298.598133766718</v>
      </c>
      <c r="L7" s="11">
        <v>16560.99305593473</v>
      </c>
      <c r="M7" s="11">
        <v>15376.610541561689</v>
      </c>
      <c r="N7" s="11">
        <v>14632.254320000018</v>
      </c>
      <c r="O7" s="11">
        <v>14477.480429900324</v>
      </c>
      <c r="P7" s="11">
        <v>13489.559962616118</v>
      </c>
      <c r="Q7" s="11">
        <v>13142.447542055812</v>
      </c>
      <c r="R7" s="11">
        <v>12416.861463380421</v>
      </c>
      <c r="S7" s="11">
        <v>11870.689803309664</v>
      </c>
      <c r="T7" s="11">
        <v>11287.392464671073</v>
      </c>
      <c r="U7" s="11">
        <v>10760.848788528987</v>
      </c>
      <c r="V7" s="11">
        <f t="shared" ref="V7:V11" si="1">SUM(B7:U7)</f>
        <v>423256.26724995702</v>
      </c>
    </row>
    <row r="8" spans="1:22">
      <c r="A8" s="10" t="s">
        <v>10</v>
      </c>
      <c r="B8" s="11">
        <v>11496.857808335861</v>
      </c>
      <c r="C8" s="11">
        <v>11600.838465478897</v>
      </c>
      <c r="D8" s="11">
        <v>11900.625967961041</v>
      </c>
      <c r="E8" s="11">
        <v>12674.302335504563</v>
      </c>
      <c r="F8" s="11">
        <v>12457.403619866693</v>
      </c>
      <c r="G8" s="11">
        <v>16813.862556995013</v>
      </c>
      <c r="H8" s="11">
        <v>20226.214284945447</v>
      </c>
      <c r="I8" s="11">
        <v>22254.73111624637</v>
      </c>
      <c r="J8" s="11">
        <v>22176.097882094175</v>
      </c>
      <c r="K8" s="11">
        <v>21732.21250593452</v>
      </c>
      <c r="L8" s="11">
        <v>21479.750838907381</v>
      </c>
      <c r="M8" s="11">
        <v>21387.611334793441</v>
      </c>
      <c r="N8" s="11">
        <v>21269.53432297835</v>
      </c>
      <c r="O8" s="11">
        <v>20674.999228686222</v>
      </c>
      <c r="P8" s="11">
        <v>20102.482790975373</v>
      </c>
      <c r="Q8" s="11">
        <v>20239.49958835365</v>
      </c>
      <c r="R8" s="11">
        <v>20046.031057939213</v>
      </c>
      <c r="S8" s="11">
        <v>19729.741593888473</v>
      </c>
      <c r="T8" s="11">
        <v>19222.530554114219</v>
      </c>
      <c r="U8" s="11">
        <v>18887.880235529043</v>
      </c>
      <c r="V8" s="11">
        <f t="shared" si="1"/>
        <v>366373.20808952797</v>
      </c>
    </row>
    <row r="9" spans="1:22">
      <c r="A9" s="10" t="s">
        <v>11</v>
      </c>
      <c r="B9" s="11">
        <v>5063.6466306287293</v>
      </c>
      <c r="C9" s="11">
        <v>5084.0144924551778</v>
      </c>
      <c r="D9" s="11">
        <v>5656.1427698717052</v>
      </c>
      <c r="E9" s="11">
        <v>6314.7516633145933</v>
      </c>
      <c r="F9" s="11">
        <v>6703.5722041295003</v>
      </c>
      <c r="G9" s="11">
        <v>7142.6636800035112</v>
      </c>
      <c r="H9" s="11">
        <v>7335.620733772168</v>
      </c>
      <c r="I9" s="11">
        <v>7538.2577561883527</v>
      </c>
      <c r="J9" s="11">
        <v>7518.1518166572459</v>
      </c>
      <c r="K9" s="11">
        <v>7520.8053728517943</v>
      </c>
      <c r="L9" s="11">
        <v>7590.1781560353229</v>
      </c>
      <c r="M9" s="11">
        <v>7812.5127432190084</v>
      </c>
      <c r="N9" s="11">
        <v>7733.6183144165379</v>
      </c>
      <c r="O9" s="11">
        <v>7499.9784643818011</v>
      </c>
      <c r="P9" s="11">
        <v>7373.5243512062079</v>
      </c>
      <c r="Q9" s="11">
        <v>7448.3368539152016</v>
      </c>
      <c r="R9" s="11">
        <v>7353.8821579336345</v>
      </c>
      <c r="S9" s="11">
        <v>7283.1875425716989</v>
      </c>
      <c r="T9" s="11">
        <v>7161.926644319452</v>
      </c>
      <c r="U9" s="11">
        <v>7097.3839570286591</v>
      </c>
      <c r="V9" s="11">
        <f t="shared" si="1"/>
        <v>140232.15630490033</v>
      </c>
    </row>
    <row r="10" spans="1:22">
      <c r="A10" s="2" t="s">
        <v>12</v>
      </c>
      <c r="B10" s="11">
        <v>3396.9382568154365</v>
      </c>
      <c r="C10" s="11">
        <v>3424.5483422734401</v>
      </c>
      <c r="D10" s="11">
        <v>3634.1069854599241</v>
      </c>
      <c r="E10" s="11">
        <v>3963.4518476014468</v>
      </c>
      <c r="F10" s="11">
        <v>4066.9818432762163</v>
      </c>
      <c r="G10" s="11">
        <v>4186.9473577139297</v>
      </c>
      <c r="H10" s="11">
        <v>4313.2498425062413</v>
      </c>
      <c r="I10" s="11">
        <v>4427.344261883949</v>
      </c>
      <c r="J10" s="11">
        <v>4304.6195733769782</v>
      </c>
      <c r="K10" s="11">
        <v>4278.3640234326267</v>
      </c>
      <c r="L10" s="11">
        <v>4214.7205157409053</v>
      </c>
      <c r="M10" s="11">
        <v>4312.230856009458</v>
      </c>
      <c r="N10" s="11">
        <v>4245.4672586607658</v>
      </c>
      <c r="O10" s="11">
        <v>4185.0550267650988</v>
      </c>
      <c r="P10" s="11">
        <v>4097.2817510535833</v>
      </c>
      <c r="Q10" s="11">
        <v>4098.9986852727661</v>
      </c>
      <c r="R10" s="11">
        <v>4016.3673359300519</v>
      </c>
      <c r="S10" s="11">
        <v>3948.0777414360709</v>
      </c>
      <c r="T10" s="11">
        <v>3855.5089149087999</v>
      </c>
      <c r="U10" s="11">
        <v>3793.3738391620277</v>
      </c>
      <c r="V10" s="11">
        <f t="shared" si="1"/>
        <v>80763.63425927973</v>
      </c>
    </row>
    <row r="11" spans="1:22">
      <c r="A11" s="2" t="s">
        <v>13</v>
      </c>
      <c r="B11" s="13">
        <v>1006.650751330642</v>
      </c>
      <c r="C11" s="13">
        <v>1056.5810763864308</v>
      </c>
      <c r="D11" s="13">
        <v>1090.8177547759269</v>
      </c>
      <c r="E11" s="13">
        <v>1205.6443272000902</v>
      </c>
      <c r="F11" s="13">
        <v>1208.6145954868909</v>
      </c>
      <c r="G11" s="13">
        <v>1420.7768419197166</v>
      </c>
      <c r="H11" s="13">
        <v>1586.7458595442736</v>
      </c>
      <c r="I11" s="13">
        <v>1682.9008054480812</v>
      </c>
      <c r="J11" s="13">
        <v>1829.3535894679828</v>
      </c>
      <c r="K11" s="13">
        <v>1807.9223877533518</v>
      </c>
      <c r="L11" s="13">
        <v>1820.7491728353421</v>
      </c>
      <c r="M11" s="13">
        <v>1807.2358257216965</v>
      </c>
      <c r="N11" s="13">
        <v>1816.6771491633715</v>
      </c>
      <c r="O11" s="13">
        <v>1838.3685497603378</v>
      </c>
      <c r="P11" s="13">
        <v>1790.2724276070594</v>
      </c>
      <c r="Q11" s="13">
        <v>1815.6348147426936</v>
      </c>
      <c r="R11" s="13">
        <v>1787.7263475326683</v>
      </c>
      <c r="S11" s="13">
        <v>1750.5016864088973</v>
      </c>
      <c r="T11" s="13">
        <v>1755.8266730085227</v>
      </c>
      <c r="U11" s="13">
        <v>1739.3142735618553</v>
      </c>
      <c r="V11" s="13">
        <f t="shared" si="1"/>
        <v>31818.31490965583</v>
      </c>
    </row>
    <row r="12" spans="1:22">
      <c r="A12" s="8" t="s">
        <v>15</v>
      </c>
      <c r="B12" s="12">
        <f>SUM(B6:B11)</f>
        <v>54427.896461339507</v>
      </c>
      <c r="C12" s="12">
        <f t="shared" ref="C12:V12" si="2">SUM(C6:C11)</f>
        <v>57471.683655655361</v>
      </c>
      <c r="D12" s="12">
        <f t="shared" si="2"/>
        <v>60188.095566852637</v>
      </c>
      <c r="E12" s="12">
        <f t="shared" si="2"/>
        <v>62305.651225280038</v>
      </c>
      <c r="F12" s="12">
        <f t="shared" si="2"/>
        <v>64261.972668859562</v>
      </c>
      <c r="G12" s="12">
        <f t="shared" si="2"/>
        <v>60549.451789528161</v>
      </c>
      <c r="H12" s="12">
        <f t="shared" si="2"/>
        <v>60062.562343858815</v>
      </c>
      <c r="I12" s="12">
        <f t="shared" si="2"/>
        <v>58731.667074502737</v>
      </c>
      <c r="J12" s="12">
        <f t="shared" si="2"/>
        <v>55062.809525280267</v>
      </c>
      <c r="K12" s="12">
        <f t="shared" si="2"/>
        <v>54422.501261274345</v>
      </c>
      <c r="L12" s="12">
        <f t="shared" si="2"/>
        <v>53467.735446618819</v>
      </c>
      <c r="M12" s="12">
        <f t="shared" si="2"/>
        <v>52512.890905030297</v>
      </c>
      <c r="N12" s="12">
        <f t="shared" si="2"/>
        <v>51576.150423997911</v>
      </c>
      <c r="O12" s="12">
        <f t="shared" si="2"/>
        <v>50614.817623369781</v>
      </c>
      <c r="P12" s="12">
        <f t="shared" si="2"/>
        <v>48730.737652496449</v>
      </c>
      <c r="Q12" s="12">
        <f t="shared" si="2"/>
        <v>48674.338078477595</v>
      </c>
      <c r="R12" s="12">
        <f t="shared" si="2"/>
        <v>47497.848444344476</v>
      </c>
      <c r="S12" s="12">
        <f t="shared" si="2"/>
        <v>46418.480708094612</v>
      </c>
      <c r="T12" s="12">
        <f t="shared" si="2"/>
        <v>45184.517855210346</v>
      </c>
      <c r="U12" s="12">
        <f t="shared" si="2"/>
        <v>44137.799690661239</v>
      </c>
      <c r="V12" s="12">
        <f t="shared" si="2"/>
        <v>1076299.608400733</v>
      </c>
    </row>
    <row r="14" spans="1:22">
      <c r="A14" s="50" t="s">
        <v>3</v>
      </c>
    </row>
    <row r="15" spans="1:22">
      <c r="A15" s="2" t="s">
        <v>7</v>
      </c>
      <c r="B15" s="11">
        <v>12105.083668211499</v>
      </c>
      <c r="C15" s="11">
        <v>12949.582243009596</v>
      </c>
      <c r="D15" s="11">
        <v>13196.362940092504</v>
      </c>
      <c r="E15" s="11">
        <v>11648.802490901588</v>
      </c>
      <c r="F15" s="11">
        <v>11933.595980036989</v>
      </c>
      <c r="G15" s="11">
        <v>11890.085082788053</v>
      </c>
      <c r="H15" s="11">
        <v>11331.161130392007</v>
      </c>
      <c r="I15" s="11">
        <v>10795.852278221504</v>
      </c>
      <c r="J15" s="11">
        <v>10181.402484724751</v>
      </c>
      <c r="K15" s="11">
        <v>9779.4643554162485</v>
      </c>
      <c r="L15" s="11">
        <v>9464.0211902391839</v>
      </c>
      <c r="M15" s="11">
        <v>9181.3311456730808</v>
      </c>
      <c r="N15" s="11">
        <v>9113.8575629338684</v>
      </c>
      <c r="O15" s="11">
        <v>8848.4157905258198</v>
      </c>
      <c r="P15" s="11">
        <v>8610.5387140801595</v>
      </c>
      <c r="Q15" s="11">
        <v>8329.5392568565658</v>
      </c>
      <c r="R15" s="11">
        <v>8026.5491527595095</v>
      </c>
      <c r="S15" s="11">
        <v>7650.2646699653824</v>
      </c>
      <c r="T15" s="11">
        <v>7268.3501337783855</v>
      </c>
      <c r="U15" s="11">
        <v>6887.0683985535479</v>
      </c>
      <c r="V15" s="11">
        <f>SUM(B15:U15)</f>
        <v>199191.32866916023</v>
      </c>
    </row>
    <row r="16" spans="1:22">
      <c r="A16" s="2" t="s">
        <v>6</v>
      </c>
      <c r="B16" s="11">
        <v>22424.019448172032</v>
      </c>
      <c r="C16" s="11">
        <v>22881.232933072883</v>
      </c>
      <c r="D16" s="11">
        <v>22792.725913161099</v>
      </c>
      <c r="E16" s="11">
        <v>20357.074421951016</v>
      </c>
      <c r="F16" s="11">
        <v>19857.745875813958</v>
      </c>
      <c r="G16" s="11">
        <v>19217.057998621338</v>
      </c>
      <c r="H16" s="11">
        <v>18313.710913300969</v>
      </c>
      <c r="I16" s="11">
        <v>17343.82364185774</v>
      </c>
      <c r="J16" s="11">
        <v>16324.396541732745</v>
      </c>
      <c r="K16" s="11">
        <v>15626.190314724141</v>
      </c>
      <c r="L16" s="11">
        <v>15047.852657414365</v>
      </c>
      <c r="M16" s="11">
        <v>14518.347325046076</v>
      </c>
      <c r="N16" s="11">
        <v>14293.267300535639</v>
      </c>
      <c r="O16" s="11">
        <v>13876.974699286435</v>
      </c>
      <c r="P16" s="11">
        <v>13503.912248679519</v>
      </c>
      <c r="Q16" s="11">
        <v>13063.220293581111</v>
      </c>
      <c r="R16" s="11">
        <v>12588.040578040453</v>
      </c>
      <c r="S16" s="11">
        <v>11997.914084377933</v>
      </c>
      <c r="T16" s="11">
        <v>11398.956664806119</v>
      </c>
      <c r="U16" s="11">
        <v>10800.992405602625</v>
      </c>
      <c r="V16" s="11">
        <f>SUM(B16:U16)</f>
        <v>326227.45625977824</v>
      </c>
    </row>
    <row r="17" spans="1:22">
      <c r="A17" s="2" t="s">
        <v>5</v>
      </c>
      <c r="B17" s="13">
        <v>36297.764503829058</v>
      </c>
      <c r="C17" s="13">
        <v>39259.399108737562</v>
      </c>
      <c r="D17" s="13">
        <v>42941.94194009593</v>
      </c>
      <c r="E17" s="13">
        <v>50586.052693067599</v>
      </c>
      <c r="F17" s="13">
        <v>54133.525986088964</v>
      </c>
      <c r="G17" s="13">
        <v>53549.032299819752</v>
      </c>
      <c r="H17" s="13">
        <v>53393.815672204655</v>
      </c>
      <c r="I17" s="13">
        <v>53360.480471777497</v>
      </c>
      <c r="J17" s="13">
        <v>53440.859214166318</v>
      </c>
      <c r="K17" s="13">
        <v>53021.938993780146</v>
      </c>
      <c r="L17" s="13">
        <v>52527.513903113926</v>
      </c>
      <c r="M17" s="13">
        <v>52057.072633400363</v>
      </c>
      <c r="N17" s="13">
        <v>51095.939600763537</v>
      </c>
      <c r="O17" s="13">
        <v>50583.394828357472</v>
      </c>
      <c r="P17" s="13">
        <v>49936.779199321099</v>
      </c>
      <c r="Q17" s="13">
        <v>49230.104985411737</v>
      </c>
      <c r="R17" s="13">
        <v>48614.980431252865</v>
      </c>
      <c r="S17" s="13">
        <v>48209.150608607481</v>
      </c>
      <c r="T17" s="13">
        <v>47833.376912797074</v>
      </c>
      <c r="U17" s="13">
        <v>47513.492819002386</v>
      </c>
      <c r="V17" s="13">
        <f>SUM(B17:U17)</f>
        <v>987586.61680559523</v>
      </c>
    </row>
    <row r="18" spans="1:22">
      <c r="A18" s="8" t="s">
        <v>16</v>
      </c>
      <c r="B18" s="12">
        <f>SUM(B15:B17)</f>
        <v>70826.867620212579</v>
      </c>
      <c r="C18" s="12">
        <f t="shared" ref="C18:V18" si="3">SUM(C15:C17)</f>
        <v>75090.214284820046</v>
      </c>
      <c r="D18" s="12">
        <f t="shared" si="3"/>
        <v>78931.030793349535</v>
      </c>
      <c r="E18" s="12">
        <f t="shared" si="3"/>
        <v>82591.929605920202</v>
      </c>
      <c r="F18" s="12">
        <f t="shared" si="3"/>
        <v>85924.867841939908</v>
      </c>
      <c r="G18" s="12">
        <f t="shared" si="3"/>
        <v>84656.175381229143</v>
      </c>
      <c r="H18" s="12">
        <f t="shared" si="3"/>
        <v>83038.687715897628</v>
      </c>
      <c r="I18" s="12">
        <f t="shared" si="3"/>
        <v>81500.156391856741</v>
      </c>
      <c r="J18" s="12">
        <f t="shared" si="3"/>
        <v>79946.658240623816</v>
      </c>
      <c r="K18" s="12">
        <f t="shared" si="3"/>
        <v>78427.593663920532</v>
      </c>
      <c r="L18" s="12">
        <f t="shared" si="3"/>
        <v>77039.387750767477</v>
      </c>
      <c r="M18" s="12">
        <f t="shared" si="3"/>
        <v>75756.751104119525</v>
      </c>
      <c r="N18" s="12">
        <f t="shared" si="3"/>
        <v>74503.064464233044</v>
      </c>
      <c r="O18" s="12">
        <f t="shared" si="3"/>
        <v>73308.785318169728</v>
      </c>
      <c r="P18" s="12">
        <f t="shared" si="3"/>
        <v>72051.230162080785</v>
      </c>
      <c r="Q18" s="12">
        <f t="shared" si="3"/>
        <v>70622.86453584941</v>
      </c>
      <c r="R18" s="12">
        <f t="shared" si="3"/>
        <v>69229.570162052827</v>
      </c>
      <c r="S18" s="12">
        <f t="shared" si="3"/>
        <v>67857.329362950797</v>
      </c>
      <c r="T18" s="12">
        <f t="shared" si="3"/>
        <v>66500.683711381571</v>
      </c>
      <c r="U18" s="12">
        <f t="shared" si="3"/>
        <v>65201.553623158557</v>
      </c>
      <c r="V18" s="12">
        <f t="shared" si="3"/>
        <v>1513005.4017345337</v>
      </c>
    </row>
    <row r="19" spans="1:22">
      <c r="A19" s="8"/>
    </row>
    <row r="20" spans="1:22" s="4" customFormat="1">
      <c r="A20" s="3" t="s">
        <v>4</v>
      </c>
      <c r="B20" s="12">
        <f>B12+B18</f>
        <v>125254.76408155209</v>
      </c>
      <c r="C20" s="12">
        <f t="shared" ref="C20:V20" si="4">C12+C18</f>
        <v>132561.89794047541</v>
      </c>
      <c r="D20" s="12">
        <f t="shared" si="4"/>
        <v>139119.12636020218</v>
      </c>
      <c r="E20" s="12">
        <f t="shared" si="4"/>
        <v>144897.58083120023</v>
      </c>
      <c r="F20" s="12">
        <f t="shared" si="4"/>
        <v>150186.84051079946</v>
      </c>
      <c r="G20" s="12">
        <f t="shared" si="4"/>
        <v>145205.6271707573</v>
      </c>
      <c r="H20" s="12">
        <f t="shared" si="4"/>
        <v>143101.25005975645</v>
      </c>
      <c r="I20" s="12">
        <f t="shared" si="4"/>
        <v>140231.82346635946</v>
      </c>
      <c r="J20" s="12">
        <f t="shared" si="4"/>
        <v>135009.46776590409</v>
      </c>
      <c r="K20" s="12">
        <f t="shared" si="4"/>
        <v>132850.09492519486</v>
      </c>
      <c r="L20" s="12">
        <f t="shared" si="4"/>
        <v>130507.1231973863</v>
      </c>
      <c r="M20" s="12">
        <f t="shared" si="4"/>
        <v>128269.64200914983</v>
      </c>
      <c r="N20" s="12">
        <f t="shared" si="4"/>
        <v>126079.21488823096</v>
      </c>
      <c r="O20" s="12">
        <f t="shared" si="4"/>
        <v>123923.60294153952</v>
      </c>
      <c r="P20" s="12">
        <f t="shared" si="4"/>
        <v>120781.96781457723</v>
      </c>
      <c r="Q20" s="12">
        <f t="shared" si="4"/>
        <v>119297.202614327</v>
      </c>
      <c r="R20" s="12">
        <f t="shared" si="4"/>
        <v>116727.4186063973</v>
      </c>
      <c r="S20" s="12">
        <f t="shared" si="4"/>
        <v>114275.81007104542</v>
      </c>
      <c r="T20" s="12">
        <f t="shared" si="4"/>
        <v>111685.20156659192</v>
      </c>
      <c r="U20" s="12">
        <f t="shared" si="4"/>
        <v>109339.3533138198</v>
      </c>
      <c r="V20" s="12">
        <f t="shared" si="4"/>
        <v>2589305.0101352669</v>
      </c>
    </row>
    <row r="21" spans="1:22">
      <c r="A21" s="1"/>
    </row>
    <row r="22" spans="1:22" ht="15.75">
      <c r="A22" s="68" t="s">
        <v>31</v>
      </c>
      <c r="B22" s="69"/>
      <c r="C22" s="69"/>
      <c r="D22" s="69"/>
      <c r="E22" s="69"/>
      <c r="F22" s="69"/>
      <c r="G22" s="69"/>
      <c r="H22" s="69"/>
      <c r="I22" s="69"/>
      <c r="J22" s="69"/>
      <c r="K22" s="69"/>
      <c r="L22" s="69"/>
      <c r="M22" s="69"/>
      <c r="N22" s="69"/>
      <c r="O22" s="69"/>
      <c r="P22" s="69"/>
      <c r="Q22" s="69"/>
      <c r="R22" s="69"/>
      <c r="S22" s="69"/>
      <c r="T22" s="69"/>
      <c r="U22" s="69"/>
      <c r="V22" s="69"/>
    </row>
    <row r="23" spans="1:22">
      <c r="A23" s="5" t="s">
        <v>18</v>
      </c>
      <c r="B23" s="6">
        <v>2015</v>
      </c>
      <c r="C23" s="6">
        <f>B23+1</f>
        <v>2016</v>
      </c>
      <c r="D23" s="6">
        <f t="shared" ref="D23:U23" si="5">C23+1</f>
        <v>2017</v>
      </c>
      <c r="E23" s="6">
        <f t="shared" si="5"/>
        <v>2018</v>
      </c>
      <c r="F23" s="6">
        <f t="shared" si="5"/>
        <v>2019</v>
      </c>
      <c r="G23" s="6">
        <f t="shared" si="5"/>
        <v>2020</v>
      </c>
      <c r="H23" s="6">
        <f t="shared" si="5"/>
        <v>2021</v>
      </c>
      <c r="I23" s="6">
        <f t="shared" si="5"/>
        <v>2022</v>
      </c>
      <c r="J23" s="6">
        <f t="shared" si="5"/>
        <v>2023</v>
      </c>
      <c r="K23" s="6">
        <f t="shared" si="5"/>
        <v>2024</v>
      </c>
      <c r="L23" s="6">
        <f t="shared" si="5"/>
        <v>2025</v>
      </c>
      <c r="M23" s="6">
        <f t="shared" si="5"/>
        <v>2026</v>
      </c>
      <c r="N23" s="6">
        <f t="shared" si="5"/>
        <v>2027</v>
      </c>
      <c r="O23" s="6">
        <f t="shared" si="5"/>
        <v>2028</v>
      </c>
      <c r="P23" s="6">
        <f t="shared" si="5"/>
        <v>2029</v>
      </c>
      <c r="Q23" s="6">
        <f t="shared" si="5"/>
        <v>2030</v>
      </c>
      <c r="R23" s="6">
        <f t="shared" si="5"/>
        <v>2031</v>
      </c>
      <c r="S23" s="6">
        <f t="shared" si="5"/>
        <v>2032</v>
      </c>
      <c r="T23" s="6">
        <f t="shared" si="5"/>
        <v>2033</v>
      </c>
      <c r="U23" s="6">
        <f t="shared" si="5"/>
        <v>2034</v>
      </c>
      <c r="V23" s="6" t="s">
        <v>14</v>
      </c>
    </row>
    <row r="24" spans="1:22">
      <c r="A24" s="10" t="s">
        <v>2</v>
      </c>
      <c r="B24" s="11">
        <v>14065.669852612322</v>
      </c>
      <c r="C24" s="11">
        <v>14131.118953181685</v>
      </c>
      <c r="D24" s="11">
        <v>14438.606989159567</v>
      </c>
      <c r="E24" s="11">
        <v>15550.883729761874</v>
      </c>
      <c r="F24" s="11">
        <v>15386.852372209412</v>
      </c>
      <c r="G24" s="11">
        <v>16749.777803237677</v>
      </c>
      <c r="H24" s="11">
        <v>17048.314572575924</v>
      </c>
      <c r="I24" s="11">
        <v>17444.073935822555</v>
      </c>
      <c r="J24" s="11">
        <v>17835.606229768822</v>
      </c>
      <c r="K24" s="11">
        <v>17924.903068739026</v>
      </c>
      <c r="L24" s="11">
        <v>18111.950885280155</v>
      </c>
      <c r="M24" s="11">
        <v>18140.037580575634</v>
      </c>
      <c r="N24" s="11">
        <v>17922.951254753363</v>
      </c>
      <c r="O24" s="11">
        <v>17059.673622177896</v>
      </c>
      <c r="P24" s="11">
        <v>16616.304821421589</v>
      </c>
      <c r="Q24" s="11">
        <v>16735.286046077839</v>
      </c>
      <c r="R24" s="11">
        <v>16427.934222686865</v>
      </c>
      <c r="S24" s="11">
        <v>16115.746009358529</v>
      </c>
      <c r="T24" s="11">
        <v>15547.973419591997</v>
      </c>
      <c r="U24" s="11">
        <v>15301.4728308098</v>
      </c>
      <c r="V24" s="11">
        <f>SUM(B24:U24)</f>
        <v>328555.1381998026</v>
      </c>
    </row>
    <row r="25" spans="1:22">
      <c r="A25" s="10" t="s">
        <v>3</v>
      </c>
      <c r="B25" s="13">
        <v>2085.0795300969394</v>
      </c>
      <c r="C25" s="13">
        <v>4167.9439924475819</v>
      </c>
      <c r="D25" s="13">
        <v>6371.808353147112</v>
      </c>
      <c r="E25" s="13">
        <v>9159.6014049958103</v>
      </c>
      <c r="F25" s="13">
        <v>10609.898456302861</v>
      </c>
      <c r="G25" s="13">
        <v>11786.843714187069</v>
      </c>
      <c r="H25" s="13">
        <v>12161.782933792301</v>
      </c>
      <c r="I25" s="13">
        <v>12530.30813598237</v>
      </c>
      <c r="J25" s="13">
        <v>12926.527952003811</v>
      </c>
      <c r="K25" s="13">
        <v>13346.736509014441</v>
      </c>
      <c r="L25" s="13">
        <v>13817.445748486067</v>
      </c>
      <c r="M25" s="13">
        <v>14339.350288281255</v>
      </c>
      <c r="N25" s="13">
        <v>14903.734597675768</v>
      </c>
      <c r="O25" s="13">
        <v>15524.314867365323</v>
      </c>
      <c r="P25" s="13">
        <v>16181.04481985289</v>
      </c>
      <c r="Q25" s="13">
        <v>16835.1670682732</v>
      </c>
      <c r="R25" s="13">
        <v>17545.035020681753</v>
      </c>
      <c r="S25" s="13">
        <v>18313.546205220082</v>
      </c>
      <c r="T25" s="13">
        <v>19145.738011603222</v>
      </c>
      <c r="U25" s="13">
        <v>20041.405745568416</v>
      </c>
      <c r="V25" s="13">
        <f>SUM(B25:U25)</f>
        <v>261793.31335497831</v>
      </c>
    </row>
    <row r="26" spans="1:22">
      <c r="A26" s="10" t="s">
        <v>4</v>
      </c>
      <c r="B26" s="11">
        <f>SUM(B24:B25)</f>
        <v>16150.749382709262</v>
      </c>
      <c r="C26" s="11">
        <f t="shared" ref="C26:V26" si="6">SUM(C24:C25)</f>
        <v>18299.062945629266</v>
      </c>
      <c r="D26" s="11">
        <f t="shared" si="6"/>
        <v>20810.415342306678</v>
      </c>
      <c r="E26" s="11">
        <f t="shared" si="6"/>
        <v>24710.485134757684</v>
      </c>
      <c r="F26" s="11">
        <f t="shared" si="6"/>
        <v>25996.750828512275</v>
      </c>
      <c r="G26" s="11">
        <f t="shared" si="6"/>
        <v>28536.621517424748</v>
      </c>
      <c r="H26" s="11">
        <f t="shared" si="6"/>
        <v>29210.097506368227</v>
      </c>
      <c r="I26" s="11">
        <f t="shared" si="6"/>
        <v>29974.382071804925</v>
      </c>
      <c r="J26" s="11">
        <f t="shared" si="6"/>
        <v>30762.134181772635</v>
      </c>
      <c r="K26" s="11">
        <f t="shared" si="6"/>
        <v>31271.639577753467</v>
      </c>
      <c r="L26" s="11">
        <f t="shared" si="6"/>
        <v>31929.39663376622</v>
      </c>
      <c r="M26" s="11">
        <f t="shared" si="6"/>
        <v>32479.387868856888</v>
      </c>
      <c r="N26" s="11">
        <f t="shared" si="6"/>
        <v>32826.685852429131</v>
      </c>
      <c r="O26" s="11">
        <f t="shared" si="6"/>
        <v>32583.988489543219</v>
      </c>
      <c r="P26" s="11">
        <f t="shared" si="6"/>
        <v>32797.349641274479</v>
      </c>
      <c r="Q26" s="11">
        <f t="shared" si="6"/>
        <v>33570.453114351039</v>
      </c>
      <c r="R26" s="11">
        <f t="shared" si="6"/>
        <v>33972.969243368614</v>
      </c>
      <c r="S26" s="11">
        <f t="shared" si="6"/>
        <v>34429.292214578614</v>
      </c>
      <c r="T26" s="11">
        <f t="shared" si="6"/>
        <v>34693.711431195217</v>
      </c>
      <c r="U26" s="11">
        <f t="shared" si="6"/>
        <v>35342.878576378214</v>
      </c>
      <c r="V26" s="11">
        <f t="shared" si="6"/>
        <v>590348.45155478094</v>
      </c>
    </row>
    <row r="28" spans="1:22">
      <c r="A28" s="58" t="s">
        <v>23</v>
      </c>
      <c r="B28" s="63">
        <f>B24/B12</f>
        <v>0.25842758524763598</v>
      </c>
      <c r="C28" s="63">
        <f t="shared" ref="C28:V28" si="7">C24/C12</f>
        <v>0.24587967594353133</v>
      </c>
      <c r="D28" s="63">
        <f t="shared" si="7"/>
        <v>0.23989140797987527</v>
      </c>
      <c r="E28" s="63">
        <f t="shared" si="7"/>
        <v>0.24959026065764356</v>
      </c>
      <c r="F28" s="63">
        <f t="shared" si="7"/>
        <v>0.23943946525727589</v>
      </c>
      <c r="G28" s="63">
        <f t="shared" si="7"/>
        <v>0.27662971848961476</v>
      </c>
      <c r="H28" s="63">
        <f t="shared" si="7"/>
        <v>0.28384261189148308</v>
      </c>
      <c r="I28" s="63">
        <f t="shared" si="7"/>
        <v>0.29701309029240164</v>
      </c>
      <c r="J28" s="63">
        <f t="shared" si="7"/>
        <v>0.32391384281944774</v>
      </c>
      <c r="K28" s="63">
        <f t="shared" si="7"/>
        <v>0.32936566040366699</v>
      </c>
      <c r="L28" s="63">
        <f t="shared" si="7"/>
        <v>0.3387454271999753</v>
      </c>
      <c r="M28" s="63">
        <f t="shared" si="7"/>
        <v>0.3454397057168675</v>
      </c>
      <c r="N28" s="63">
        <f t="shared" si="7"/>
        <v>0.34750463358378098</v>
      </c>
      <c r="O28" s="63">
        <f t="shared" si="7"/>
        <v>0.33704899915121167</v>
      </c>
      <c r="P28" s="63">
        <f t="shared" si="7"/>
        <v>0.3409820089306681</v>
      </c>
      <c r="Q28" s="63">
        <f t="shared" si="7"/>
        <v>0.34382154348140392</v>
      </c>
      <c r="R28" s="63">
        <f t="shared" si="7"/>
        <v>0.34586691314947182</v>
      </c>
      <c r="S28" s="63">
        <f t="shared" si="7"/>
        <v>0.34718383203240449</v>
      </c>
      <c r="T28" s="63">
        <f t="shared" si="7"/>
        <v>0.34409957564256977</v>
      </c>
      <c r="U28" s="63">
        <f t="shared" si="7"/>
        <v>0.34667502544417311</v>
      </c>
      <c r="V28" s="63">
        <f t="shared" si="7"/>
        <v>0.30526364186641364</v>
      </c>
    </row>
    <row r="29" spans="1:22">
      <c r="A29" s="58" t="s">
        <v>24</v>
      </c>
      <c r="B29" s="63">
        <f>B25/B18</f>
        <v>2.9439104116216756E-2</v>
      </c>
      <c r="C29" s="63">
        <f t="shared" ref="C29:V29" si="8">C25/C18</f>
        <v>5.550582099337753E-2</v>
      </c>
      <c r="D29" s="63">
        <f t="shared" si="8"/>
        <v>8.0726278234338977E-2</v>
      </c>
      <c r="E29" s="63">
        <f t="shared" si="8"/>
        <v>0.11090189378913903</v>
      </c>
      <c r="F29" s="63">
        <f t="shared" si="8"/>
        <v>0.12347878702379769</v>
      </c>
      <c r="G29" s="63">
        <f t="shared" si="8"/>
        <v>0.13923194216024756</v>
      </c>
      <c r="H29" s="63">
        <f t="shared" si="8"/>
        <v>0.14645923807709629</v>
      </c>
      <c r="I29" s="63">
        <f t="shared" si="8"/>
        <v>0.15374581707225241</v>
      </c>
      <c r="J29" s="63">
        <f t="shared" si="8"/>
        <v>0.16168940936965107</v>
      </c>
      <c r="K29" s="63">
        <f t="shared" si="8"/>
        <v>0.17017908985207603</v>
      </c>
      <c r="L29" s="63">
        <f t="shared" si="8"/>
        <v>0.17935560174994272</v>
      </c>
      <c r="M29" s="63">
        <f t="shared" si="8"/>
        <v>0.18928148421483065</v>
      </c>
      <c r="N29" s="63">
        <f t="shared" si="8"/>
        <v>0.20004190035472511</v>
      </c>
      <c r="O29" s="63">
        <f t="shared" si="8"/>
        <v>0.21176609051681547</v>
      </c>
      <c r="P29" s="63">
        <f t="shared" si="8"/>
        <v>0.22457694037219467</v>
      </c>
      <c r="Q29" s="63">
        <f t="shared" si="8"/>
        <v>0.23838125483748074</v>
      </c>
      <c r="R29" s="63">
        <f t="shared" si="8"/>
        <v>0.25343267305592498</v>
      </c>
      <c r="S29" s="63">
        <f t="shared" si="8"/>
        <v>0.2698830970382845</v>
      </c>
      <c r="T29" s="63">
        <f t="shared" si="8"/>
        <v>0.28790287472377424</v>
      </c>
      <c r="U29" s="63">
        <f t="shared" si="8"/>
        <v>0.30737619936789401</v>
      </c>
      <c r="V29" s="63">
        <f t="shared" si="8"/>
        <v>0.17302867065435076</v>
      </c>
    </row>
    <row r="30" spans="1:22">
      <c r="A30" s="58" t="s">
        <v>25</v>
      </c>
      <c r="B30" s="63">
        <f>B26/B20</f>
        <v>0.12894319430591619</v>
      </c>
      <c r="C30" s="63">
        <f t="shared" ref="C30:V30" si="9">C26/C20</f>
        <v>0.13804164869339861</v>
      </c>
      <c r="D30" s="63">
        <f t="shared" si="9"/>
        <v>0.14958701859890283</v>
      </c>
      <c r="E30" s="63">
        <f t="shared" si="9"/>
        <v>0.1705375962318128</v>
      </c>
      <c r="F30" s="63">
        <f t="shared" si="9"/>
        <v>0.17309606314438003</v>
      </c>
      <c r="G30" s="63">
        <f t="shared" si="9"/>
        <v>0.1965255897684087</v>
      </c>
      <c r="H30" s="63">
        <f t="shared" si="9"/>
        <v>0.20412188918105625</v>
      </c>
      <c r="I30" s="63">
        <f t="shared" si="9"/>
        <v>0.21374878633732913</v>
      </c>
      <c r="J30" s="63">
        <f t="shared" si="9"/>
        <v>0.22785168100293368</v>
      </c>
      <c r="K30" s="63">
        <f t="shared" si="9"/>
        <v>0.23539041952030129</v>
      </c>
      <c r="L30" s="63">
        <f t="shared" si="9"/>
        <v>0.24465635171096684</v>
      </c>
      <c r="M30" s="63">
        <f t="shared" si="9"/>
        <v>0.25321180725319281</v>
      </c>
      <c r="N30" s="63">
        <f t="shared" si="9"/>
        <v>0.26036556367780322</v>
      </c>
      <c r="O30" s="63">
        <f t="shared" si="9"/>
        <v>0.26293609704774795</v>
      </c>
      <c r="P30" s="63">
        <f t="shared" si="9"/>
        <v>0.27154177262308316</v>
      </c>
      <c r="Q30" s="63">
        <f t="shared" si="9"/>
        <v>0.28140184663742812</v>
      </c>
      <c r="R30" s="63">
        <f t="shared" si="9"/>
        <v>0.29104532293243662</v>
      </c>
      <c r="S30" s="63">
        <f t="shared" si="9"/>
        <v>0.30128241657769811</v>
      </c>
      <c r="T30" s="63">
        <f t="shared" si="9"/>
        <v>0.31063839205688509</v>
      </c>
      <c r="U30" s="63">
        <f t="shared" si="9"/>
        <v>0.32324023789439316</v>
      </c>
      <c r="V30" s="63">
        <f t="shared" si="9"/>
        <v>0.22799494429740463</v>
      </c>
    </row>
    <row r="32" spans="1:22">
      <c r="A32" s="8"/>
    </row>
    <row r="33" spans="1:1">
      <c r="A33" s="3"/>
    </row>
  </sheetData>
  <pageMargins left="0.7" right="0.7" top="0.75" bottom="0.75" header="0.3" footer="0.3"/>
  <pageSetup orientation="portrait" r:id="rId1"/>
  <ignoredErrors>
    <ignoredError sqref="B26" formulaRange="1"/>
  </ignoredErrors>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7030A0"/>
  </sheetPr>
  <dimension ref="A1:V58"/>
  <sheetViews>
    <sheetView workbookViewId="0">
      <pane ySplit="1" topLeftCell="A23" activePane="bottomLeft" state="frozen"/>
      <selection activeCell="I108" sqref="I108"/>
      <selection pane="bottomLeft" activeCell="B49" sqref="B49:U49"/>
    </sheetView>
  </sheetViews>
  <sheetFormatPr defaultRowHeight="15"/>
  <cols>
    <col min="1" max="1" width="38.140625" customWidth="1"/>
  </cols>
  <sheetData>
    <row r="1" spans="1:22" ht="15.75">
      <c r="A1" s="7" t="s">
        <v>41</v>
      </c>
    </row>
    <row r="2" spans="1:22" ht="15.75">
      <c r="A2" s="7"/>
    </row>
    <row r="3" spans="1:22" ht="15.75">
      <c r="A3" s="7" t="s">
        <v>26</v>
      </c>
    </row>
    <row r="4" spans="1:22">
      <c r="A4" s="5" t="s">
        <v>17</v>
      </c>
      <c r="B4" s="6">
        <v>2015</v>
      </c>
      <c r="C4" s="6">
        <f>B4+1</f>
        <v>2016</v>
      </c>
      <c r="D4" s="6">
        <f t="shared" ref="D4:U4" si="0">C4+1</f>
        <v>2017</v>
      </c>
      <c r="E4" s="6">
        <f t="shared" si="0"/>
        <v>2018</v>
      </c>
      <c r="F4" s="6">
        <f t="shared" si="0"/>
        <v>2019</v>
      </c>
      <c r="G4" s="6">
        <f t="shared" si="0"/>
        <v>2020</v>
      </c>
      <c r="H4" s="6">
        <f t="shared" si="0"/>
        <v>2021</v>
      </c>
      <c r="I4" s="6">
        <f t="shared" si="0"/>
        <v>2022</v>
      </c>
      <c r="J4" s="6">
        <f t="shared" si="0"/>
        <v>2023</v>
      </c>
      <c r="K4" s="6">
        <f t="shared" si="0"/>
        <v>2024</v>
      </c>
      <c r="L4" s="6">
        <f t="shared" si="0"/>
        <v>2025</v>
      </c>
      <c r="M4" s="6">
        <f t="shared" si="0"/>
        <v>2026</v>
      </c>
      <c r="N4" s="6">
        <f t="shared" si="0"/>
        <v>2027</v>
      </c>
      <c r="O4" s="6">
        <f t="shared" si="0"/>
        <v>2028</v>
      </c>
      <c r="P4" s="6">
        <f t="shared" si="0"/>
        <v>2029</v>
      </c>
      <c r="Q4" s="6">
        <f t="shared" si="0"/>
        <v>2030</v>
      </c>
      <c r="R4" s="6">
        <f t="shared" si="0"/>
        <v>2031</v>
      </c>
      <c r="S4" s="6">
        <f t="shared" si="0"/>
        <v>2032</v>
      </c>
      <c r="T4" s="6">
        <f t="shared" si="0"/>
        <v>2033</v>
      </c>
      <c r="U4" s="6">
        <f t="shared" si="0"/>
        <v>2034</v>
      </c>
      <c r="V4" s="6" t="s">
        <v>14</v>
      </c>
    </row>
    <row r="5" spans="1:22">
      <c r="A5" s="50" t="s">
        <v>2</v>
      </c>
    </row>
    <row r="6" spans="1:22">
      <c r="A6" s="9" t="s">
        <v>8</v>
      </c>
      <c r="B6" s="14">
        <v>0.14724122841971329</v>
      </c>
      <c r="C6" s="14">
        <v>0.16998893289571365</v>
      </c>
      <c r="D6" s="14">
        <v>0.19321623603292756</v>
      </c>
      <c r="E6" s="14">
        <v>0.20216541462816864</v>
      </c>
      <c r="F6" s="14">
        <v>0.19787262425827584</v>
      </c>
      <c r="G6" s="14">
        <v>0.18319556187390104</v>
      </c>
      <c r="H6" s="14">
        <v>0.1867677066988194</v>
      </c>
      <c r="I6" s="14">
        <v>0.19199175998534215</v>
      </c>
      <c r="J6" s="14">
        <v>0.21323540261141649</v>
      </c>
      <c r="K6" s="14">
        <v>0.21655349230026</v>
      </c>
      <c r="L6" s="14">
        <v>0.21857461162437086</v>
      </c>
      <c r="M6" s="14">
        <v>0.22042590676435239</v>
      </c>
      <c r="N6" s="14">
        <v>0.22166194134764136</v>
      </c>
      <c r="O6" s="14">
        <v>0.22851389766268906</v>
      </c>
      <c r="P6" s="14">
        <v>0.2212741163194295</v>
      </c>
      <c r="Q6" s="14">
        <v>0.21368721668551505</v>
      </c>
      <c r="R6" s="14">
        <v>0.20786087066822723</v>
      </c>
      <c r="S6" s="14">
        <v>0.20333599756616946</v>
      </c>
      <c r="T6" s="14">
        <v>0.1975287191028906</v>
      </c>
      <c r="U6" s="14">
        <v>0.19310891396742946</v>
      </c>
      <c r="V6" s="14">
        <f>SUM(B6:U6)</f>
        <v>4.0282005514132537</v>
      </c>
    </row>
    <row r="7" spans="1:22">
      <c r="A7" s="10" t="s">
        <v>9</v>
      </c>
      <c r="B7" s="14">
        <v>3.0609353890839879</v>
      </c>
      <c r="C7" s="14">
        <v>3.2247054295414253</v>
      </c>
      <c r="D7" s="14">
        <v>3.1958471331809952</v>
      </c>
      <c r="E7" s="14">
        <v>4.2064845888333506</v>
      </c>
      <c r="F7" s="14">
        <v>4.4947843721794154</v>
      </c>
      <c r="G7" s="14">
        <v>2.8816649225966624</v>
      </c>
      <c r="H7" s="14">
        <v>2.8513828110681905</v>
      </c>
      <c r="I7" s="14">
        <v>2.4257112868881738</v>
      </c>
      <c r="J7" s="14">
        <v>1.9562075349799077</v>
      </c>
      <c r="K7" s="14">
        <v>1.8397153197357796</v>
      </c>
      <c r="L7" s="14">
        <v>1.7324437373678385</v>
      </c>
      <c r="M7" s="14">
        <v>1.6040272994885265</v>
      </c>
      <c r="N7" s="14">
        <v>1.5368921621684506</v>
      </c>
      <c r="O7" s="14">
        <v>1.5016922127040782</v>
      </c>
      <c r="P7" s="14">
        <v>1.4121891704256431</v>
      </c>
      <c r="Q7" s="14">
        <v>1.3652839565855561</v>
      </c>
      <c r="R7" s="14">
        <v>1.2792560505869817</v>
      </c>
      <c r="S7" s="14">
        <v>1.2230597178298632</v>
      </c>
      <c r="T7" s="14">
        <v>1.1624972017175803</v>
      </c>
      <c r="U7" s="14">
        <v>1.1137591250945644</v>
      </c>
      <c r="V7" s="14">
        <f t="shared" ref="V7:V11" si="1">SUM(B7:U7)</f>
        <v>44.068539422056965</v>
      </c>
    </row>
    <row r="8" spans="1:22">
      <c r="A8" s="10" t="s">
        <v>10</v>
      </c>
      <c r="B8" s="14">
        <v>1.2939629361715876</v>
      </c>
      <c r="C8" s="14">
        <v>1.3213000774860193</v>
      </c>
      <c r="D8" s="14">
        <v>1.3685286119059599</v>
      </c>
      <c r="E8" s="14">
        <v>1.5190505255220428</v>
      </c>
      <c r="F8" s="14">
        <v>1.5454500678107941</v>
      </c>
      <c r="G8" s="14">
        <v>2.1756995010178244</v>
      </c>
      <c r="H8" s="14">
        <v>2.8341287126396746</v>
      </c>
      <c r="I8" s="14">
        <v>3.2409593518945012</v>
      </c>
      <c r="J8" s="14">
        <v>3.2656079497668742</v>
      </c>
      <c r="K8" s="14">
        <v>3.290362555831714</v>
      </c>
      <c r="L8" s="14">
        <v>3.2153936691171401</v>
      </c>
      <c r="M8" s="14">
        <v>3.3238471336763613</v>
      </c>
      <c r="N8" s="14">
        <v>3.3742566139241168</v>
      </c>
      <c r="O8" s="14">
        <v>3.38515426216096</v>
      </c>
      <c r="P8" s="14">
        <v>3.2400811493405133</v>
      </c>
      <c r="Q8" s="14">
        <v>3.2853042905805552</v>
      </c>
      <c r="R8" s="14">
        <v>3.2952632800417647</v>
      </c>
      <c r="S8" s="14">
        <v>3.2318188458274828</v>
      </c>
      <c r="T8" s="14">
        <v>3.1482833804673569</v>
      </c>
      <c r="U8" s="14">
        <v>3.1157156729468936</v>
      </c>
      <c r="V8" s="14">
        <f t="shared" si="1"/>
        <v>54.470168588130129</v>
      </c>
    </row>
    <row r="9" spans="1:22">
      <c r="A9" s="10" t="s">
        <v>11</v>
      </c>
      <c r="B9" s="14">
        <v>0.54355534297173047</v>
      </c>
      <c r="C9" s="14">
        <v>0.54548925612973875</v>
      </c>
      <c r="D9" s="14">
        <v>0.60224270232855537</v>
      </c>
      <c r="E9" s="14">
        <v>0.65306491838062952</v>
      </c>
      <c r="F9" s="14">
        <v>0.68459145326018633</v>
      </c>
      <c r="G9" s="14">
        <v>0.71598483136686641</v>
      </c>
      <c r="H9" s="14">
        <v>0.74908479323159438</v>
      </c>
      <c r="I9" s="14">
        <v>0.76187745964769804</v>
      </c>
      <c r="J9" s="14">
        <v>0.76384575936137744</v>
      </c>
      <c r="K9" s="14">
        <v>0.76558628755256941</v>
      </c>
      <c r="L9" s="14">
        <v>0.77280379314606285</v>
      </c>
      <c r="M9" s="14">
        <v>0.79653866458927225</v>
      </c>
      <c r="N9" s="14">
        <v>0.78321069666086951</v>
      </c>
      <c r="O9" s="14">
        <v>0.75616701780063167</v>
      </c>
      <c r="P9" s="14">
        <v>0.74161765856917927</v>
      </c>
      <c r="Q9" s="14">
        <v>0.75076827883900998</v>
      </c>
      <c r="R9" s="14">
        <v>0.73991183387541115</v>
      </c>
      <c r="S9" s="14">
        <v>0.73179736290266018</v>
      </c>
      <c r="T9" s="14">
        <v>0.71522436224830688</v>
      </c>
      <c r="U9" s="14">
        <v>0.7077164325433456</v>
      </c>
      <c r="V9" s="14">
        <f t="shared" si="1"/>
        <v>14.281078905405696</v>
      </c>
    </row>
    <row r="10" spans="1:22">
      <c r="A10" s="2" t="s">
        <v>12</v>
      </c>
      <c r="B10" s="14">
        <v>0.38850105700263315</v>
      </c>
      <c r="C10" s="14">
        <v>0.39131356427123426</v>
      </c>
      <c r="D10" s="14">
        <v>0.40724950388762199</v>
      </c>
      <c r="E10" s="14">
        <v>0.44056651880643383</v>
      </c>
      <c r="F10" s="14">
        <v>0.44689106598917061</v>
      </c>
      <c r="G10" s="14">
        <v>0.46317604909069482</v>
      </c>
      <c r="H10" s="14">
        <v>0.47758455956875723</v>
      </c>
      <c r="I10" s="14">
        <v>0.48897415046107789</v>
      </c>
      <c r="J10" s="14">
        <v>0.47769199706261284</v>
      </c>
      <c r="K10" s="14">
        <v>0.47614356386864282</v>
      </c>
      <c r="L10" s="14">
        <v>0.4683139787032059</v>
      </c>
      <c r="M10" s="14">
        <v>0.47503363218289757</v>
      </c>
      <c r="N10" s="14">
        <v>0.46746810586526594</v>
      </c>
      <c r="O10" s="14">
        <v>0.45760979482939662</v>
      </c>
      <c r="P10" s="14">
        <v>0.44788505112563293</v>
      </c>
      <c r="Q10" s="14">
        <v>0.44780433548394055</v>
      </c>
      <c r="R10" s="14">
        <v>0.43803734497845259</v>
      </c>
      <c r="S10" s="14">
        <v>0.4302034508248877</v>
      </c>
      <c r="T10" s="14">
        <v>0.41769511606955545</v>
      </c>
      <c r="U10" s="14">
        <v>0.41037838635980939</v>
      </c>
      <c r="V10" s="14">
        <f t="shared" si="1"/>
        <v>8.9185212264319258</v>
      </c>
    </row>
    <row r="11" spans="1:22">
      <c r="A11" s="2" t="s">
        <v>13</v>
      </c>
      <c r="B11" s="15">
        <v>0.13494186950047463</v>
      </c>
      <c r="C11" s="15">
        <v>0.14302059832177361</v>
      </c>
      <c r="D11" s="15">
        <v>0.14816970537275104</v>
      </c>
      <c r="E11" s="15">
        <v>0.16480743064938375</v>
      </c>
      <c r="F11" s="15">
        <v>0.16562347011279582</v>
      </c>
      <c r="G11" s="15">
        <v>0.18977971079175904</v>
      </c>
      <c r="H11" s="15">
        <v>0.20842546359733458</v>
      </c>
      <c r="I11" s="15">
        <v>0.22137866155409519</v>
      </c>
      <c r="J11" s="15">
        <v>0.24605276957690986</v>
      </c>
      <c r="K11" s="15">
        <v>0.24471411894642997</v>
      </c>
      <c r="L11" s="15">
        <v>0.24630209289962179</v>
      </c>
      <c r="M11" s="15">
        <v>0.24561732927196817</v>
      </c>
      <c r="N11" s="15">
        <v>0.2464034890470316</v>
      </c>
      <c r="O11" s="15">
        <v>0.25008611228872774</v>
      </c>
      <c r="P11" s="15">
        <v>0.24266721740410349</v>
      </c>
      <c r="Q11" s="15">
        <v>0.24455235355287142</v>
      </c>
      <c r="R11" s="15">
        <v>0.23915461237996319</v>
      </c>
      <c r="S11" s="15">
        <v>0.23365616488265423</v>
      </c>
      <c r="T11" s="15">
        <v>0.23359003732263406</v>
      </c>
      <c r="U11" s="15">
        <v>0.23016422038439679</v>
      </c>
      <c r="V11" s="15">
        <f t="shared" si="1"/>
        <v>4.2791074278576806</v>
      </c>
    </row>
    <row r="12" spans="1:22">
      <c r="A12" s="8" t="s">
        <v>15</v>
      </c>
      <c r="B12" s="16">
        <f>SUM(B6:B11)</f>
        <v>5.5691378231501272</v>
      </c>
      <c r="C12" s="16">
        <f t="shared" ref="C12:V12" si="2">SUM(C6:C11)</f>
        <v>5.7958178586459042</v>
      </c>
      <c r="D12" s="16">
        <f t="shared" si="2"/>
        <v>5.9152538927088107</v>
      </c>
      <c r="E12" s="16">
        <f t="shared" si="2"/>
        <v>7.1861393968200096</v>
      </c>
      <c r="F12" s="16">
        <f t="shared" si="2"/>
        <v>7.5352130536106374</v>
      </c>
      <c r="G12" s="16">
        <f t="shared" si="2"/>
        <v>6.6095005767377089</v>
      </c>
      <c r="H12" s="16">
        <f t="shared" si="2"/>
        <v>7.3073740468043704</v>
      </c>
      <c r="I12" s="16">
        <f t="shared" si="2"/>
        <v>7.3308926704308881</v>
      </c>
      <c r="J12" s="16">
        <f t="shared" si="2"/>
        <v>6.9226414133590977</v>
      </c>
      <c r="K12" s="16">
        <f t="shared" si="2"/>
        <v>6.8330753382353953</v>
      </c>
      <c r="L12" s="16">
        <f t="shared" si="2"/>
        <v>6.6538318828582401</v>
      </c>
      <c r="M12" s="16">
        <f t="shared" si="2"/>
        <v>6.6654899659733786</v>
      </c>
      <c r="N12" s="16">
        <f t="shared" si="2"/>
        <v>6.6298930090133759</v>
      </c>
      <c r="O12" s="16">
        <f t="shared" si="2"/>
        <v>6.5792232974464833</v>
      </c>
      <c r="P12" s="16">
        <f t="shared" si="2"/>
        <v>6.3057143631845021</v>
      </c>
      <c r="Q12" s="16">
        <f t="shared" si="2"/>
        <v>6.3074004317274479</v>
      </c>
      <c r="R12" s="16">
        <f t="shared" si="2"/>
        <v>6.1994839925307996</v>
      </c>
      <c r="S12" s="16">
        <f t="shared" si="2"/>
        <v>6.0538715398337173</v>
      </c>
      <c r="T12" s="16">
        <f t="shared" si="2"/>
        <v>5.8748188169283244</v>
      </c>
      <c r="U12" s="16">
        <f t="shared" si="2"/>
        <v>5.7708427512964393</v>
      </c>
      <c r="V12" s="16">
        <f t="shared" si="2"/>
        <v>130.04561612129564</v>
      </c>
    </row>
    <row r="14" spans="1:22">
      <c r="A14" s="50" t="s">
        <v>3</v>
      </c>
    </row>
    <row r="15" spans="1:22">
      <c r="A15" s="2" t="s">
        <v>7</v>
      </c>
      <c r="B15" s="14">
        <v>2.464094557037217</v>
      </c>
      <c r="C15" s="14">
        <v>2.5372727320780899</v>
      </c>
      <c r="D15" s="14">
        <v>2.4961364414319021</v>
      </c>
      <c r="E15" s="14">
        <v>2.2087597000552153</v>
      </c>
      <c r="F15" s="14">
        <v>2.2072852378260244</v>
      </c>
      <c r="G15" s="14">
        <v>2.1647013241483659</v>
      </c>
      <c r="H15" s="14">
        <v>2.0629439799079283</v>
      </c>
      <c r="I15" s="14">
        <v>1.9654859970028671</v>
      </c>
      <c r="J15" s="14">
        <v>1.8536196541764896</v>
      </c>
      <c r="K15" s="14">
        <v>1.7804430545827099</v>
      </c>
      <c r="L15" s="14">
        <v>1.7230136706147192</v>
      </c>
      <c r="M15" s="14">
        <v>1.6715473022050404</v>
      </c>
      <c r="N15" s="14">
        <v>1.6592631050084186</v>
      </c>
      <c r="O15" s="14">
        <v>1.6109369443523707</v>
      </c>
      <c r="P15" s="14">
        <v>1.5676291906466329</v>
      </c>
      <c r="Q15" s="14">
        <v>1.5164706117570415</v>
      </c>
      <c r="R15" s="14">
        <v>1.4613084268963734</v>
      </c>
      <c r="S15" s="14">
        <v>1.392802314562483</v>
      </c>
      <c r="T15" s="14">
        <v>1.3232711973339852</v>
      </c>
      <c r="U15" s="14">
        <v>1.2538552936164999</v>
      </c>
      <c r="V15" s="14">
        <f>SUM(B15:U15)</f>
        <v>36.920840735240382</v>
      </c>
    </row>
    <row r="16" spans="1:22">
      <c r="A16" s="2" t="s">
        <v>6</v>
      </c>
      <c r="B16" s="14">
        <v>4.4840770842454249</v>
      </c>
      <c r="C16" s="14">
        <v>4.5105141851071116</v>
      </c>
      <c r="D16" s="14">
        <v>4.4152325801100849</v>
      </c>
      <c r="E16" s="14">
        <v>4.0650547221302444</v>
      </c>
      <c r="F16" s="14">
        <v>3.9476087387980483</v>
      </c>
      <c r="G16" s="14">
        <v>3.8010267070353758</v>
      </c>
      <c r="H16" s="14">
        <v>3.6223497223651697</v>
      </c>
      <c r="I16" s="14">
        <v>3.4305114218674637</v>
      </c>
      <c r="J16" s="14">
        <v>3.2288744522250941</v>
      </c>
      <c r="K16" s="14">
        <v>3.0907731322513277</v>
      </c>
      <c r="L16" s="14">
        <v>2.9763811901342883</v>
      </c>
      <c r="M16" s="14">
        <v>2.8716479852367423</v>
      </c>
      <c r="N16" s="14">
        <v>2.8271284304628064</v>
      </c>
      <c r="O16" s="14">
        <v>2.7447880732974559</v>
      </c>
      <c r="P16" s="14">
        <v>2.6709984219862264</v>
      </c>
      <c r="Q16" s="14">
        <v>2.5838320046459038</v>
      </c>
      <c r="R16" s="14">
        <v>2.4898440951197336</v>
      </c>
      <c r="S16" s="14">
        <v>2.3731203941386951</v>
      </c>
      <c r="T16" s="14">
        <v>2.2546499448812161</v>
      </c>
      <c r="U16" s="14">
        <v>2.1363759709135488</v>
      </c>
      <c r="V16" s="14">
        <f>SUM(B16:U16)</f>
        <v>64.524789256951976</v>
      </c>
    </row>
    <row r="17" spans="1:22">
      <c r="A17" s="2" t="s">
        <v>5</v>
      </c>
      <c r="B17" s="15">
        <v>6.4113093069864195</v>
      </c>
      <c r="C17" s="15">
        <v>7.3926479813677091</v>
      </c>
      <c r="D17" s="15">
        <v>8.1702999736012707</v>
      </c>
      <c r="E17" s="15">
        <v>9.2440872880514817</v>
      </c>
      <c r="F17" s="15">
        <v>10.256984036530454</v>
      </c>
      <c r="G17" s="15">
        <v>10.01026887324017</v>
      </c>
      <c r="H17" s="15">
        <v>9.959075013197948</v>
      </c>
      <c r="I17" s="15">
        <v>9.931586964880065</v>
      </c>
      <c r="J17" s="15">
        <v>9.9247838983021239</v>
      </c>
      <c r="K17" s="15">
        <v>9.8187369238713931</v>
      </c>
      <c r="L17" s="15">
        <v>9.6952201374836022</v>
      </c>
      <c r="M17" s="15">
        <v>9.5736477810960903</v>
      </c>
      <c r="N17" s="15">
        <v>9.3535092446391257</v>
      </c>
      <c r="O17" s="15">
        <v>9.2182245391248934</v>
      </c>
      <c r="P17" s="15">
        <v>9.0544891575020792</v>
      </c>
      <c r="Q17" s="15">
        <v>8.8786064680710872</v>
      </c>
      <c r="R17" s="15">
        <v>8.7175716847986422</v>
      </c>
      <c r="S17" s="15">
        <v>8.5942749795972482</v>
      </c>
      <c r="T17" s="15">
        <v>8.4733401053984156</v>
      </c>
      <c r="U17" s="15">
        <v>8.3597718327686614</v>
      </c>
      <c r="V17" s="15">
        <f>SUM(B17:U17)</f>
        <v>181.03843619050895</v>
      </c>
    </row>
    <row r="18" spans="1:22">
      <c r="A18" s="8" t="s">
        <v>16</v>
      </c>
      <c r="B18" s="16">
        <f>SUM(B15:B17)</f>
        <v>13.359480948269061</v>
      </c>
      <c r="C18" s="16">
        <f t="shared" ref="C18:V18" si="3">SUM(C15:C17)</f>
        <v>14.44043489855291</v>
      </c>
      <c r="D18" s="16">
        <f t="shared" si="3"/>
        <v>15.081668995143257</v>
      </c>
      <c r="E18" s="16">
        <f t="shared" si="3"/>
        <v>15.517901710236941</v>
      </c>
      <c r="F18" s="16">
        <f t="shared" si="3"/>
        <v>16.411878013154528</v>
      </c>
      <c r="G18" s="16">
        <f t="shared" si="3"/>
        <v>15.975996904423912</v>
      </c>
      <c r="H18" s="16">
        <f t="shared" si="3"/>
        <v>15.644368715471046</v>
      </c>
      <c r="I18" s="16">
        <f t="shared" si="3"/>
        <v>15.327584383750395</v>
      </c>
      <c r="J18" s="16">
        <f t="shared" si="3"/>
        <v>15.007278004703707</v>
      </c>
      <c r="K18" s="16">
        <f t="shared" si="3"/>
        <v>14.689953110705432</v>
      </c>
      <c r="L18" s="16">
        <f t="shared" si="3"/>
        <v>14.39461499823261</v>
      </c>
      <c r="M18" s="16">
        <f t="shared" si="3"/>
        <v>14.116843068537873</v>
      </c>
      <c r="N18" s="16">
        <f t="shared" si="3"/>
        <v>13.839900780110352</v>
      </c>
      <c r="O18" s="16">
        <f t="shared" si="3"/>
        <v>13.573949556774719</v>
      </c>
      <c r="P18" s="16">
        <f t="shared" si="3"/>
        <v>13.293116770134938</v>
      </c>
      <c r="Q18" s="16">
        <f t="shared" si="3"/>
        <v>12.978909084474033</v>
      </c>
      <c r="R18" s="16">
        <f t="shared" si="3"/>
        <v>12.668724206814749</v>
      </c>
      <c r="S18" s="16">
        <f t="shared" si="3"/>
        <v>12.360197688298427</v>
      </c>
      <c r="T18" s="16">
        <f t="shared" si="3"/>
        <v>12.051261247613617</v>
      </c>
      <c r="U18" s="16">
        <f t="shared" si="3"/>
        <v>11.750003097298709</v>
      </c>
      <c r="V18" s="16">
        <f t="shared" si="3"/>
        <v>282.48406618270133</v>
      </c>
    </row>
    <row r="19" spans="1:22">
      <c r="A19" s="8"/>
    </row>
    <row r="20" spans="1:22" s="4" customFormat="1">
      <c r="A20" s="3" t="s">
        <v>4</v>
      </c>
      <c r="B20" s="16">
        <f>B12+B18</f>
        <v>18.928618771419188</v>
      </c>
      <c r="C20" s="16">
        <f t="shared" ref="C20:V20" si="4">C12+C18</f>
        <v>20.236252757198812</v>
      </c>
      <c r="D20" s="16">
        <f t="shared" si="4"/>
        <v>20.996922887852069</v>
      </c>
      <c r="E20" s="16">
        <f t="shared" si="4"/>
        <v>22.704041107056952</v>
      </c>
      <c r="F20" s="16">
        <f t="shared" si="4"/>
        <v>23.947091066765164</v>
      </c>
      <c r="G20" s="16">
        <f t="shared" si="4"/>
        <v>22.585497481161621</v>
      </c>
      <c r="H20" s="16">
        <f t="shared" si="4"/>
        <v>22.951742762275416</v>
      </c>
      <c r="I20" s="16">
        <f t="shared" si="4"/>
        <v>22.658477054181283</v>
      </c>
      <c r="J20" s="16">
        <f t="shared" si="4"/>
        <v>21.929919418062806</v>
      </c>
      <c r="K20" s="16">
        <f t="shared" si="4"/>
        <v>21.523028448940828</v>
      </c>
      <c r="L20" s="16">
        <f t="shared" si="4"/>
        <v>21.04844688109085</v>
      </c>
      <c r="M20" s="16">
        <f t="shared" si="4"/>
        <v>20.782333034511254</v>
      </c>
      <c r="N20" s="16">
        <f t="shared" si="4"/>
        <v>20.469793789123727</v>
      </c>
      <c r="O20" s="16">
        <f t="shared" si="4"/>
        <v>20.153172854221204</v>
      </c>
      <c r="P20" s="16">
        <f t="shared" si="4"/>
        <v>19.59883113331944</v>
      </c>
      <c r="Q20" s="16">
        <f t="shared" si="4"/>
        <v>19.286309516201481</v>
      </c>
      <c r="R20" s="16">
        <f t="shared" si="4"/>
        <v>18.868208199345549</v>
      </c>
      <c r="S20" s="16">
        <f t="shared" si="4"/>
        <v>18.414069228132146</v>
      </c>
      <c r="T20" s="16">
        <f t="shared" si="4"/>
        <v>17.926080064541942</v>
      </c>
      <c r="U20" s="16">
        <f t="shared" si="4"/>
        <v>17.520845848595147</v>
      </c>
      <c r="V20" s="16">
        <f t="shared" si="4"/>
        <v>412.52968230399699</v>
      </c>
    </row>
    <row r="21" spans="1:22">
      <c r="A21" s="1"/>
    </row>
    <row r="22" spans="1:22" s="6" customFormat="1">
      <c r="A22" s="5" t="s">
        <v>19</v>
      </c>
      <c r="B22" s="6">
        <v>2015</v>
      </c>
      <c r="C22" s="6">
        <v>2016</v>
      </c>
      <c r="D22" s="6">
        <v>2017</v>
      </c>
      <c r="E22" s="6">
        <v>2018</v>
      </c>
      <c r="F22" s="6">
        <v>2019</v>
      </c>
      <c r="G22" s="6">
        <v>2020</v>
      </c>
      <c r="H22" s="6">
        <v>2021</v>
      </c>
      <c r="I22" s="6">
        <v>2022</v>
      </c>
      <c r="J22" s="6">
        <v>2023</v>
      </c>
      <c r="K22" s="6">
        <v>2024</v>
      </c>
      <c r="L22" s="6">
        <v>2025</v>
      </c>
      <c r="M22" s="6">
        <v>2026</v>
      </c>
      <c r="N22" s="6">
        <v>2027</v>
      </c>
      <c r="O22" s="6">
        <v>2028</v>
      </c>
      <c r="P22" s="6">
        <v>2029</v>
      </c>
      <c r="Q22" s="6">
        <v>2030</v>
      </c>
      <c r="R22" s="6">
        <v>2031</v>
      </c>
      <c r="S22" s="6">
        <v>2032</v>
      </c>
      <c r="T22" s="6">
        <v>2033</v>
      </c>
      <c r="U22" s="6">
        <v>2034</v>
      </c>
      <c r="V22" s="6" t="s">
        <v>14</v>
      </c>
    </row>
    <row r="23" spans="1:22">
      <c r="A23" s="50" t="s">
        <v>2</v>
      </c>
    </row>
    <row r="24" spans="1:22">
      <c r="A24" s="9" t="s">
        <v>8</v>
      </c>
      <c r="B24" s="14">
        <v>0.29147237386031943</v>
      </c>
      <c r="C24" s="14">
        <v>0.34808735854309764</v>
      </c>
      <c r="D24" s="14">
        <v>0.41494729282590287</v>
      </c>
      <c r="E24" s="14">
        <v>0.41173776519253064</v>
      </c>
      <c r="F24" s="14">
        <v>0.38741094811380938</v>
      </c>
      <c r="G24" s="14">
        <v>0.31988608168658261</v>
      </c>
      <c r="H24" s="14">
        <v>0.33825870725115359</v>
      </c>
      <c r="I24" s="14">
        <v>0.34986137494496061</v>
      </c>
      <c r="J24" s="14">
        <v>0.39380678023303178</v>
      </c>
      <c r="K24" s="14">
        <v>0.41385962394681486</v>
      </c>
      <c r="L24" s="14">
        <v>0.41781415124476412</v>
      </c>
      <c r="M24" s="14">
        <v>0.42144486758448441</v>
      </c>
      <c r="N24" s="14">
        <v>0.43445149425896501</v>
      </c>
      <c r="O24" s="14">
        <v>0.44974379907396062</v>
      </c>
      <c r="P24" s="14">
        <v>0.43558524197873727</v>
      </c>
      <c r="Q24" s="14">
        <v>0.44737875199623239</v>
      </c>
      <c r="R24" s="14">
        <v>0.43528101489272342</v>
      </c>
      <c r="S24" s="14">
        <v>0.42590292655844397</v>
      </c>
      <c r="T24" s="14">
        <v>0.44156840177245454</v>
      </c>
      <c r="U24" s="14">
        <v>0.43179205609603633</v>
      </c>
      <c r="V24" s="14">
        <f>SUM(B24:U24)</f>
        <v>8.0102910120550064</v>
      </c>
    </row>
    <row r="25" spans="1:22">
      <c r="A25" s="10" t="s">
        <v>9</v>
      </c>
      <c r="B25" s="14">
        <v>6.6094078359170911</v>
      </c>
      <c r="C25" s="14">
        <v>6.9149574440513142</v>
      </c>
      <c r="D25" s="14">
        <v>7.0103983191575931</v>
      </c>
      <c r="E25" s="14">
        <v>9.0872292680391542</v>
      </c>
      <c r="F25" s="14">
        <v>9.5883103330752188</v>
      </c>
      <c r="G25" s="14">
        <v>5.8565542319330328</v>
      </c>
      <c r="H25" s="14">
        <v>5.5646279854985323</v>
      </c>
      <c r="I25" s="14">
        <v>4.3185421146275393</v>
      </c>
      <c r="J25" s="14">
        <v>3.0201734747681934</v>
      </c>
      <c r="K25" s="14">
        <v>2.7357016786835238</v>
      </c>
      <c r="L25" s="14">
        <v>2.3873876588249794</v>
      </c>
      <c r="M25" s="14">
        <v>2.2055152063982049</v>
      </c>
      <c r="N25" s="14">
        <v>2.105233814425103</v>
      </c>
      <c r="O25" s="14">
        <v>2.0637129236187066</v>
      </c>
      <c r="P25" s="14">
        <v>1.9382531333774455</v>
      </c>
      <c r="Q25" s="14">
        <v>1.8460566334280482</v>
      </c>
      <c r="R25" s="14">
        <v>1.7021077026434226</v>
      </c>
      <c r="S25" s="14">
        <v>1.6248881048427515</v>
      </c>
      <c r="T25" s="14">
        <v>1.5487123867897965</v>
      </c>
      <c r="U25" s="14">
        <v>1.4780757516400918</v>
      </c>
      <c r="V25" s="14">
        <f t="shared" ref="V25:V29" si="5">SUM(B25:U25)</f>
        <v>79.605846001739749</v>
      </c>
    </row>
    <row r="26" spans="1:22">
      <c r="A26" s="10" t="s">
        <v>10</v>
      </c>
      <c r="B26" s="14">
        <v>1.6098495346408577</v>
      </c>
      <c r="C26" s="14">
        <v>1.6421024700277742</v>
      </c>
      <c r="D26" s="14">
        <v>1.6827097703755427</v>
      </c>
      <c r="E26" s="14">
        <v>1.7938735628503129</v>
      </c>
      <c r="F26" s="14">
        <v>1.7368316092273375</v>
      </c>
      <c r="G26" s="14">
        <v>2.5295715743072833</v>
      </c>
      <c r="H26" s="14">
        <v>3.3381300446090685</v>
      </c>
      <c r="I26" s="14">
        <v>3.7349090598467622</v>
      </c>
      <c r="J26" s="14">
        <v>3.6752031888584193</v>
      </c>
      <c r="K26" s="14">
        <v>3.6264712822517229</v>
      </c>
      <c r="L26" s="14">
        <v>3.5778057867227124</v>
      </c>
      <c r="M26" s="14">
        <v>3.5614440444258144</v>
      </c>
      <c r="N26" s="14">
        <v>3.5176477726262814</v>
      </c>
      <c r="O26" s="14">
        <v>3.4311367484511561</v>
      </c>
      <c r="P26" s="14">
        <v>3.3472371901745657</v>
      </c>
      <c r="Q26" s="14">
        <v>3.3669613097168609</v>
      </c>
      <c r="R26" s="14">
        <v>3.3395571060225637</v>
      </c>
      <c r="S26" s="14">
        <v>3.2934654928171945</v>
      </c>
      <c r="T26" s="14">
        <v>3.219024701893455</v>
      </c>
      <c r="U26" s="14">
        <v>3.1684480041037633</v>
      </c>
      <c r="V26" s="14">
        <f t="shared" si="5"/>
        <v>59.192380253949459</v>
      </c>
    </row>
    <row r="27" spans="1:22">
      <c r="A27" s="10" t="s">
        <v>11</v>
      </c>
      <c r="B27" s="14">
        <v>0.7566423265128267</v>
      </c>
      <c r="C27" s="14">
        <v>0.75464529154150051</v>
      </c>
      <c r="D27" s="14">
        <v>0.83542737610023177</v>
      </c>
      <c r="E27" s="14">
        <v>0.99865747405377225</v>
      </c>
      <c r="F27" s="14">
        <v>1.1406651381278827</v>
      </c>
      <c r="G27" s="14">
        <v>1.1601288767716982</v>
      </c>
      <c r="H27" s="14">
        <v>1.1416503928812436</v>
      </c>
      <c r="I27" s="14">
        <v>1.1961029607526465</v>
      </c>
      <c r="J27" s="14">
        <v>1.1989313652846925</v>
      </c>
      <c r="K27" s="14">
        <v>1.2022396017494321</v>
      </c>
      <c r="L27" s="14">
        <v>1.21125180200701</v>
      </c>
      <c r="M27" s="14">
        <v>1.2399853737641591</v>
      </c>
      <c r="N27" s="14">
        <v>1.2305123681256256</v>
      </c>
      <c r="O27" s="14">
        <v>1.2043590381637255</v>
      </c>
      <c r="P27" s="14">
        <v>1.1887291544233611</v>
      </c>
      <c r="Q27" s="14">
        <v>1.2123747441543755</v>
      </c>
      <c r="R27" s="14">
        <v>1.2007064459110404</v>
      </c>
      <c r="S27" s="14">
        <v>1.191969618266985</v>
      </c>
      <c r="T27" s="14">
        <v>1.1771051971230713</v>
      </c>
      <c r="U27" s="14">
        <v>1.169018023991903</v>
      </c>
      <c r="V27" s="14">
        <f t="shared" si="5"/>
        <v>22.411102569707182</v>
      </c>
    </row>
    <row r="28" spans="1:22">
      <c r="A28" s="2" t="s">
        <v>12</v>
      </c>
      <c r="B28" s="14">
        <v>0.6187741115708516</v>
      </c>
      <c r="C28" s="14">
        <v>0.62327092819938634</v>
      </c>
      <c r="D28" s="14">
        <v>0.65583586033682739</v>
      </c>
      <c r="E28" s="14">
        <v>0.71552212466933152</v>
      </c>
      <c r="F28" s="14">
        <v>0.72920343880384508</v>
      </c>
      <c r="G28" s="14">
        <v>0.7038928893976496</v>
      </c>
      <c r="H28" s="14">
        <v>0.71942628810139841</v>
      </c>
      <c r="I28" s="14">
        <v>0.73695909343504051</v>
      </c>
      <c r="J28" s="14">
        <v>0.71612210588249625</v>
      </c>
      <c r="K28" s="14">
        <v>0.71412428316940679</v>
      </c>
      <c r="L28" s="14">
        <v>0.70971791455609712</v>
      </c>
      <c r="M28" s="14">
        <v>0.72784925763284847</v>
      </c>
      <c r="N28" s="14">
        <v>0.71959939161869069</v>
      </c>
      <c r="O28" s="14">
        <v>0.70786971950684408</v>
      </c>
      <c r="P28" s="14">
        <v>0.69485122226305973</v>
      </c>
      <c r="Q28" s="14">
        <v>0.69405166959065256</v>
      </c>
      <c r="R28" s="14">
        <v>0.67919067179240655</v>
      </c>
      <c r="S28" s="14">
        <v>0.66919567476065467</v>
      </c>
      <c r="T28" s="14">
        <v>0.65352208545191115</v>
      </c>
      <c r="U28" s="14">
        <v>0.64212624197002877</v>
      </c>
      <c r="V28" s="14">
        <f t="shared" si="5"/>
        <v>13.831104972709428</v>
      </c>
    </row>
    <row r="29" spans="1:22">
      <c r="A29" s="2" t="s">
        <v>13</v>
      </c>
      <c r="B29" s="15">
        <v>0.19740012192524176</v>
      </c>
      <c r="C29" s="15">
        <v>0.21050295422239995</v>
      </c>
      <c r="D29" s="15">
        <v>0.21651865878395038</v>
      </c>
      <c r="E29" s="15">
        <v>0.24261949067820066</v>
      </c>
      <c r="F29" s="15">
        <v>0.24185113115651249</v>
      </c>
      <c r="G29" s="15">
        <v>0.28516984487895219</v>
      </c>
      <c r="H29" s="15">
        <v>0.32076091410487773</v>
      </c>
      <c r="I29" s="15">
        <v>0.3441509150946816</v>
      </c>
      <c r="J29" s="15">
        <v>0.37485231758163384</v>
      </c>
      <c r="K29" s="15">
        <v>0.36909382347224107</v>
      </c>
      <c r="L29" s="15">
        <v>0.37312714890501314</v>
      </c>
      <c r="M29" s="15">
        <v>0.36972759345493134</v>
      </c>
      <c r="N29" s="15">
        <v>0.37339741049948744</v>
      </c>
      <c r="O29" s="15">
        <v>0.38393013661438091</v>
      </c>
      <c r="P29" s="15">
        <v>0.37450606357790955</v>
      </c>
      <c r="Q29" s="15">
        <v>0.38090589913788325</v>
      </c>
      <c r="R29" s="15">
        <v>0.37548626200574964</v>
      </c>
      <c r="S29" s="15">
        <v>0.36793361860467277</v>
      </c>
      <c r="T29" s="15">
        <v>0.37234206747127285</v>
      </c>
      <c r="U29" s="15">
        <v>0.36963477488476287</v>
      </c>
      <c r="V29" s="15">
        <f t="shared" si="5"/>
        <v>6.5439111470547564</v>
      </c>
    </row>
    <row r="30" spans="1:22">
      <c r="A30" s="8" t="s">
        <v>15</v>
      </c>
      <c r="B30" s="16">
        <f>SUM(B24:B29)</f>
        <v>10.083546304427189</v>
      </c>
      <c r="C30" s="16">
        <f t="shared" ref="C30:V30" si="6">SUM(C24:C29)</f>
        <v>10.493566446585472</v>
      </c>
      <c r="D30" s="16">
        <f t="shared" si="6"/>
        <v>10.815837277580048</v>
      </c>
      <c r="E30" s="16">
        <f t="shared" si="6"/>
        <v>13.249639685483302</v>
      </c>
      <c r="F30" s="16">
        <f t="shared" si="6"/>
        <v>13.824272598504605</v>
      </c>
      <c r="G30" s="16">
        <f t="shared" si="6"/>
        <v>10.855203498975198</v>
      </c>
      <c r="H30" s="16">
        <f t="shared" si="6"/>
        <v>11.422854332446274</v>
      </c>
      <c r="I30" s="16">
        <f t="shared" si="6"/>
        <v>10.68052551870163</v>
      </c>
      <c r="J30" s="16">
        <f t="shared" si="6"/>
        <v>9.3790892326084681</v>
      </c>
      <c r="K30" s="16">
        <f t="shared" si="6"/>
        <v>9.0614902932731418</v>
      </c>
      <c r="L30" s="16">
        <f t="shared" si="6"/>
        <v>8.6771044622605764</v>
      </c>
      <c r="M30" s="16">
        <f t="shared" si="6"/>
        <v>8.5259663432604427</v>
      </c>
      <c r="N30" s="16">
        <f t="shared" si="6"/>
        <v>8.380842251554153</v>
      </c>
      <c r="O30" s="16">
        <f t="shared" si="6"/>
        <v>8.240752365428774</v>
      </c>
      <c r="P30" s="16">
        <f t="shared" si="6"/>
        <v>7.9791620057950787</v>
      </c>
      <c r="Q30" s="16">
        <f t="shared" si="6"/>
        <v>7.9477290080240532</v>
      </c>
      <c r="R30" s="16">
        <f t="shared" si="6"/>
        <v>7.7323292032679065</v>
      </c>
      <c r="S30" s="16">
        <f t="shared" si="6"/>
        <v>7.5733554358507034</v>
      </c>
      <c r="T30" s="16">
        <f t="shared" si="6"/>
        <v>7.4122748405019614</v>
      </c>
      <c r="U30" s="16">
        <f t="shared" si="6"/>
        <v>7.2590948526865864</v>
      </c>
      <c r="V30" s="16">
        <f t="shared" si="6"/>
        <v>189.59463595721556</v>
      </c>
    </row>
    <row r="32" spans="1:22">
      <c r="A32" s="50" t="s">
        <v>3</v>
      </c>
    </row>
    <row r="33" spans="1:22">
      <c r="A33" s="2" t="s">
        <v>7</v>
      </c>
      <c r="B33" s="14">
        <v>1.7580461729907135</v>
      </c>
      <c r="C33" s="14">
        <v>1.8389985161463762</v>
      </c>
      <c r="D33" s="14">
        <v>1.8359109938482896</v>
      </c>
      <c r="E33" s="14">
        <v>1.6187674756787136</v>
      </c>
      <c r="F33" s="14">
        <v>1.6325816655170082</v>
      </c>
      <c r="G33" s="14">
        <v>1.6109476920219297</v>
      </c>
      <c r="H33" s="14">
        <v>1.5352209696742645</v>
      </c>
      <c r="I33" s="14">
        <v>1.462693772238203</v>
      </c>
      <c r="J33" s="14">
        <v>1.3794440231770702</v>
      </c>
      <c r="K33" s="14">
        <v>1.3249867704970009</v>
      </c>
      <c r="L33" s="14">
        <v>1.2822484422728471</v>
      </c>
      <c r="M33" s="14">
        <v>1.2439477144491815</v>
      </c>
      <c r="N33" s="14">
        <v>1.2348059497318429</v>
      </c>
      <c r="O33" s="14">
        <v>1.1988421410154018</v>
      </c>
      <c r="P33" s="14">
        <v>1.1666129647982439</v>
      </c>
      <c r="Q33" s="14">
        <v>1.1285413000837472</v>
      </c>
      <c r="R33" s="14">
        <v>1.0874901855378158</v>
      </c>
      <c r="S33" s="14">
        <v>1.0365086616049217</v>
      </c>
      <c r="T33" s="14">
        <v>0.98476435375622251</v>
      </c>
      <c r="U33" s="14">
        <v>0.93310576527236166</v>
      </c>
      <c r="V33" s="14">
        <f>SUM(B33:U33)</f>
        <v>27.294465530312159</v>
      </c>
    </row>
    <row r="34" spans="1:22">
      <c r="A34" s="2" t="s">
        <v>6</v>
      </c>
      <c r="B34" s="14">
        <v>3.2101451992308836</v>
      </c>
      <c r="C34" s="14">
        <v>3.2134882268465299</v>
      </c>
      <c r="D34" s="14">
        <v>3.1423697469793472</v>
      </c>
      <c r="E34" s="14">
        <v>2.8554819330173182</v>
      </c>
      <c r="F34" s="14">
        <v>2.7402356074176737</v>
      </c>
      <c r="G34" s="14">
        <v>2.6285863620086749</v>
      </c>
      <c r="H34" s="14">
        <v>2.5050229204912293</v>
      </c>
      <c r="I34" s="14">
        <v>2.3723578442067739</v>
      </c>
      <c r="J34" s="14">
        <v>2.2329165126525843</v>
      </c>
      <c r="K34" s="14">
        <v>2.1374130432161444</v>
      </c>
      <c r="L34" s="14">
        <v>2.0583056979179988</v>
      </c>
      <c r="M34" s="14">
        <v>1.9858778287582335</v>
      </c>
      <c r="N34" s="14">
        <v>1.9550905025018455</v>
      </c>
      <c r="O34" s="14">
        <v>1.8981483308952898</v>
      </c>
      <c r="P34" s="14">
        <v>1.8471193478371863</v>
      </c>
      <c r="Q34" s="14">
        <v>1.7868397284951234</v>
      </c>
      <c r="R34" s="14">
        <v>1.7218427247617196</v>
      </c>
      <c r="S34" s="14">
        <v>1.6411228736160308</v>
      </c>
      <c r="T34" s="14">
        <v>1.5591950669314902</v>
      </c>
      <c r="U34" s="14">
        <v>1.4774031156892258</v>
      </c>
      <c r="V34" s="14">
        <f>SUM(B34:U34)</f>
        <v>44.968962613471305</v>
      </c>
    </row>
    <row r="35" spans="1:22">
      <c r="A35" s="2" t="s">
        <v>5</v>
      </c>
      <c r="B35" s="15">
        <v>5.3414590030479978</v>
      </c>
      <c r="C35" s="15">
        <v>5.9229605600183453</v>
      </c>
      <c r="D35" s="15">
        <v>6.5289196456121674</v>
      </c>
      <c r="E35" s="15">
        <v>7.6785969454303196</v>
      </c>
      <c r="F35" s="15">
        <v>8.3171693167876057</v>
      </c>
      <c r="G35" s="15">
        <v>8.2030866079387774</v>
      </c>
      <c r="H35" s="15">
        <v>8.1843329643116682</v>
      </c>
      <c r="I35" s="15">
        <v>8.1843357900147087</v>
      </c>
      <c r="J35" s="15">
        <v>8.2020309410935521</v>
      </c>
      <c r="K35" s="15">
        <v>8.1441252792421164</v>
      </c>
      <c r="L35" s="15">
        <v>8.0753183644179671</v>
      </c>
      <c r="M35" s="15">
        <v>8.0107772137925473</v>
      </c>
      <c r="N35" s="15">
        <v>7.8721752637875779</v>
      </c>
      <c r="O35" s="15">
        <v>7.802504279201254</v>
      </c>
      <c r="P35" s="15">
        <v>7.7130052131578646</v>
      </c>
      <c r="Q35" s="15">
        <v>7.6146295843124268</v>
      </c>
      <c r="R35" s="15">
        <v>7.5309041817488787</v>
      </c>
      <c r="S35" s="15">
        <v>7.4797901828550311</v>
      </c>
      <c r="T35" s="15">
        <v>7.4340726668810877</v>
      </c>
      <c r="U35" s="15">
        <v>7.3977174525367246</v>
      </c>
      <c r="V35" s="15">
        <f>SUM(B35:U35)</f>
        <v>151.63791145618865</v>
      </c>
    </row>
    <row r="36" spans="1:22">
      <c r="A36" s="8" t="s">
        <v>16</v>
      </c>
      <c r="B36" s="16">
        <f>SUM(B33:B35)</f>
        <v>10.309650375269594</v>
      </c>
      <c r="C36" s="16">
        <f t="shared" ref="C36:V36" si="7">SUM(C33:C35)</f>
        <v>10.975447303011251</v>
      </c>
      <c r="D36" s="16">
        <f t="shared" si="7"/>
        <v>11.507200386439806</v>
      </c>
      <c r="E36" s="16">
        <f t="shared" si="7"/>
        <v>12.152846354126352</v>
      </c>
      <c r="F36" s="16">
        <f t="shared" si="7"/>
        <v>12.689986589722288</v>
      </c>
      <c r="G36" s="16">
        <f t="shared" si="7"/>
        <v>12.442620661969382</v>
      </c>
      <c r="H36" s="16">
        <f t="shared" si="7"/>
        <v>12.224576854477162</v>
      </c>
      <c r="I36" s="16">
        <f t="shared" si="7"/>
        <v>12.019387406459686</v>
      </c>
      <c r="J36" s="16">
        <f t="shared" si="7"/>
        <v>11.814391476923205</v>
      </c>
      <c r="K36" s="16">
        <f t="shared" si="7"/>
        <v>11.606525092955263</v>
      </c>
      <c r="L36" s="16">
        <f t="shared" si="7"/>
        <v>11.415872504608814</v>
      </c>
      <c r="M36" s="16">
        <f t="shared" si="7"/>
        <v>11.240602756999962</v>
      </c>
      <c r="N36" s="16">
        <f t="shared" si="7"/>
        <v>11.062071716021267</v>
      </c>
      <c r="O36" s="16">
        <f t="shared" si="7"/>
        <v>10.899494751111945</v>
      </c>
      <c r="P36" s="16">
        <f t="shared" si="7"/>
        <v>10.726737525793295</v>
      </c>
      <c r="Q36" s="16">
        <f t="shared" si="7"/>
        <v>10.530010612891298</v>
      </c>
      <c r="R36" s="16">
        <f t="shared" si="7"/>
        <v>10.340237092048415</v>
      </c>
      <c r="S36" s="16">
        <f t="shared" si="7"/>
        <v>10.157421718075984</v>
      </c>
      <c r="T36" s="16">
        <f t="shared" si="7"/>
        <v>9.9780320875688009</v>
      </c>
      <c r="U36" s="16">
        <f t="shared" si="7"/>
        <v>9.8082263334983111</v>
      </c>
      <c r="V36" s="16">
        <f t="shared" si="7"/>
        <v>223.90133959997212</v>
      </c>
    </row>
    <row r="37" spans="1:22">
      <c r="A37" s="8"/>
    </row>
    <row r="38" spans="1:22">
      <c r="A38" s="3" t="s">
        <v>4</v>
      </c>
      <c r="B38" s="16">
        <f>B30+B36</f>
        <v>20.393196679696786</v>
      </c>
      <c r="C38" s="16">
        <f t="shared" ref="C38:V38" si="8">C30+C36</f>
        <v>21.469013749596723</v>
      </c>
      <c r="D38" s="16">
        <f t="shared" si="8"/>
        <v>22.323037664019854</v>
      </c>
      <c r="E38" s="16">
        <f t="shared" si="8"/>
        <v>25.402486039609656</v>
      </c>
      <c r="F38" s="16">
        <f t="shared" si="8"/>
        <v>26.514259188226895</v>
      </c>
      <c r="G38" s="16">
        <f t="shared" si="8"/>
        <v>23.297824160944579</v>
      </c>
      <c r="H38" s="16">
        <f t="shared" si="8"/>
        <v>23.647431186923434</v>
      </c>
      <c r="I38" s="16">
        <f t="shared" si="8"/>
        <v>22.699912925161314</v>
      </c>
      <c r="J38" s="16">
        <f t="shared" si="8"/>
        <v>21.193480709531674</v>
      </c>
      <c r="K38" s="16">
        <f t="shared" si="8"/>
        <v>20.668015386228404</v>
      </c>
      <c r="L38" s="16">
        <f t="shared" si="8"/>
        <v>20.09297696686939</v>
      </c>
      <c r="M38" s="16">
        <f t="shared" si="8"/>
        <v>19.766569100260405</v>
      </c>
      <c r="N38" s="16">
        <f t="shared" si="8"/>
        <v>19.442913967575421</v>
      </c>
      <c r="O38" s="16">
        <f t="shared" si="8"/>
        <v>19.140247116540721</v>
      </c>
      <c r="P38" s="16">
        <f t="shared" si="8"/>
        <v>18.705899531588372</v>
      </c>
      <c r="Q38" s="16">
        <f t="shared" si="8"/>
        <v>18.477739620915351</v>
      </c>
      <c r="R38" s="16">
        <f t="shared" si="8"/>
        <v>18.072566295316321</v>
      </c>
      <c r="S38" s="16">
        <f t="shared" si="8"/>
        <v>17.730777153926688</v>
      </c>
      <c r="T38" s="16">
        <f t="shared" si="8"/>
        <v>17.390306928070764</v>
      </c>
      <c r="U38" s="16">
        <f t="shared" si="8"/>
        <v>17.067321186184898</v>
      </c>
      <c r="V38" s="16">
        <f t="shared" si="8"/>
        <v>413.49597555718765</v>
      </c>
    </row>
    <row r="39" spans="1:22">
      <c r="A39" s="3"/>
      <c r="B39" s="16"/>
      <c r="C39" s="16"/>
      <c r="D39" s="16"/>
      <c r="E39" s="16"/>
      <c r="F39" s="16"/>
      <c r="G39" s="16"/>
      <c r="H39" s="16"/>
      <c r="I39" s="16"/>
      <c r="J39" s="16"/>
      <c r="K39" s="16"/>
      <c r="L39" s="16"/>
      <c r="M39" s="16"/>
      <c r="N39" s="16"/>
      <c r="O39" s="16"/>
      <c r="P39" s="16"/>
      <c r="Q39" s="16"/>
      <c r="R39" s="16"/>
      <c r="S39" s="16"/>
      <c r="T39" s="16"/>
      <c r="U39" s="16"/>
      <c r="V39" s="16"/>
    </row>
    <row r="41" spans="1:22" ht="15.75">
      <c r="A41" s="68" t="s">
        <v>31</v>
      </c>
      <c r="B41" s="69"/>
      <c r="C41" s="69"/>
      <c r="D41" s="69"/>
      <c r="E41" s="69"/>
      <c r="F41" s="69"/>
      <c r="G41" s="69"/>
      <c r="H41" s="69"/>
      <c r="I41" s="69"/>
      <c r="J41" s="69"/>
      <c r="K41" s="69"/>
      <c r="L41" s="69"/>
      <c r="M41" s="69"/>
      <c r="N41" s="69"/>
      <c r="O41" s="69"/>
      <c r="P41" s="69"/>
      <c r="Q41" s="69"/>
      <c r="R41" s="69"/>
      <c r="S41" s="69"/>
      <c r="T41" s="69"/>
      <c r="U41" s="69"/>
      <c r="V41" s="69"/>
    </row>
    <row r="42" spans="1:22">
      <c r="A42" s="4" t="s">
        <v>17</v>
      </c>
      <c r="B42">
        <v>2015</v>
      </c>
      <c r="C42">
        <v>2016</v>
      </c>
      <c r="D42">
        <v>2017</v>
      </c>
      <c r="E42">
        <v>2018</v>
      </c>
      <c r="F42">
        <v>2019</v>
      </c>
      <c r="G42">
        <v>2020</v>
      </c>
      <c r="H42">
        <v>2021</v>
      </c>
      <c r="I42">
        <v>2022</v>
      </c>
      <c r="J42">
        <v>2023</v>
      </c>
      <c r="K42">
        <v>2024</v>
      </c>
      <c r="L42">
        <v>2025</v>
      </c>
      <c r="M42">
        <v>2026</v>
      </c>
      <c r="N42">
        <v>2027</v>
      </c>
      <c r="O42">
        <v>2028</v>
      </c>
      <c r="P42">
        <v>2029</v>
      </c>
      <c r="Q42">
        <v>2030</v>
      </c>
      <c r="R42">
        <v>2031</v>
      </c>
      <c r="S42">
        <v>2032</v>
      </c>
      <c r="T42">
        <v>2033</v>
      </c>
      <c r="U42">
        <v>2034</v>
      </c>
      <c r="V42" s="70" t="s">
        <v>14</v>
      </c>
    </row>
    <row r="43" spans="1:22">
      <c r="A43" s="10" t="s">
        <v>2</v>
      </c>
      <c r="B43" s="14">
        <v>1.6223324158396224</v>
      </c>
      <c r="C43" s="14">
        <v>1.6298813060491779</v>
      </c>
      <c r="D43" s="14">
        <v>1.6653469336002991</v>
      </c>
      <c r="E43" s="14">
        <v>1.7936367790589158</v>
      </c>
      <c r="F43" s="14">
        <v>1.774717424960603</v>
      </c>
      <c r="G43" s="14">
        <v>1.9319170557139644</v>
      </c>
      <c r="H43" s="14">
        <v>1.9663502454086252</v>
      </c>
      <c r="I43" s="14">
        <v>2.0119970756410166</v>
      </c>
      <c r="J43" s="14">
        <v>2.057156356284811</v>
      </c>
      <c r="K43" s="14">
        <v>2.0674558413439219</v>
      </c>
      <c r="L43" s="14">
        <v>2.0890299106393382</v>
      </c>
      <c r="M43" s="14">
        <v>2.09226942619097</v>
      </c>
      <c r="N43" s="14">
        <v>2.0672307193887063</v>
      </c>
      <c r="O43" s="14">
        <v>1.9676603966190198</v>
      </c>
      <c r="P43" s="14">
        <v>1.9165223004475589</v>
      </c>
      <c r="Q43" s="14">
        <v>1.9302455784470272</v>
      </c>
      <c r="R43" s="14">
        <v>1.8947956616368455</v>
      </c>
      <c r="S43" s="14">
        <v>1.8587879162800496</v>
      </c>
      <c r="T43" s="14">
        <v>1.7933011042863514</v>
      </c>
      <c r="U43" s="14">
        <v>1.7648697604616106</v>
      </c>
      <c r="V43" s="14">
        <f>SUM(B43:U43)</f>
        <v>37.895504208298433</v>
      </c>
    </row>
    <row r="44" spans="1:22">
      <c r="A44" s="10" t="s">
        <v>3</v>
      </c>
      <c r="B44" s="15">
        <v>0.34396384513954359</v>
      </c>
      <c r="C44" s="15">
        <v>0.67970386412345229</v>
      </c>
      <c r="D44" s="15">
        <v>1.0257724822835153</v>
      </c>
      <c r="E44" s="15">
        <v>1.4556635680408481</v>
      </c>
      <c r="F44" s="15">
        <v>1.663530954342026</v>
      </c>
      <c r="G44" s="15">
        <v>1.8289415111796892</v>
      </c>
      <c r="H44" s="15">
        <v>1.881606664247752</v>
      </c>
      <c r="I44" s="15">
        <v>1.9328441552619757</v>
      </c>
      <c r="J44" s="15">
        <v>1.9879152359242263</v>
      </c>
      <c r="K44" s="15">
        <v>2.04625586714883</v>
      </c>
      <c r="L44" s="15">
        <v>2.1118115297346938</v>
      </c>
      <c r="M44" s="15">
        <v>2.1846424752503331</v>
      </c>
      <c r="N44" s="15">
        <v>2.2633569732266716</v>
      </c>
      <c r="O44" s="15">
        <v>2.3500545485555322</v>
      </c>
      <c r="P44" s="15">
        <v>2.441648133721432</v>
      </c>
      <c r="Q44" s="15">
        <v>2.5323492431566437</v>
      </c>
      <c r="R44" s="15">
        <v>2.630884099866488</v>
      </c>
      <c r="S44" s="15">
        <v>2.7376440081999394</v>
      </c>
      <c r="T44" s="15">
        <v>2.8533529183867219</v>
      </c>
      <c r="U44" s="15">
        <v>2.9779145762052046</v>
      </c>
      <c r="V44" s="15">
        <f>SUM(B44:U44)</f>
        <v>39.929856653995515</v>
      </c>
    </row>
    <row r="45" spans="1:22">
      <c r="A45" s="10" t="s">
        <v>4</v>
      </c>
      <c r="B45" s="14">
        <f>SUM(B43:B44)</f>
        <v>1.9662962609791661</v>
      </c>
      <c r="C45" s="14">
        <f t="shared" ref="C45:V45" si="9">SUM(C43:C44)</f>
        <v>2.30958517017263</v>
      </c>
      <c r="D45" s="14">
        <f t="shared" si="9"/>
        <v>2.6911194158838141</v>
      </c>
      <c r="E45" s="14">
        <f t="shared" si="9"/>
        <v>3.2493003470997639</v>
      </c>
      <c r="F45" s="14">
        <f t="shared" si="9"/>
        <v>3.4382483793026291</v>
      </c>
      <c r="G45" s="14">
        <f t="shared" si="9"/>
        <v>3.7608585668936536</v>
      </c>
      <c r="H45" s="14">
        <f t="shared" si="9"/>
        <v>3.8479569096563773</v>
      </c>
      <c r="I45" s="14">
        <f t="shared" si="9"/>
        <v>3.9448412309029921</v>
      </c>
      <c r="J45" s="14">
        <f t="shared" si="9"/>
        <v>4.0450715922090374</v>
      </c>
      <c r="K45" s="14">
        <f t="shared" si="9"/>
        <v>4.1137117084927519</v>
      </c>
      <c r="L45" s="14">
        <f t="shared" si="9"/>
        <v>4.200841440374032</v>
      </c>
      <c r="M45" s="14">
        <f t="shared" si="9"/>
        <v>4.2769119014413031</v>
      </c>
      <c r="N45" s="14">
        <f t="shared" si="9"/>
        <v>4.3305876926153779</v>
      </c>
      <c r="O45" s="14">
        <f t="shared" si="9"/>
        <v>4.3177149451745525</v>
      </c>
      <c r="P45" s="14">
        <f t="shared" si="9"/>
        <v>4.3581704341689909</v>
      </c>
      <c r="Q45" s="14">
        <f t="shared" si="9"/>
        <v>4.4625948216036706</v>
      </c>
      <c r="R45" s="14">
        <f t="shared" si="9"/>
        <v>4.5256797615033335</v>
      </c>
      <c r="S45" s="14">
        <f t="shared" si="9"/>
        <v>4.5964319244799885</v>
      </c>
      <c r="T45" s="14">
        <f t="shared" si="9"/>
        <v>4.646654022673073</v>
      </c>
      <c r="U45" s="14">
        <f t="shared" si="9"/>
        <v>4.7427843366668156</v>
      </c>
      <c r="V45" s="14">
        <f t="shared" si="9"/>
        <v>77.825360862293948</v>
      </c>
    </row>
    <row r="47" spans="1:22">
      <c r="A47" s="4" t="s">
        <v>19</v>
      </c>
      <c r="B47">
        <v>2015</v>
      </c>
      <c r="C47">
        <v>2016</v>
      </c>
      <c r="D47">
        <v>2017</v>
      </c>
      <c r="E47">
        <v>2018</v>
      </c>
      <c r="F47">
        <v>2019</v>
      </c>
      <c r="G47">
        <v>2020</v>
      </c>
      <c r="H47">
        <v>2021</v>
      </c>
      <c r="I47">
        <v>2022</v>
      </c>
      <c r="J47">
        <v>2023</v>
      </c>
      <c r="K47">
        <v>2024</v>
      </c>
      <c r="L47">
        <v>2025</v>
      </c>
      <c r="M47">
        <v>2026</v>
      </c>
      <c r="N47">
        <v>2027</v>
      </c>
      <c r="O47">
        <v>2028</v>
      </c>
      <c r="P47">
        <v>2029</v>
      </c>
      <c r="Q47">
        <v>2030</v>
      </c>
      <c r="R47">
        <v>2031</v>
      </c>
      <c r="S47">
        <v>2032</v>
      </c>
      <c r="T47">
        <v>2033</v>
      </c>
      <c r="U47">
        <v>2034</v>
      </c>
      <c r="V47" s="70" t="s">
        <v>14</v>
      </c>
    </row>
    <row r="48" spans="1:22">
      <c r="A48" s="10" t="s">
        <v>2</v>
      </c>
      <c r="B48" s="14">
        <v>1.6223324158396224</v>
      </c>
      <c r="C48" s="14">
        <v>1.6298813060491779</v>
      </c>
      <c r="D48" s="14">
        <v>1.6653469336002991</v>
      </c>
      <c r="E48" s="14">
        <v>1.7936367790589158</v>
      </c>
      <c r="F48" s="14">
        <v>1.774717424960603</v>
      </c>
      <c r="G48" s="14">
        <v>1.9319170557139644</v>
      </c>
      <c r="H48" s="14">
        <v>1.9663502454086252</v>
      </c>
      <c r="I48" s="14">
        <v>2.0119970756410166</v>
      </c>
      <c r="J48" s="14">
        <v>2.057156356284811</v>
      </c>
      <c r="K48" s="14">
        <v>2.0674558413439219</v>
      </c>
      <c r="L48" s="14">
        <v>2.0890299106393382</v>
      </c>
      <c r="M48" s="14">
        <v>2.09226942619097</v>
      </c>
      <c r="N48" s="14">
        <v>2.0672307193887063</v>
      </c>
      <c r="O48" s="14">
        <v>1.9676603966190198</v>
      </c>
      <c r="P48" s="14">
        <v>1.9165223004475589</v>
      </c>
      <c r="Q48" s="14">
        <v>1.9302455784470272</v>
      </c>
      <c r="R48" s="14">
        <v>1.8947956616368455</v>
      </c>
      <c r="S48" s="14">
        <v>1.8587879162800496</v>
      </c>
      <c r="T48" s="14">
        <v>1.7933011042863514</v>
      </c>
      <c r="U48" s="14">
        <v>1.7648697604616106</v>
      </c>
      <c r="V48" s="14">
        <f>SUM(B48:U48)</f>
        <v>37.895504208298433</v>
      </c>
    </row>
    <row r="49" spans="1:22">
      <c r="A49" s="10" t="s">
        <v>3</v>
      </c>
      <c r="B49" s="15">
        <v>0.3156273873972863</v>
      </c>
      <c r="C49" s="15">
        <v>0.63532759598667088</v>
      </c>
      <c r="D49" s="15">
        <v>0.97874712036255118</v>
      </c>
      <c r="E49" s="15">
        <v>1.4175729960669732</v>
      </c>
      <c r="F49" s="15">
        <v>1.6547130225027094</v>
      </c>
      <c r="G49" s="15">
        <v>1.8489957068879284</v>
      </c>
      <c r="H49" s="15">
        <v>1.9109049385513619</v>
      </c>
      <c r="I49" s="15">
        <v>1.9720505650484903</v>
      </c>
      <c r="J49" s="15">
        <v>2.0378007562480556</v>
      </c>
      <c r="K49" s="15">
        <v>2.107568006923263</v>
      </c>
      <c r="L49" s="15">
        <v>2.1856056517299893</v>
      </c>
      <c r="M49" s="15">
        <v>2.2720493171350093</v>
      </c>
      <c r="N49" s="15">
        <v>2.3655538805449661</v>
      </c>
      <c r="O49" s="15">
        <v>2.4682871426071022</v>
      </c>
      <c r="P49" s="15">
        <v>2.5770912870794014</v>
      </c>
      <c r="Q49" s="15">
        <v>2.6857600148013137</v>
      </c>
      <c r="R49" s="15">
        <v>2.8036313848790804</v>
      </c>
      <c r="S49" s="15">
        <v>2.9311926336236684</v>
      </c>
      <c r="T49" s="15">
        <v>3.0692663353489871</v>
      </c>
      <c r="U49" s="15">
        <v>3.217856556236824</v>
      </c>
      <c r="V49" s="15">
        <f>SUM(B49:U49)</f>
        <v>41.455602299961633</v>
      </c>
    </row>
    <row r="50" spans="1:22">
      <c r="A50" s="10" t="s">
        <v>4</v>
      </c>
      <c r="B50" s="14">
        <f>SUM(B48:B49)</f>
        <v>1.9379598032369088</v>
      </c>
      <c r="C50" s="14">
        <f t="shared" ref="C50" si="10">SUM(C48:C49)</f>
        <v>2.265208902035849</v>
      </c>
      <c r="D50" s="14">
        <f t="shared" ref="D50" si="11">SUM(D48:D49)</f>
        <v>2.6440940539628501</v>
      </c>
      <c r="E50" s="14">
        <f t="shared" ref="E50" si="12">SUM(E48:E49)</f>
        <v>3.211209775125889</v>
      </c>
      <c r="F50" s="14">
        <f t="shared" ref="F50" si="13">SUM(F48:F49)</f>
        <v>3.4294304474633126</v>
      </c>
      <c r="G50" s="14">
        <f t="shared" ref="G50" si="14">SUM(G48:G49)</f>
        <v>3.7809127626018926</v>
      </c>
      <c r="H50" s="14">
        <f t="shared" ref="H50" si="15">SUM(H48:H49)</f>
        <v>3.8772551839599871</v>
      </c>
      <c r="I50" s="14">
        <f t="shared" ref="I50" si="16">SUM(I48:I49)</f>
        <v>3.9840476406895071</v>
      </c>
      <c r="J50" s="14">
        <f t="shared" ref="J50" si="17">SUM(J48:J49)</f>
        <v>4.0949571125328665</v>
      </c>
      <c r="K50" s="14">
        <f t="shared" ref="K50" si="18">SUM(K48:K49)</f>
        <v>4.1750238482671849</v>
      </c>
      <c r="L50" s="14">
        <f t="shared" ref="L50" si="19">SUM(L48:L49)</f>
        <v>4.274635562369328</v>
      </c>
      <c r="M50" s="14">
        <f t="shared" ref="M50" si="20">SUM(M48:M49)</f>
        <v>4.3643187433259794</v>
      </c>
      <c r="N50" s="14">
        <f t="shared" ref="N50" si="21">SUM(N48:N49)</f>
        <v>4.4327845999336724</v>
      </c>
      <c r="O50" s="14">
        <f t="shared" ref="O50" si="22">SUM(O48:O49)</f>
        <v>4.4359475392261221</v>
      </c>
      <c r="P50" s="14">
        <f t="shared" ref="P50" si="23">SUM(P48:P49)</f>
        <v>4.4936135875269603</v>
      </c>
      <c r="Q50" s="14">
        <f t="shared" ref="Q50" si="24">SUM(Q48:Q49)</f>
        <v>4.6160055932483406</v>
      </c>
      <c r="R50" s="14">
        <f t="shared" ref="R50" si="25">SUM(R48:R49)</f>
        <v>4.6984270465159259</v>
      </c>
      <c r="S50" s="14">
        <f t="shared" ref="S50" si="26">SUM(S48:S49)</f>
        <v>4.789980549903718</v>
      </c>
      <c r="T50" s="14">
        <f t="shared" ref="T50" si="27">SUM(T48:T49)</f>
        <v>4.8625674396353382</v>
      </c>
      <c r="U50" s="14">
        <f t="shared" ref="U50:V50" si="28">SUM(U48:U49)</f>
        <v>4.9827263166984341</v>
      </c>
      <c r="V50" s="14">
        <f t="shared" si="28"/>
        <v>79.351106508260074</v>
      </c>
    </row>
    <row r="52" spans="1:22">
      <c r="A52" s="4" t="s">
        <v>17</v>
      </c>
    </row>
    <row r="53" spans="1:22">
      <c r="A53" s="58" t="s">
        <v>23</v>
      </c>
      <c r="B53" s="63">
        <f>B43/B12</f>
        <v>0.29130764354507682</v>
      </c>
      <c r="C53" s="63">
        <f t="shared" ref="C53:U53" si="29">C43/C12</f>
        <v>0.28121679214225209</v>
      </c>
      <c r="D53" s="63">
        <f t="shared" si="29"/>
        <v>0.28153431176521754</v>
      </c>
      <c r="E53" s="63">
        <f t="shared" si="29"/>
        <v>0.24959671389795626</v>
      </c>
      <c r="F53" s="63">
        <f t="shared" si="29"/>
        <v>0.23552319122685114</v>
      </c>
      <c r="G53" s="63">
        <f t="shared" si="29"/>
        <v>0.2922939537237339</v>
      </c>
      <c r="H53" s="63">
        <f t="shared" si="29"/>
        <v>0.26909122659028806</v>
      </c>
      <c r="I53" s="63">
        <f t="shared" si="29"/>
        <v>0.27445458092114688</v>
      </c>
      <c r="J53" s="63">
        <f t="shared" si="29"/>
        <v>0.29716350067114189</v>
      </c>
      <c r="K53" s="63">
        <f t="shared" si="29"/>
        <v>0.30256593685938066</v>
      </c>
      <c r="L53" s="63">
        <f t="shared" si="29"/>
        <v>0.31395892583657647</v>
      </c>
      <c r="M53" s="63">
        <f t="shared" si="29"/>
        <v>0.31389581814266981</v>
      </c>
      <c r="N53" s="63">
        <f t="shared" si="29"/>
        <v>0.31180453690252541</v>
      </c>
      <c r="O53" s="63">
        <f t="shared" si="29"/>
        <v>0.29907183685081867</v>
      </c>
      <c r="P53" s="63">
        <f t="shared" si="29"/>
        <v>0.30393420793638354</v>
      </c>
      <c r="Q53" s="63">
        <f t="shared" si="29"/>
        <v>0.30602870379649871</v>
      </c>
      <c r="R53" s="63">
        <f t="shared" si="29"/>
        <v>0.30563764079715577</v>
      </c>
      <c r="S53" s="63">
        <f t="shared" si="29"/>
        <v>0.30704118910509709</v>
      </c>
      <c r="T53" s="63">
        <f t="shared" si="29"/>
        <v>0.3052521550313933</v>
      </c>
      <c r="U53" s="63">
        <f t="shared" si="29"/>
        <v>0.30582530776204681</v>
      </c>
      <c r="V53" s="63">
        <f>V43/V12</f>
        <v>0.29140162766388594</v>
      </c>
    </row>
    <row r="54" spans="1:22">
      <c r="A54" s="58" t="s">
        <v>24</v>
      </c>
      <c r="B54" s="63">
        <f>B44/B18</f>
        <v>2.5746797085264731E-2</v>
      </c>
      <c r="C54" s="63">
        <f t="shared" ref="C54:V54" si="30">C44/C18</f>
        <v>4.7069487096373118E-2</v>
      </c>
      <c r="D54" s="63">
        <f t="shared" si="30"/>
        <v>6.8014520316938679E-2</v>
      </c>
      <c r="E54" s="63">
        <f t="shared" si="30"/>
        <v>9.3805438081913314E-2</v>
      </c>
      <c r="F54" s="63">
        <f t="shared" si="30"/>
        <v>0.10136140135873936</v>
      </c>
      <c r="G54" s="63">
        <f t="shared" si="30"/>
        <v>0.1144805874789095</v>
      </c>
      <c r="H54" s="63">
        <f t="shared" si="30"/>
        <v>0.12027373545517318</v>
      </c>
      <c r="I54" s="63">
        <f t="shared" si="30"/>
        <v>0.1261023333403461</v>
      </c>
      <c r="J54" s="63">
        <f t="shared" si="30"/>
        <v>0.13246341110634169</v>
      </c>
      <c r="K54" s="63">
        <f t="shared" si="30"/>
        <v>0.13929628309416475</v>
      </c>
      <c r="L54" s="63">
        <f t="shared" si="30"/>
        <v>0.14670844131600497</v>
      </c>
      <c r="M54" s="63">
        <f t="shared" si="30"/>
        <v>0.15475432181570631</v>
      </c>
      <c r="N54" s="63">
        <f t="shared" si="30"/>
        <v>0.16353852597551821</v>
      </c>
      <c r="O54" s="63">
        <f t="shared" si="30"/>
        <v>0.1731297540723972</v>
      </c>
      <c r="P54" s="63">
        <f t="shared" si="30"/>
        <v>0.18367762624390507</v>
      </c>
      <c r="Q54" s="63">
        <f t="shared" si="30"/>
        <v>0.19511264210841542</v>
      </c>
      <c r="R54" s="63">
        <f t="shared" si="30"/>
        <v>0.20766764331733459</v>
      </c>
      <c r="S54" s="63">
        <f t="shared" si="30"/>
        <v>0.22148869113895364</v>
      </c>
      <c r="T54" s="63">
        <f t="shared" si="30"/>
        <v>0.23676799131308693</v>
      </c>
      <c r="U54" s="63">
        <f t="shared" si="30"/>
        <v>0.25343947159382607</v>
      </c>
      <c r="V54" s="63">
        <f t="shared" si="30"/>
        <v>0.14135259801935238</v>
      </c>
    </row>
    <row r="56" spans="1:22">
      <c r="A56" s="4" t="s">
        <v>19</v>
      </c>
    </row>
    <row r="57" spans="1:22">
      <c r="A57" s="58" t="s">
        <v>23</v>
      </c>
      <c r="B57" s="63">
        <f>B48/B30</f>
        <v>0.16088907283812798</v>
      </c>
      <c r="C57" s="63">
        <f t="shared" ref="C57:V57" si="31">C48/C30</f>
        <v>0.15532195982611127</v>
      </c>
      <c r="D57" s="63">
        <f t="shared" si="31"/>
        <v>0.15397300189162114</v>
      </c>
      <c r="E57" s="63">
        <f t="shared" si="31"/>
        <v>0.13537249477237312</v>
      </c>
      <c r="F57" s="63">
        <f t="shared" si="31"/>
        <v>0.12837691186388911</v>
      </c>
      <c r="G57" s="63">
        <f t="shared" si="31"/>
        <v>0.17797151899513905</v>
      </c>
      <c r="H57" s="63">
        <f t="shared" si="31"/>
        <v>0.17214175968464085</v>
      </c>
      <c r="I57" s="63">
        <f t="shared" si="31"/>
        <v>0.18837996989174399</v>
      </c>
      <c r="J57" s="63">
        <f t="shared" si="31"/>
        <v>0.21933434102883403</v>
      </c>
      <c r="K57" s="63">
        <f t="shared" si="31"/>
        <v>0.2281584788408052</v>
      </c>
      <c r="L57" s="63">
        <f t="shared" si="31"/>
        <v>0.24075196048695488</v>
      </c>
      <c r="M57" s="63">
        <f t="shared" si="31"/>
        <v>0.24539968162610157</v>
      </c>
      <c r="N57" s="63">
        <f t="shared" si="31"/>
        <v>0.24666145207605555</v>
      </c>
      <c r="O57" s="63">
        <f t="shared" si="31"/>
        <v>0.23877193602779018</v>
      </c>
      <c r="P57" s="63">
        <f t="shared" si="31"/>
        <v>0.24019092469304842</v>
      </c>
      <c r="Q57" s="63">
        <f t="shared" si="31"/>
        <v>0.24286756336284804</v>
      </c>
      <c r="R57" s="63">
        <f t="shared" si="31"/>
        <v>0.24504849856056957</v>
      </c>
      <c r="S57" s="63">
        <f t="shared" si="31"/>
        <v>0.24543782898144867</v>
      </c>
      <c r="T57" s="63">
        <f t="shared" si="31"/>
        <v>0.24193667165273494</v>
      </c>
      <c r="U57" s="63">
        <f t="shared" si="31"/>
        <v>0.24312532020551203</v>
      </c>
      <c r="V57" s="63">
        <f t="shared" si="31"/>
        <v>0.19987645756417938</v>
      </c>
    </row>
    <row r="58" spans="1:22">
      <c r="A58" s="58" t="s">
        <v>24</v>
      </c>
      <c r="B58" s="63">
        <f>B49/B36</f>
        <v>3.061475180132214E-2</v>
      </c>
      <c r="C58" s="63">
        <f t="shared" ref="C58:V58" si="32">C49/C36</f>
        <v>5.7886259980708107E-2</v>
      </c>
      <c r="D58" s="63">
        <f t="shared" si="32"/>
        <v>8.5055190445446321E-2</v>
      </c>
      <c r="E58" s="63">
        <f t="shared" si="32"/>
        <v>0.11664534832086093</v>
      </c>
      <c r="F58" s="63">
        <f t="shared" si="32"/>
        <v>0.1303951750305925</v>
      </c>
      <c r="G58" s="63">
        <f t="shared" si="32"/>
        <v>0.14860179033982338</v>
      </c>
      <c r="H58" s="63">
        <f t="shared" si="32"/>
        <v>0.15631665302603148</v>
      </c>
      <c r="I58" s="63">
        <f t="shared" si="32"/>
        <v>0.16407246878394433</v>
      </c>
      <c r="J58" s="63">
        <f t="shared" si="32"/>
        <v>0.17248461422904832</v>
      </c>
      <c r="K58" s="63">
        <f t="shared" si="32"/>
        <v>0.18158475426917225</v>
      </c>
      <c r="L58" s="63">
        <f t="shared" si="32"/>
        <v>0.19145322890104258</v>
      </c>
      <c r="M58" s="63">
        <f t="shared" si="32"/>
        <v>0.20212877959058873</v>
      </c>
      <c r="N58" s="63">
        <f t="shared" si="32"/>
        <v>0.21384365797583105</v>
      </c>
      <c r="O58" s="63">
        <f t="shared" si="32"/>
        <v>0.22645885877923769</v>
      </c>
      <c r="P58" s="63">
        <f t="shared" si="32"/>
        <v>0.24024930980949055</v>
      </c>
      <c r="Q58" s="63">
        <f t="shared" si="32"/>
        <v>0.25505767406476204</v>
      </c>
      <c r="R58" s="63">
        <f t="shared" si="32"/>
        <v>0.27113801742854204</v>
      </c>
      <c r="S58" s="63">
        <f t="shared" si="32"/>
        <v>0.28857644341057193</v>
      </c>
      <c r="T58" s="63">
        <f t="shared" si="32"/>
        <v>0.30760237173148136</v>
      </c>
      <c r="U58" s="63">
        <f t="shared" si="32"/>
        <v>0.32807731457488781</v>
      </c>
      <c r="V58" s="63">
        <f t="shared" si="32"/>
        <v>0.18515120264142804</v>
      </c>
    </row>
  </sheetData>
  <pageMargins left="0.7" right="0.7" top="0.75" bottom="0.75" header="0.3" footer="0.3"/>
  <pageSetup orientation="portrait" r:id="rId1"/>
  <ignoredErrors>
    <ignoredError sqref="B45:U45 B50:U50" formulaRange="1"/>
  </ignoredErrors>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7030A0"/>
  </sheetPr>
  <dimension ref="A1:V33"/>
  <sheetViews>
    <sheetView workbookViewId="0">
      <pane ySplit="1" topLeftCell="A2" activePane="bottomLeft" state="frozen"/>
      <selection activeCell="I108" sqref="I108"/>
      <selection pane="bottomLeft" activeCell="M39" sqref="M39"/>
    </sheetView>
  </sheetViews>
  <sheetFormatPr defaultRowHeight="15"/>
  <cols>
    <col min="1" max="1" width="38.28515625" bestFit="1" customWidth="1"/>
    <col min="2" max="19" width="12.85546875" bestFit="1" customWidth="1"/>
    <col min="20" max="21" width="11.85546875" bestFit="1" customWidth="1"/>
    <col min="22" max="22" width="14.5703125" bestFit="1" customWidth="1"/>
  </cols>
  <sheetData>
    <row r="1" spans="1:22" ht="15.75">
      <c r="A1" s="7" t="s">
        <v>41</v>
      </c>
    </row>
    <row r="2" spans="1:22" ht="15.75">
      <c r="A2" s="7"/>
    </row>
    <row r="3" spans="1:22" ht="15.75">
      <c r="A3" s="7" t="s">
        <v>26</v>
      </c>
    </row>
    <row r="4" spans="1:22">
      <c r="A4" s="5" t="s">
        <v>21</v>
      </c>
      <c r="B4" s="6">
        <v>2015</v>
      </c>
      <c r="C4" s="6">
        <f>B4+1</f>
        <v>2016</v>
      </c>
      <c r="D4" s="6">
        <f t="shared" ref="D4:U4" si="0">C4+1</f>
        <v>2017</v>
      </c>
      <c r="E4" s="6">
        <f t="shared" si="0"/>
        <v>2018</v>
      </c>
      <c r="F4" s="6">
        <f t="shared" si="0"/>
        <v>2019</v>
      </c>
      <c r="G4" s="6">
        <f t="shared" si="0"/>
        <v>2020</v>
      </c>
      <c r="H4" s="6">
        <f t="shared" si="0"/>
        <v>2021</v>
      </c>
      <c r="I4" s="6">
        <f t="shared" si="0"/>
        <v>2022</v>
      </c>
      <c r="J4" s="6">
        <f t="shared" si="0"/>
        <v>2023</v>
      </c>
      <c r="K4" s="6">
        <f t="shared" si="0"/>
        <v>2024</v>
      </c>
      <c r="L4" s="6">
        <f t="shared" si="0"/>
        <v>2025</v>
      </c>
      <c r="M4" s="6">
        <f t="shared" si="0"/>
        <v>2026</v>
      </c>
      <c r="N4" s="6">
        <f t="shared" si="0"/>
        <v>2027</v>
      </c>
      <c r="O4" s="6">
        <f t="shared" si="0"/>
        <v>2028</v>
      </c>
      <c r="P4" s="6">
        <f t="shared" si="0"/>
        <v>2029</v>
      </c>
      <c r="Q4" s="6">
        <f t="shared" si="0"/>
        <v>2030</v>
      </c>
      <c r="R4" s="6">
        <f t="shared" si="0"/>
        <v>2031</v>
      </c>
      <c r="S4" s="6">
        <f t="shared" si="0"/>
        <v>2032</v>
      </c>
      <c r="T4" s="6">
        <f t="shared" si="0"/>
        <v>2033</v>
      </c>
      <c r="U4" s="6">
        <f t="shared" si="0"/>
        <v>2034</v>
      </c>
      <c r="V4" s="6" t="s">
        <v>14</v>
      </c>
    </row>
    <row r="5" spans="1:22">
      <c r="A5" s="3" t="s">
        <v>2</v>
      </c>
    </row>
    <row r="6" spans="1:22">
      <c r="A6" s="9" t="s">
        <v>8</v>
      </c>
      <c r="B6" s="67">
        <v>9513370.1220874321</v>
      </c>
      <c r="C6" s="67">
        <v>10436723.509835696</v>
      </c>
      <c r="D6" s="67">
        <v>10932707.535220908</v>
      </c>
      <c r="E6" s="67">
        <v>10820670.916502846</v>
      </c>
      <c r="F6" s="67">
        <v>10747109.863122033</v>
      </c>
      <c r="G6" s="67">
        <v>10701796.491322728</v>
      </c>
      <c r="H6" s="67">
        <v>9825288.449276723</v>
      </c>
      <c r="I6" s="67">
        <v>9816592.3888172787</v>
      </c>
      <c r="J6" s="67">
        <v>10722306.936274201</v>
      </c>
      <c r="K6" s="67">
        <v>9928529.8094244786</v>
      </c>
      <c r="L6" s="67">
        <v>9851826.9786319155</v>
      </c>
      <c r="M6" s="67">
        <v>9762392.2232419979</v>
      </c>
      <c r="N6" s="67">
        <v>9103711.9593607467</v>
      </c>
      <c r="O6" s="67">
        <v>9284883.3005855978</v>
      </c>
      <c r="P6" s="67">
        <v>8826223.4421689101</v>
      </c>
      <c r="Q6" s="67">
        <v>8235531.1525192102</v>
      </c>
      <c r="R6" s="67">
        <v>7857874.1106206365</v>
      </c>
      <c r="S6" s="67">
        <v>7535582.9240444731</v>
      </c>
      <c r="T6" s="67">
        <v>6949164.4741491154</v>
      </c>
      <c r="U6" s="67">
        <v>6653133.590126887</v>
      </c>
      <c r="V6" s="54">
        <f>SUM(B6:U6)</f>
        <v>187505420.17733377</v>
      </c>
    </row>
    <row r="7" spans="1:22">
      <c r="A7" s="10" t="s">
        <v>9</v>
      </c>
      <c r="B7" s="54">
        <v>23227021.633076221</v>
      </c>
      <c r="C7" s="54">
        <v>24560118.997173265</v>
      </c>
      <c r="D7" s="54">
        <v>25091633.387323216</v>
      </c>
      <c r="E7" s="54">
        <v>26216944.060956541</v>
      </c>
      <c r="F7" s="54">
        <v>26133143.56692145</v>
      </c>
      <c r="G7" s="54">
        <v>32408197.423648611</v>
      </c>
      <c r="H7" s="54">
        <v>29805929.91814917</v>
      </c>
      <c r="I7" s="54">
        <v>25042859.905213557</v>
      </c>
      <c r="J7" s="54">
        <v>19602912.017301582</v>
      </c>
      <c r="K7" s="54">
        <v>19050240.151740666</v>
      </c>
      <c r="L7" s="54">
        <v>17880063.245016653</v>
      </c>
      <c r="M7" s="54">
        <v>16487393.473662481</v>
      </c>
      <c r="N7" s="54">
        <v>15573522.05274043</v>
      </c>
      <c r="O7" s="54">
        <v>15013538.242700014</v>
      </c>
      <c r="P7" s="54">
        <v>13972423.305251734</v>
      </c>
      <c r="Q7" s="54">
        <v>13485279.756710956</v>
      </c>
      <c r="R7" s="54">
        <v>12610550.650539692</v>
      </c>
      <c r="S7" s="54">
        <v>11972150.947227268</v>
      </c>
      <c r="T7" s="54">
        <v>11249223.128803963</v>
      </c>
      <c r="U7" s="54">
        <v>10620303.266719004</v>
      </c>
      <c r="V7" s="54">
        <f>SUM(B7:U7)</f>
        <v>390003449.13087648</v>
      </c>
    </row>
    <row r="8" spans="1:22">
      <c r="A8" s="10" t="s">
        <v>10</v>
      </c>
      <c r="B8" s="54">
        <v>6450278.5617826888</v>
      </c>
      <c r="C8" s="54">
        <v>6558466.6796544986</v>
      </c>
      <c r="D8" s="54">
        <v>6728706.6305662645</v>
      </c>
      <c r="E8" s="54">
        <v>7312013.6251221942</v>
      </c>
      <c r="F8" s="54">
        <v>7152713.905984899</v>
      </c>
      <c r="G8" s="54">
        <v>11986066.874252593</v>
      </c>
      <c r="H8" s="54">
        <v>16750854.446887627</v>
      </c>
      <c r="I8" s="54">
        <v>19242360.114438299</v>
      </c>
      <c r="J8" s="54">
        <v>18420100.090455458</v>
      </c>
      <c r="K8" s="54">
        <v>18093243.025719326</v>
      </c>
      <c r="L8" s="54">
        <v>17365571.374537557</v>
      </c>
      <c r="M8" s="54">
        <v>17205936.061881829</v>
      </c>
      <c r="N8" s="54">
        <v>17010345.150084421</v>
      </c>
      <c r="O8" s="54">
        <v>16667255.975388031</v>
      </c>
      <c r="P8" s="54">
        <v>15819424.095129211</v>
      </c>
      <c r="Q8" s="54">
        <v>15715755.099050606</v>
      </c>
      <c r="R8" s="54">
        <v>15465241.586635593</v>
      </c>
      <c r="S8" s="54">
        <v>14967547.397233481</v>
      </c>
      <c r="T8" s="54">
        <v>14383243.028635139</v>
      </c>
      <c r="U8" s="54">
        <v>13957297.523016199</v>
      </c>
      <c r="V8" s="54">
        <f>SUM(B8:U8)</f>
        <v>277252421.24645591</v>
      </c>
    </row>
    <row r="9" spans="1:22">
      <c r="A9" s="10" t="s">
        <v>11</v>
      </c>
      <c r="B9" s="54">
        <v>2603531.3272345639</v>
      </c>
      <c r="C9" s="54">
        <v>2559650.4952140274</v>
      </c>
      <c r="D9" s="54">
        <v>3413989.2480606986</v>
      </c>
      <c r="E9" s="54">
        <v>3933341.3388673039</v>
      </c>
      <c r="F9" s="54">
        <v>4314296.607877464</v>
      </c>
      <c r="G9" s="54">
        <v>4964315.4650592245</v>
      </c>
      <c r="H9" s="54">
        <v>5195734.7822519857</v>
      </c>
      <c r="I9" s="54">
        <v>5263876.3713091081</v>
      </c>
      <c r="J9" s="54">
        <v>4858793.1356298495</v>
      </c>
      <c r="K9" s="54">
        <v>4791709.6420616144</v>
      </c>
      <c r="L9" s="54">
        <v>4734573.9539145688</v>
      </c>
      <c r="M9" s="54">
        <v>4764296.5474738916</v>
      </c>
      <c r="N9" s="54">
        <v>4649219.2683413392</v>
      </c>
      <c r="O9" s="54">
        <v>4518564.8001581794</v>
      </c>
      <c r="P9" s="54">
        <v>4392460.0094734496</v>
      </c>
      <c r="Q9" s="54">
        <v>4385236.1682936614</v>
      </c>
      <c r="R9" s="54">
        <v>4274606.0871382477</v>
      </c>
      <c r="S9" s="54">
        <v>4173585.6136371754</v>
      </c>
      <c r="T9" s="54">
        <v>4082547.5681768507</v>
      </c>
      <c r="U9" s="54">
        <v>3985755.3178631179</v>
      </c>
      <c r="V9" s="54">
        <f>SUM(B9:U9)</f>
        <v>85860083.748036325</v>
      </c>
    </row>
    <row r="10" spans="1:22">
      <c r="A10" s="2" t="s">
        <v>12</v>
      </c>
      <c r="B10" s="54">
        <v>6930005.3119763993</v>
      </c>
      <c r="C10" s="54">
        <v>6966457.5157865388</v>
      </c>
      <c r="D10" s="54">
        <v>7252312.5981543101</v>
      </c>
      <c r="E10" s="54">
        <v>7744897.3862060662</v>
      </c>
      <c r="F10" s="54">
        <v>7932600.7656294163</v>
      </c>
      <c r="G10" s="54">
        <v>8157178.8241745783</v>
      </c>
      <c r="H10" s="54">
        <v>8206617.8184117591</v>
      </c>
      <c r="I10" s="54">
        <v>8252354.0975460624</v>
      </c>
      <c r="J10" s="54">
        <v>7888413.0623014485</v>
      </c>
      <c r="K10" s="54">
        <v>7737366.9318686565</v>
      </c>
      <c r="L10" s="54">
        <v>7628048.365282245</v>
      </c>
      <c r="M10" s="54">
        <v>7581330.6695499634</v>
      </c>
      <c r="N10" s="54">
        <v>7387523.9453541972</v>
      </c>
      <c r="O10" s="54">
        <v>7107956.3290322181</v>
      </c>
      <c r="P10" s="54">
        <v>6795146.6039464409</v>
      </c>
      <c r="Q10" s="54">
        <v>6653758.94933125</v>
      </c>
      <c r="R10" s="54">
        <v>6378616.1512185177</v>
      </c>
      <c r="S10" s="54">
        <v>6137114.4526304267</v>
      </c>
      <c r="T10" s="54">
        <v>5861546.0956461299</v>
      </c>
      <c r="U10" s="54">
        <v>5630461.0780142527</v>
      </c>
      <c r="V10" s="54">
        <f t="shared" ref="V10:V11" si="1">SUM(B10:U10)</f>
        <v>144229706.95206088</v>
      </c>
    </row>
    <row r="11" spans="1:22">
      <c r="A11" s="2" t="s">
        <v>13</v>
      </c>
      <c r="B11" s="55">
        <v>2021348.5678519357</v>
      </c>
      <c r="C11" s="55">
        <v>2179134.8617784288</v>
      </c>
      <c r="D11" s="55">
        <v>2255869.1857098094</v>
      </c>
      <c r="E11" s="55">
        <v>2526464.3382567796</v>
      </c>
      <c r="F11" s="55">
        <v>2493073.3047966631</v>
      </c>
      <c r="G11" s="55">
        <v>2974965.8216039073</v>
      </c>
      <c r="H11" s="55">
        <v>3335237.641678751</v>
      </c>
      <c r="I11" s="55">
        <v>3543144.704223373</v>
      </c>
      <c r="J11" s="55">
        <v>3847051.5240020379</v>
      </c>
      <c r="K11" s="55">
        <v>3734268.1633009715</v>
      </c>
      <c r="L11" s="55">
        <v>3709482.7604330308</v>
      </c>
      <c r="M11" s="55">
        <v>3628382.2390940334</v>
      </c>
      <c r="N11" s="55">
        <v>3613353.8289290392</v>
      </c>
      <c r="O11" s="55">
        <v>3714749.2560957517</v>
      </c>
      <c r="P11" s="55">
        <v>3567469.1369416304</v>
      </c>
      <c r="Q11" s="55">
        <v>3568129.5889982181</v>
      </c>
      <c r="R11" s="55">
        <v>3455552.7004081747</v>
      </c>
      <c r="S11" s="55">
        <v>3328326.03644922</v>
      </c>
      <c r="T11" s="55">
        <v>3322220.1894896091</v>
      </c>
      <c r="U11" s="55">
        <v>3235831.6047793371</v>
      </c>
      <c r="V11" s="55">
        <f t="shared" si="1"/>
        <v>64054055.454820707</v>
      </c>
    </row>
    <row r="12" spans="1:22">
      <c r="A12" s="8" t="s">
        <v>15</v>
      </c>
      <c r="B12" s="56">
        <f>SUM(B6:B11)</f>
        <v>50745555.52400925</v>
      </c>
      <c r="C12" s="56">
        <f t="shared" ref="C12:V12" si="2">SUM(C6:C11)</f>
        <v>53260552.059442461</v>
      </c>
      <c r="D12" s="56">
        <f t="shared" si="2"/>
        <v>55675218.585035197</v>
      </c>
      <c r="E12" s="56">
        <f t="shared" si="2"/>
        <v>58554331.665911734</v>
      </c>
      <c r="F12" s="56">
        <f t="shared" si="2"/>
        <v>58772938.014331929</v>
      </c>
      <c r="G12" s="56">
        <f t="shared" si="2"/>
        <v>71192520.900061652</v>
      </c>
      <c r="H12" s="56">
        <f t="shared" si="2"/>
        <v>73119663.056656003</v>
      </c>
      <c r="I12" s="56">
        <f t="shared" si="2"/>
        <v>71161187.581547692</v>
      </c>
      <c r="J12" s="56">
        <f t="shared" si="2"/>
        <v>65339576.765964575</v>
      </c>
      <c r="K12" s="56">
        <f t="shared" si="2"/>
        <v>63335357.724115714</v>
      </c>
      <c r="L12" s="56">
        <f t="shared" si="2"/>
        <v>61169566.677815974</v>
      </c>
      <c r="M12" s="56">
        <f t="shared" si="2"/>
        <v>59429731.214904197</v>
      </c>
      <c r="N12" s="56">
        <f t="shared" si="2"/>
        <v>57337676.204810172</v>
      </c>
      <c r="O12" s="56">
        <f t="shared" si="2"/>
        <v>56306947.903959796</v>
      </c>
      <c r="P12" s="56">
        <f t="shared" si="2"/>
        <v>53373146.592911378</v>
      </c>
      <c r="Q12" s="56">
        <f t="shared" si="2"/>
        <v>52043690.714903899</v>
      </c>
      <c r="R12" s="56">
        <f t="shared" si="2"/>
        <v>50042441.286560863</v>
      </c>
      <c r="S12" s="56">
        <f t="shared" si="2"/>
        <v>48114307.371222049</v>
      </c>
      <c r="T12" s="56">
        <f t="shared" si="2"/>
        <v>45847944.484900802</v>
      </c>
      <c r="U12" s="56">
        <f t="shared" si="2"/>
        <v>44082782.380518802</v>
      </c>
      <c r="V12" s="56">
        <f t="shared" si="2"/>
        <v>1148905136.709584</v>
      </c>
    </row>
    <row r="13" spans="1:22">
      <c r="B13" s="54"/>
      <c r="C13" s="54"/>
      <c r="D13" s="54"/>
      <c r="E13" s="54"/>
      <c r="F13" s="54"/>
      <c r="G13" s="54"/>
      <c r="H13" s="54"/>
      <c r="I13" s="54"/>
      <c r="J13" s="54"/>
      <c r="K13" s="54"/>
      <c r="L13" s="54"/>
      <c r="M13" s="54"/>
      <c r="N13" s="54"/>
      <c r="O13" s="54"/>
      <c r="P13" s="54"/>
      <c r="Q13" s="54"/>
      <c r="R13" s="54"/>
      <c r="S13" s="54"/>
      <c r="T13" s="54"/>
      <c r="U13" s="54"/>
      <c r="V13" s="54"/>
    </row>
    <row r="14" spans="1:22">
      <c r="A14" s="3" t="s">
        <v>3</v>
      </c>
      <c r="B14" s="54"/>
      <c r="C14" s="54"/>
      <c r="D14" s="54"/>
      <c r="E14" s="54"/>
      <c r="F14" s="54"/>
      <c r="G14" s="54"/>
      <c r="H14" s="54"/>
      <c r="I14" s="54"/>
      <c r="J14" s="54"/>
      <c r="K14" s="54"/>
      <c r="L14" s="54"/>
      <c r="M14" s="54"/>
      <c r="N14" s="54"/>
      <c r="O14" s="54"/>
      <c r="P14" s="54"/>
      <c r="Q14" s="54"/>
      <c r="R14" s="54"/>
      <c r="S14" s="54"/>
      <c r="T14" s="54"/>
      <c r="U14" s="54"/>
      <c r="V14" s="54"/>
    </row>
    <row r="15" spans="1:22">
      <c r="A15" s="2" t="s">
        <v>7</v>
      </c>
      <c r="B15" s="54">
        <v>13755946.868711056</v>
      </c>
      <c r="C15" s="54">
        <v>14780788.314304212</v>
      </c>
      <c r="D15" s="54">
        <v>15173822.351033628</v>
      </c>
      <c r="E15" s="54">
        <v>13553620.417156927</v>
      </c>
      <c r="F15" s="54">
        <v>14012421.412064876</v>
      </c>
      <c r="G15" s="54">
        <v>14052135.074724242</v>
      </c>
      <c r="H15" s="54">
        <v>13378023.468047973</v>
      </c>
      <c r="I15" s="54">
        <v>12623192.233016165</v>
      </c>
      <c r="J15" s="54">
        <v>11794333.376274088</v>
      </c>
      <c r="K15" s="54">
        <v>11221709.581180032</v>
      </c>
      <c r="L15" s="54">
        <v>10762701.962985244</v>
      </c>
      <c r="M15" s="54">
        <v>10346024.87658637</v>
      </c>
      <c r="N15" s="54">
        <v>10181321.278016338</v>
      </c>
      <c r="O15" s="54">
        <v>9802127.4863974359</v>
      </c>
      <c r="P15" s="54">
        <v>9461586.5168308169</v>
      </c>
      <c r="Q15" s="54">
        <v>9078603.8294639029</v>
      </c>
      <c r="R15" s="54">
        <v>8671795.8811627794</v>
      </c>
      <c r="S15" s="54">
        <v>8185543.1995831048</v>
      </c>
      <c r="T15" s="54">
        <v>7692561.267674759</v>
      </c>
      <c r="U15" s="54">
        <v>7199651.8722390924</v>
      </c>
      <c r="V15" s="54">
        <f>SUM(B15:U15)</f>
        <v>225727911.2674531</v>
      </c>
    </row>
    <row r="16" spans="1:22">
      <c r="A16" s="2" t="s">
        <v>6</v>
      </c>
      <c r="B16" s="54">
        <v>23560147.25245798</v>
      </c>
      <c r="C16" s="54">
        <v>24600863.406006351</v>
      </c>
      <c r="D16" s="54">
        <v>25077468.547403969</v>
      </c>
      <c r="E16" s="54">
        <v>22913970.298156057</v>
      </c>
      <c r="F16" s="54">
        <v>22821391.461287174</v>
      </c>
      <c r="G16" s="54">
        <v>22363773.549680322</v>
      </c>
      <c r="H16" s="54">
        <v>21107419.586111579</v>
      </c>
      <c r="I16" s="54">
        <v>19785640.426750217</v>
      </c>
      <c r="J16" s="54">
        <v>18439380.56277791</v>
      </c>
      <c r="K16" s="54">
        <v>17474229.237154942</v>
      </c>
      <c r="L16" s="54">
        <v>16668260.988452194</v>
      </c>
      <c r="M16" s="54">
        <v>15926483.223629013</v>
      </c>
      <c r="N16" s="54">
        <v>15535802.519396536</v>
      </c>
      <c r="O16" s="54">
        <v>14949290.494371297</v>
      </c>
      <c r="P16" s="54">
        <v>14426660.618237527</v>
      </c>
      <c r="Q16" s="54">
        <v>13842402.535711465</v>
      </c>
      <c r="R16" s="54">
        <v>13221301.227038583</v>
      </c>
      <c r="S16" s="54">
        <v>12478631.284046281</v>
      </c>
      <c r="T16" s="54">
        <v>11728098.233440299</v>
      </c>
      <c r="U16" s="54">
        <v>10977520.647748653</v>
      </c>
      <c r="V16" s="54">
        <f>SUM(B16:U16)</f>
        <v>357898736.09985834</v>
      </c>
    </row>
    <row r="17" spans="1:22">
      <c r="A17" s="2" t="s">
        <v>5</v>
      </c>
      <c r="B17" s="55">
        <v>37163818.918215662</v>
      </c>
      <c r="C17" s="55">
        <v>39490502.530758724</v>
      </c>
      <c r="D17" s="55">
        <v>41863353.044957399</v>
      </c>
      <c r="E17" s="55">
        <v>47110193.690366276</v>
      </c>
      <c r="F17" s="55">
        <v>50364559.574335098</v>
      </c>
      <c r="G17" s="55">
        <v>48517604.263381653</v>
      </c>
      <c r="H17" s="55">
        <v>44532012.561117999</v>
      </c>
      <c r="I17" s="55">
        <v>43686842.645874485</v>
      </c>
      <c r="J17" s="55">
        <v>42970786.615837574</v>
      </c>
      <c r="K17" s="55">
        <v>41713293.62901257</v>
      </c>
      <c r="L17" s="55">
        <v>40388615.442770705</v>
      </c>
      <c r="M17" s="55">
        <v>39041416.133100778</v>
      </c>
      <c r="N17" s="55">
        <v>37215822.933556117</v>
      </c>
      <c r="O17" s="55">
        <v>35815703.394243099</v>
      </c>
      <c r="P17" s="55">
        <v>34299636.424468726</v>
      </c>
      <c r="Q17" s="55">
        <v>32761668.676043436</v>
      </c>
      <c r="R17" s="55">
        <v>31268651.612398487</v>
      </c>
      <c r="S17" s="55">
        <v>29920708.218304299</v>
      </c>
      <c r="T17" s="55">
        <v>28538655.259299874</v>
      </c>
      <c r="U17" s="55">
        <v>27149630.366826475</v>
      </c>
      <c r="V17" s="55">
        <f>SUM(B17:U17)</f>
        <v>773813475.93486953</v>
      </c>
    </row>
    <row r="18" spans="1:22">
      <c r="A18" s="8" t="s">
        <v>16</v>
      </c>
      <c r="B18" s="56">
        <f>SUM(B15:B17)</f>
        <v>74479913.039384693</v>
      </c>
      <c r="C18" s="56">
        <f t="shared" ref="C18:V18" si="3">SUM(C15:C17)</f>
        <v>78872154.251069278</v>
      </c>
      <c r="D18" s="56">
        <f t="shared" si="3"/>
        <v>82114643.943394989</v>
      </c>
      <c r="E18" s="56">
        <f t="shared" si="3"/>
        <v>83577784.405679256</v>
      </c>
      <c r="F18" s="56">
        <f t="shared" si="3"/>
        <v>87198372.447687149</v>
      </c>
      <c r="G18" s="56">
        <f t="shared" si="3"/>
        <v>84933512.88778621</v>
      </c>
      <c r="H18" s="56">
        <f t="shared" si="3"/>
        <v>79017455.615277559</v>
      </c>
      <c r="I18" s="56">
        <f t="shared" si="3"/>
        <v>76095675.305640876</v>
      </c>
      <c r="J18" s="56">
        <f t="shared" si="3"/>
        <v>73204500.554889575</v>
      </c>
      <c r="K18" s="56">
        <f t="shared" si="3"/>
        <v>70409232.447347552</v>
      </c>
      <c r="L18" s="56">
        <f t="shared" si="3"/>
        <v>67819578.394208133</v>
      </c>
      <c r="M18" s="56">
        <f t="shared" si="3"/>
        <v>65313924.233316161</v>
      </c>
      <c r="N18" s="56">
        <f t="shared" si="3"/>
        <v>62932946.730968989</v>
      </c>
      <c r="O18" s="56">
        <f t="shared" si="3"/>
        <v>60567121.375011832</v>
      </c>
      <c r="P18" s="56">
        <f t="shared" si="3"/>
        <v>58187883.559537068</v>
      </c>
      <c r="Q18" s="56">
        <f t="shared" si="3"/>
        <v>55682675.041218802</v>
      </c>
      <c r="R18" s="56">
        <f t="shared" si="3"/>
        <v>53161748.720599845</v>
      </c>
      <c r="S18" s="56">
        <f t="shared" si="3"/>
        <v>50584882.701933682</v>
      </c>
      <c r="T18" s="56">
        <f t="shared" si="3"/>
        <v>47959314.760414928</v>
      </c>
      <c r="U18" s="56">
        <f t="shared" si="3"/>
        <v>45326802.886814222</v>
      </c>
      <c r="V18" s="56">
        <f t="shared" si="3"/>
        <v>1357440123.302181</v>
      </c>
    </row>
    <row r="19" spans="1:22">
      <c r="A19" s="8"/>
      <c r="B19" s="54"/>
      <c r="C19" s="54"/>
      <c r="D19" s="54"/>
      <c r="E19" s="54"/>
      <c r="F19" s="54"/>
      <c r="G19" s="54"/>
      <c r="H19" s="54"/>
      <c r="I19" s="54"/>
      <c r="J19" s="54"/>
      <c r="K19" s="54"/>
      <c r="L19" s="54"/>
      <c r="M19" s="54"/>
      <c r="N19" s="54"/>
      <c r="O19" s="54"/>
      <c r="P19" s="54"/>
      <c r="Q19" s="54"/>
      <c r="R19" s="54"/>
      <c r="S19" s="54"/>
      <c r="T19" s="54"/>
      <c r="U19" s="54"/>
      <c r="V19" s="54"/>
    </row>
    <row r="20" spans="1:22" s="4" customFormat="1">
      <c r="A20" s="3" t="s">
        <v>4</v>
      </c>
      <c r="B20" s="56">
        <f>B12+B18</f>
        <v>125225468.56339395</v>
      </c>
      <c r="C20" s="56">
        <f t="shared" ref="C20:V20" si="4">C12+C18</f>
        <v>132132706.31051174</v>
      </c>
      <c r="D20" s="56">
        <f t="shared" si="4"/>
        <v>137789862.52843019</v>
      </c>
      <c r="E20" s="56">
        <f t="shared" si="4"/>
        <v>142132116.07159099</v>
      </c>
      <c r="F20" s="56">
        <f t="shared" si="4"/>
        <v>145971310.46201909</v>
      </c>
      <c r="G20" s="56">
        <f t="shared" si="4"/>
        <v>156126033.78784788</v>
      </c>
      <c r="H20" s="56">
        <f t="shared" si="4"/>
        <v>152137118.67193356</v>
      </c>
      <c r="I20" s="56">
        <f t="shared" si="4"/>
        <v>147256862.88718855</v>
      </c>
      <c r="J20" s="56">
        <f t="shared" si="4"/>
        <v>138544077.32085416</v>
      </c>
      <c r="K20" s="56">
        <f t="shared" si="4"/>
        <v>133744590.17146327</v>
      </c>
      <c r="L20" s="56">
        <f t="shared" si="4"/>
        <v>128989145.07202411</v>
      </c>
      <c r="M20" s="56">
        <f t="shared" si="4"/>
        <v>124743655.44822036</v>
      </c>
      <c r="N20" s="56">
        <f t="shared" si="4"/>
        <v>120270622.93577915</v>
      </c>
      <c r="O20" s="56">
        <f t="shared" si="4"/>
        <v>116874069.27897163</v>
      </c>
      <c r="P20" s="56">
        <f t="shared" si="4"/>
        <v>111561030.15244845</v>
      </c>
      <c r="Q20" s="56">
        <f t="shared" si="4"/>
        <v>107726365.75612271</v>
      </c>
      <c r="R20" s="56">
        <f t="shared" si="4"/>
        <v>103204190.00716071</v>
      </c>
      <c r="S20" s="56">
        <f t="shared" si="4"/>
        <v>98699190.073155731</v>
      </c>
      <c r="T20" s="56">
        <f t="shared" si="4"/>
        <v>93807259.245315731</v>
      </c>
      <c r="U20" s="56">
        <f t="shared" si="4"/>
        <v>89409585.267333031</v>
      </c>
      <c r="V20" s="56">
        <f t="shared" si="4"/>
        <v>2506345260.011765</v>
      </c>
    </row>
    <row r="21" spans="1:22">
      <c r="A21" s="1"/>
      <c r="B21" s="54"/>
      <c r="C21" s="54"/>
      <c r="D21" s="54"/>
      <c r="E21" s="54"/>
      <c r="F21" s="54"/>
      <c r="G21" s="54"/>
      <c r="H21" s="54"/>
      <c r="I21" s="54"/>
      <c r="J21" s="54"/>
      <c r="K21" s="54"/>
      <c r="L21" s="54"/>
      <c r="M21" s="54"/>
      <c r="N21" s="54"/>
      <c r="O21" s="54"/>
      <c r="P21" s="54"/>
      <c r="Q21" s="54"/>
      <c r="R21" s="54"/>
      <c r="S21" s="54"/>
      <c r="T21" s="54"/>
      <c r="U21" s="54"/>
      <c r="V21" s="54"/>
    </row>
    <row r="22" spans="1:22">
      <c r="A22" s="57" t="s">
        <v>22</v>
      </c>
      <c r="B22" s="54"/>
      <c r="C22" s="54"/>
      <c r="D22" s="54"/>
      <c r="E22" s="54"/>
      <c r="F22" s="54"/>
      <c r="G22" s="54"/>
      <c r="H22" s="54"/>
      <c r="I22" s="54"/>
      <c r="J22" s="54"/>
      <c r="K22" s="54"/>
      <c r="L22" s="54"/>
      <c r="M22" s="54"/>
      <c r="N22" s="54"/>
      <c r="O22" s="54"/>
      <c r="P22" s="54"/>
      <c r="Q22" s="54"/>
      <c r="R22" s="54"/>
      <c r="S22" s="54"/>
      <c r="T22" s="54"/>
      <c r="U22" s="54"/>
      <c r="V22" s="54"/>
    </row>
    <row r="23" spans="1:22">
      <c r="A23" s="57"/>
      <c r="B23" s="54"/>
      <c r="C23" s="54"/>
      <c r="D23" s="54"/>
      <c r="E23" s="54"/>
      <c r="F23" s="54"/>
      <c r="G23" s="54"/>
      <c r="H23" s="54"/>
      <c r="I23" s="54"/>
      <c r="J23" s="54"/>
      <c r="K23" s="54"/>
      <c r="L23" s="54"/>
      <c r="M23" s="54"/>
      <c r="N23" s="54"/>
      <c r="O23" s="54"/>
      <c r="P23" s="54"/>
      <c r="Q23" s="54"/>
      <c r="R23" s="54"/>
      <c r="S23" s="54"/>
      <c r="T23" s="54"/>
      <c r="U23" s="54"/>
      <c r="V23" s="54"/>
    </row>
    <row r="24" spans="1:22" ht="15.75">
      <c r="A24" s="68" t="s">
        <v>31</v>
      </c>
    </row>
    <row r="25" spans="1:22">
      <c r="A25" s="5" t="s">
        <v>21</v>
      </c>
      <c r="B25" s="6">
        <v>2015</v>
      </c>
      <c r="C25" s="6">
        <f>B25+1</f>
        <v>2016</v>
      </c>
      <c r="D25" s="6">
        <f t="shared" ref="D25:U25" si="5">C25+1</f>
        <v>2017</v>
      </c>
      <c r="E25" s="6">
        <f t="shared" si="5"/>
        <v>2018</v>
      </c>
      <c r="F25" s="6">
        <f t="shared" si="5"/>
        <v>2019</v>
      </c>
      <c r="G25" s="6">
        <f t="shared" si="5"/>
        <v>2020</v>
      </c>
      <c r="H25" s="6">
        <f t="shared" si="5"/>
        <v>2021</v>
      </c>
      <c r="I25" s="6">
        <f t="shared" si="5"/>
        <v>2022</v>
      </c>
      <c r="J25" s="6">
        <f t="shared" si="5"/>
        <v>2023</v>
      </c>
      <c r="K25" s="6">
        <f t="shared" si="5"/>
        <v>2024</v>
      </c>
      <c r="L25" s="6">
        <f t="shared" si="5"/>
        <v>2025</v>
      </c>
      <c r="M25" s="6">
        <f t="shared" si="5"/>
        <v>2026</v>
      </c>
      <c r="N25" s="6">
        <f t="shared" si="5"/>
        <v>2027</v>
      </c>
      <c r="O25" s="6">
        <f t="shared" si="5"/>
        <v>2028</v>
      </c>
      <c r="P25" s="6">
        <f t="shared" si="5"/>
        <v>2029</v>
      </c>
      <c r="Q25" s="6">
        <f t="shared" si="5"/>
        <v>2030</v>
      </c>
      <c r="R25" s="6">
        <f t="shared" si="5"/>
        <v>2031</v>
      </c>
      <c r="S25" s="6">
        <f t="shared" si="5"/>
        <v>2032</v>
      </c>
      <c r="T25" s="6">
        <f t="shared" si="5"/>
        <v>2033</v>
      </c>
      <c r="U25" s="6">
        <f t="shared" si="5"/>
        <v>2034</v>
      </c>
      <c r="V25" s="6" t="s">
        <v>14</v>
      </c>
    </row>
    <row r="26" spans="1:22">
      <c r="A26" s="10" t="s">
        <v>2</v>
      </c>
      <c r="B26" s="54">
        <v>3872288.8030665652</v>
      </c>
      <c r="C26" s="54">
        <v>3822597.545763318</v>
      </c>
      <c r="D26" s="54">
        <v>3833376.9490276361</v>
      </c>
      <c r="E26" s="54">
        <v>4039726.3536970052</v>
      </c>
      <c r="F26" s="54">
        <v>3895017.7727837721</v>
      </c>
      <c r="G26" s="54">
        <v>4192391.1083614449</v>
      </c>
      <c r="H26" s="54">
        <v>4089795.3243580544</v>
      </c>
      <c r="I26" s="54">
        <v>3954517.3449564097</v>
      </c>
      <c r="J26" s="54">
        <v>3826014.3948357096</v>
      </c>
      <c r="K26" s="54">
        <v>3743017.0694113998</v>
      </c>
      <c r="L26" s="54">
        <v>3657389.0011989484</v>
      </c>
      <c r="M26" s="54">
        <v>3532517.8321473277</v>
      </c>
      <c r="N26" s="54">
        <v>3368008.6670268131</v>
      </c>
      <c r="O26" s="54">
        <v>3090066.339413445</v>
      </c>
      <c r="P26" s="54">
        <v>2908378.3066422134</v>
      </c>
      <c r="Q26" s="54">
        <v>2832254.7111487966</v>
      </c>
      <c r="R26" s="54">
        <v>2689328.6132050897</v>
      </c>
      <c r="S26" s="54">
        <v>2552748.2005394432</v>
      </c>
      <c r="T26" s="54">
        <v>2384574.7640815126</v>
      </c>
      <c r="U26" s="54">
        <v>2281658.5441336595</v>
      </c>
      <c r="V26" s="54">
        <f>SUM(B26:U26)</f>
        <v>68565667.645798549</v>
      </c>
    </row>
    <row r="27" spans="1:22">
      <c r="A27" s="10" t="s">
        <v>3</v>
      </c>
      <c r="B27" s="55">
        <v>175955.07159675349</v>
      </c>
      <c r="C27" s="55">
        <v>332429.72380434693</v>
      </c>
      <c r="D27" s="55">
        <v>499565.74748387118</v>
      </c>
      <c r="E27" s="55">
        <v>725612.28617898538</v>
      </c>
      <c r="F27" s="55">
        <v>858267.77394772286</v>
      </c>
      <c r="G27" s="55">
        <v>1063446.2437849285</v>
      </c>
      <c r="H27" s="55">
        <v>1108412.9141703283</v>
      </c>
      <c r="I27" s="55">
        <v>1126741.6254046196</v>
      </c>
      <c r="J27" s="55">
        <v>1157009.2420674746</v>
      </c>
      <c r="K27" s="55">
        <v>1177686.9834901267</v>
      </c>
      <c r="L27" s="55">
        <v>1214267.9045737679</v>
      </c>
      <c r="M27" s="55">
        <v>1242943.6639539825</v>
      </c>
      <c r="N27" s="55">
        <v>1280224.6193459632</v>
      </c>
      <c r="O27" s="55">
        <v>1316193.4671133256</v>
      </c>
      <c r="P27" s="55">
        <v>1358783.5308955465</v>
      </c>
      <c r="Q27" s="55">
        <v>1400659.5395301087</v>
      </c>
      <c r="R27" s="55">
        <v>1446675.2486345547</v>
      </c>
      <c r="S27" s="55">
        <v>1496996.0707914121</v>
      </c>
      <c r="T27" s="55">
        <v>1551964.380490548</v>
      </c>
      <c r="U27" s="55">
        <v>1611488.4508898377</v>
      </c>
      <c r="V27" s="55">
        <f>SUM(B27:U27)</f>
        <v>22145324.488148205</v>
      </c>
    </row>
    <row r="28" spans="1:22">
      <c r="A28" s="10" t="s">
        <v>4</v>
      </c>
      <c r="B28" s="56">
        <f>SUM(B26:B27)</f>
        <v>4048243.8746633185</v>
      </c>
      <c r="C28" s="56">
        <f t="shared" ref="C28:V28" si="6">SUM(C26:C27)</f>
        <v>4155027.2695676647</v>
      </c>
      <c r="D28" s="56">
        <f t="shared" si="6"/>
        <v>4332942.696511507</v>
      </c>
      <c r="E28" s="56">
        <f t="shared" si="6"/>
        <v>4765338.6398759903</v>
      </c>
      <c r="F28" s="56">
        <f t="shared" si="6"/>
        <v>4753285.5467314953</v>
      </c>
      <c r="G28" s="56">
        <f t="shared" si="6"/>
        <v>5255837.3521463731</v>
      </c>
      <c r="H28" s="56">
        <f t="shared" si="6"/>
        <v>5198208.238528383</v>
      </c>
      <c r="I28" s="56">
        <f t="shared" si="6"/>
        <v>5081258.9703610297</v>
      </c>
      <c r="J28" s="56">
        <f t="shared" si="6"/>
        <v>4983023.6369031845</v>
      </c>
      <c r="K28" s="56">
        <f t="shared" si="6"/>
        <v>4920704.0529015269</v>
      </c>
      <c r="L28" s="56">
        <f t="shared" si="6"/>
        <v>4871656.9057727158</v>
      </c>
      <c r="M28" s="56">
        <f t="shared" si="6"/>
        <v>4775461.4961013105</v>
      </c>
      <c r="N28" s="56">
        <f t="shared" si="6"/>
        <v>4648233.2863727761</v>
      </c>
      <c r="O28" s="56">
        <f t="shared" si="6"/>
        <v>4406259.8065267708</v>
      </c>
      <c r="P28" s="56">
        <f t="shared" si="6"/>
        <v>4267161.8375377599</v>
      </c>
      <c r="Q28" s="56">
        <f t="shared" si="6"/>
        <v>4232914.2506789053</v>
      </c>
      <c r="R28" s="56">
        <f t="shared" si="6"/>
        <v>4136003.8618396446</v>
      </c>
      <c r="S28" s="56">
        <f t="shared" si="6"/>
        <v>4049744.2713308553</v>
      </c>
      <c r="T28" s="56">
        <f t="shared" si="6"/>
        <v>3936539.1445720606</v>
      </c>
      <c r="U28" s="56">
        <f t="shared" si="6"/>
        <v>3893146.9950234974</v>
      </c>
      <c r="V28" s="56">
        <f t="shared" si="6"/>
        <v>90710992.133946747</v>
      </c>
    </row>
    <row r="29" spans="1:22">
      <c r="A29" s="1"/>
      <c r="B29" s="54"/>
      <c r="C29" s="54"/>
      <c r="D29" s="54"/>
      <c r="E29" s="54"/>
      <c r="F29" s="54"/>
      <c r="G29" s="54"/>
      <c r="H29" s="54"/>
      <c r="I29" s="54"/>
      <c r="J29" s="54"/>
      <c r="K29" s="54"/>
      <c r="L29" s="54"/>
      <c r="M29" s="54"/>
      <c r="N29" s="54"/>
      <c r="O29" s="54"/>
      <c r="P29" s="54"/>
      <c r="Q29" s="54"/>
      <c r="R29" s="54"/>
      <c r="S29" s="54"/>
      <c r="T29" s="54"/>
      <c r="U29" s="54"/>
      <c r="V29" s="54"/>
    </row>
    <row r="30" spans="1:22">
      <c r="A30" s="57" t="s">
        <v>22</v>
      </c>
      <c r="B30" s="54"/>
      <c r="C30" s="54"/>
      <c r="D30" s="54"/>
      <c r="E30" s="54"/>
      <c r="F30" s="54"/>
      <c r="G30" s="54"/>
      <c r="H30" s="54"/>
      <c r="I30" s="54"/>
      <c r="J30" s="54"/>
      <c r="K30" s="54"/>
      <c r="L30" s="54"/>
      <c r="M30" s="54"/>
      <c r="N30" s="54"/>
      <c r="O30" s="54"/>
      <c r="P30" s="54"/>
      <c r="Q30" s="54"/>
      <c r="R30" s="54"/>
      <c r="S30" s="54"/>
      <c r="T30" s="54"/>
      <c r="U30" s="54"/>
      <c r="V30" s="54"/>
    </row>
    <row r="31" spans="1:22">
      <c r="A31" s="1"/>
    </row>
    <row r="32" spans="1:22">
      <c r="A32" s="58" t="s">
        <v>23</v>
      </c>
      <c r="B32" s="63">
        <f>B26/B12</f>
        <v>7.6307939938394576E-2</v>
      </c>
      <c r="C32" s="63">
        <f t="shared" ref="C32:V32" si="7">C26/C12</f>
        <v>7.1771647081258841E-2</v>
      </c>
      <c r="D32" s="63">
        <f t="shared" si="7"/>
        <v>6.8852481345407779E-2</v>
      </c>
      <c r="E32" s="63">
        <f t="shared" si="7"/>
        <v>6.8991076129877357E-2</v>
      </c>
      <c r="F32" s="63">
        <f t="shared" si="7"/>
        <v>6.6272299877776442E-2</v>
      </c>
      <c r="G32" s="63">
        <f t="shared" si="7"/>
        <v>5.8888083401999809E-2</v>
      </c>
      <c r="H32" s="63">
        <f t="shared" si="7"/>
        <v>5.5932907146865808E-2</v>
      </c>
      <c r="I32" s="63">
        <f t="shared" si="7"/>
        <v>5.5571266857016702E-2</v>
      </c>
      <c r="J32" s="63">
        <f t="shared" si="7"/>
        <v>5.8555849061279544E-2</v>
      </c>
      <c r="K32" s="63">
        <f t="shared" si="7"/>
        <v>5.909838049254753E-2</v>
      </c>
      <c r="L32" s="63">
        <f t="shared" si="7"/>
        <v>5.9790990844559203E-2</v>
      </c>
      <c r="M32" s="63">
        <f t="shared" si="7"/>
        <v>5.9440245815236305E-2</v>
      </c>
      <c r="N32" s="63">
        <f t="shared" si="7"/>
        <v>5.8739887800759255E-2</v>
      </c>
      <c r="O32" s="63">
        <f t="shared" si="7"/>
        <v>5.4878952854699757E-2</v>
      </c>
      <c r="P32" s="63">
        <f t="shared" si="7"/>
        <v>5.4491415483240074E-2</v>
      </c>
      <c r="Q32" s="63">
        <f t="shared" si="7"/>
        <v>5.4420712140957284E-2</v>
      </c>
      <c r="R32" s="63">
        <f t="shared" si="7"/>
        <v>5.3740955558203789E-2</v>
      </c>
      <c r="S32" s="63">
        <f t="shared" si="7"/>
        <v>5.3055906652545587E-2</v>
      </c>
      <c r="T32" s="63">
        <f t="shared" si="7"/>
        <v>5.2010505397179357E-2</v>
      </c>
      <c r="U32" s="63">
        <f t="shared" si="7"/>
        <v>5.1758496649294466E-2</v>
      </c>
      <c r="V32" s="63">
        <f t="shared" si="7"/>
        <v>5.9679137515363315E-2</v>
      </c>
    </row>
    <row r="33" spans="1:22">
      <c r="A33" s="58" t="s">
        <v>24</v>
      </c>
      <c r="B33" s="63">
        <f>B27/B18</f>
        <v>2.3624500139213258E-3</v>
      </c>
      <c r="C33" s="63">
        <f t="shared" ref="C33:V33" si="8">C27/C18</f>
        <v>4.2147919878813269E-3</v>
      </c>
      <c r="D33" s="63">
        <f t="shared" si="8"/>
        <v>6.0837595280598487E-3</v>
      </c>
      <c r="E33" s="63">
        <f t="shared" si="8"/>
        <v>8.6818798959413281E-3</v>
      </c>
      <c r="F33" s="63">
        <f t="shared" si="8"/>
        <v>9.8427040534801585E-3</v>
      </c>
      <c r="G33" s="63">
        <f t="shared" si="8"/>
        <v>1.2520926164798447E-2</v>
      </c>
      <c r="H33" s="63">
        <f t="shared" si="8"/>
        <v>1.4027443753276501E-2</v>
      </c>
      <c r="I33" s="63">
        <f t="shared" si="8"/>
        <v>1.4806907500052051E-2</v>
      </c>
      <c r="J33" s="63">
        <f t="shared" si="8"/>
        <v>1.5805165437880912E-2</v>
      </c>
      <c r="K33" s="63">
        <f t="shared" si="8"/>
        <v>1.6726314753833002E-2</v>
      </c>
      <c r="L33" s="63">
        <f t="shared" si="8"/>
        <v>1.7904385921064171E-2</v>
      </c>
      <c r="M33" s="63">
        <f t="shared" si="8"/>
        <v>1.9030301402713237E-2</v>
      </c>
      <c r="N33" s="63">
        <f t="shared" si="8"/>
        <v>2.0342677180186307E-2</v>
      </c>
      <c r="O33" s="63">
        <f t="shared" si="8"/>
        <v>2.1731154415675222E-2</v>
      </c>
      <c r="P33" s="63">
        <f t="shared" si="8"/>
        <v>2.3351657557801657E-2</v>
      </c>
      <c r="Q33" s="63">
        <f t="shared" si="8"/>
        <v>2.5154314847361015E-2</v>
      </c>
      <c r="R33" s="63">
        <f t="shared" si="8"/>
        <v>2.7212709955005243E-2</v>
      </c>
      <c r="S33" s="63">
        <f t="shared" si="8"/>
        <v>2.959374403638159E-2</v>
      </c>
      <c r="T33" s="63">
        <f t="shared" si="8"/>
        <v>3.2360019909448784E-2</v>
      </c>
      <c r="U33" s="63">
        <f t="shared" si="8"/>
        <v>3.5552660859710164E-2</v>
      </c>
      <c r="V33" s="63">
        <f t="shared" si="8"/>
        <v>1.6314034120544715E-2</v>
      </c>
    </row>
  </sheetData>
  <pageMargins left="0.7" right="0.7" top="0.75" bottom="0.75" header="0.3" footer="0.3"/>
  <pageSetup orientation="portrait" r:id="rId1"/>
  <ignoredErrors>
    <ignoredError sqref="B28" formulaRange="1"/>
  </ignoredErrors>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7030A0"/>
  </sheetPr>
  <dimension ref="A1:V80"/>
  <sheetViews>
    <sheetView topLeftCell="I1" workbookViewId="0">
      <pane ySplit="1" topLeftCell="A38" activePane="bottomLeft" state="frozen"/>
      <selection activeCell="I108" sqref="I108"/>
      <selection pane="bottomLeft" activeCell="E56" sqref="E56:U56"/>
    </sheetView>
  </sheetViews>
  <sheetFormatPr defaultRowHeight="15"/>
  <cols>
    <col min="1" max="1" width="43.28515625" customWidth="1"/>
    <col min="2" max="21" width="11.85546875" bestFit="1" customWidth="1"/>
    <col min="22" max="22" width="14.5703125" bestFit="1" customWidth="1"/>
  </cols>
  <sheetData>
    <row r="1" spans="1:22" ht="15.75">
      <c r="A1" s="7" t="s">
        <v>41</v>
      </c>
    </row>
    <row r="2" spans="1:22" ht="15.75">
      <c r="A2" s="7"/>
    </row>
    <row r="3" spans="1:22" ht="15.75">
      <c r="A3" s="7" t="s">
        <v>26</v>
      </c>
    </row>
    <row r="4" spans="1:22">
      <c r="A4" s="28" t="s">
        <v>36</v>
      </c>
      <c r="B4" s="29">
        <v>2015</v>
      </c>
      <c r="C4" s="29">
        <f>B4+1</f>
        <v>2016</v>
      </c>
      <c r="D4" s="29">
        <f t="shared" ref="D4:U4" si="0">C4+1</f>
        <v>2017</v>
      </c>
      <c r="E4" s="29">
        <f t="shared" si="0"/>
        <v>2018</v>
      </c>
      <c r="F4" s="29">
        <f t="shared" si="0"/>
        <v>2019</v>
      </c>
      <c r="G4" s="29">
        <f t="shared" si="0"/>
        <v>2020</v>
      </c>
      <c r="H4" s="29">
        <f t="shared" si="0"/>
        <v>2021</v>
      </c>
      <c r="I4" s="29">
        <f t="shared" si="0"/>
        <v>2022</v>
      </c>
      <c r="J4" s="29">
        <f t="shared" si="0"/>
        <v>2023</v>
      </c>
      <c r="K4" s="29">
        <f t="shared" si="0"/>
        <v>2024</v>
      </c>
      <c r="L4" s="29">
        <f t="shared" si="0"/>
        <v>2025</v>
      </c>
      <c r="M4" s="29">
        <f t="shared" si="0"/>
        <v>2026</v>
      </c>
      <c r="N4" s="29">
        <f t="shared" si="0"/>
        <v>2027</v>
      </c>
      <c r="O4" s="29">
        <f t="shared" si="0"/>
        <v>2028</v>
      </c>
      <c r="P4" s="29">
        <f t="shared" si="0"/>
        <v>2029</v>
      </c>
      <c r="Q4" s="29">
        <f t="shared" si="0"/>
        <v>2030</v>
      </c>
      <c r="R4" s="29">
        <f t="shared" si="0"/>
        <v>2031</v>
      </c>
      <c r="S4" s="29">
        <f t="shared" si="0"/>
        <v>2032</v>
      </c>
      <c r="T4" s="29">
        <f t="shared" si="0"/>
        <v>2033</v>
      </c>
      <c r="U4" s="29">
        <f t="shared" si="0"/>
        <v>2034</v>
      </c>
      <c r="V4" s="29" t="s">
        <v>14</v>
      </c>
    </row>
    <row r="5" spans="1:22">
      <c r="A5" s="53" t="s">
        <v>2</v>
      </c>
      <c r="B5" s="31"/>
      <c r="C5" s="31"/>
      <c r="D5" s="31"/>
      <c r="E5" s="31"/>
      <c r="F5" s="31"/>
      <c r="G5" s="31"/>
      <c r="H5" s="31"/>
      <c r="I5" s="31"/>
      <c r="J5" s="31"/>
      <c r="K5" s="31"/>
      <c r="L5" s="31"/>
      <c r="M5" s="31"/>
      <c r="N5" s="31"/>
      <c r="O5" s="31"/>
      <c r="P5" s="31"/>
      <c r="Q5" s="31"/>
      <c r="R5" s="31"/>
      <c r="S5" s="31"/>
      <c r="T5" s="31"/>
      <c r="U5" s="31"/>
      <c r="V5" s="31"/>
    </row>
    <row r="6" spans="1:22">
      <c r="A6" s="32" t="s">
        <v>8</v>
      </c>
      <c r="B6" s="33">
        <v>417932.549939588</v>
      </c>
      <c r="C6" s="33">
        <v>476664.81149461679</v>
      </c>
      <c r="D6" s="33">
        <v>509614.59703831229</v>
      </c>
      <c r="E6" s="33">
        <v>581060.43402024347</v>
      </c>
      <c r="F6" s="33">
        <v>588761.75043606805</v>
      </c>
      <c r="G6" s="33">
        <v>599786.50036111928</v>
      </c>
      <c r="H6" s="33">
        <v>609444.36724665225</v>
      </c>
      <c r="I6" s="33">
        <v>620639.65967896534</v>
      </c>
      <c r="J6" s="33">
        <v>692073.71157777193</v>
      </c>
      <c r="K6" s="33">
        <v>700438.82493286149</v>
      </c>
      <c r="L6" s="33">
        <v>711863.13647368422</v>
      </c>
      <c r="M6" s="33">
        <v>722157.36464899709</v>
      </c>
      <c r="N6" s="33">
        <v>728032.47258077888</v>
      </c>
      <c r="O6" s="33">
        <v>716742.87955922564</v>
      </c>
      <c r="P6" s="33">
        <v>664764.28657961637</v>
      </c>
      <c r="Q6" s="33">
        <v>660015.56636984961</v>
      </c>
      <c r="R6" s="33">
        <v>618240.52020062052</v>
      </c>
      <c r="S6" s="33">
        <v>586235.96384986083</v>
      </c>
      <c r="T6" s="33">
        <v>557527.88144480018</v>
      </c>
      <c r="U6" s="33">
        <v>527594.38032822486</v>
      </c>
      <c r="V6" s="33">
        <f>SUM(B6:U6)</f>
        <v>12289591.658761861</v>
      </c>
    </row>
    <row r="7" spans="1:22">
      <c r="A7" s="34" t="s">
        <v>9</v>
      </c>
      <c r="B7" s="33">
        <v>8633032.2699749582</v>
      </c>
      <c r="C7" s="33">
        <v>9463484.2947933059</v>
      </c>
      <c r="D7" s="33">
        <v>9822956.2776092179</v>
      </c>
      <c r="E7" s="33">
        <v>11617718.639332514</v>
      </c>
      <c r="F7" s="33">
        <v>10678686.589422859</v>
      </c>
      <c r="G7" s="33">
        <v>14142130.417040223</v>
      </c>
      <c r="H7" s="33">
        <v>14993069.273937337</v>
      </c>
      <c r="I7" s="33">
        <v>12516858.768370289</v>
      </c>
      <c r="J7" s="33">
        <v>8650830.9367976915</v>
      </c>
      <c r="K7" s="33">
        <v>7864510.164985125</v>
      </c>
      <c r="L7" s="33">
        <v>6906039.2023228817</v>
      </c>
      <c r="M7" s="33">
        <v>6073643.0753689567</v>
      </c>
      <c r="N7" s="33">
        <v>5633909.5645872699</v>
      </c>
      <c r="O7" s="33">
        <v>5194519.6457763799</v>
      </c>
      <c r="P7" s="33">
        <v>4705702.2941545518</v>
      </c>
      <c r="Q7" s="33">
        <v>4513546.3739881078</v>
      </c>
      <c r="R7" s="33">
        <v>4095369.7829215932</v>
      </c>
      <c r="S7" s="33">
        <v>3565797.7115230351</v>
      </c>
      <c r="T7" s="33">
        <v>3187698.0975440438</v>
      </c>
      <c r="U7" s="33">
        <v>2893288.2791829929</v>
      </c>
      <c r="V7" s="33">
        <f t="shared" ref="V7:V11" si="1">SUM(B7:U7)</f>
        <v>155152791.65963331</v>
      </c>
    </row>
    <row r="8" spans="1:22">
      <c r="A8" s="34" t="s">
        <v>10</v>
      </c>
      <c r="B8" s="33">
        <v>1329593.9485149879</v>
      </c>
      <c r="C8" s="33">
        <v>1375574.7052895539</v>
      </c>
      <c r="D8" s="33">
        <v>1413361.4693587681</v>
      </c>
      <c r="E8" s="33">
        <v>1622965.0322868596</v>
      </c>
      <c r="F8" s="33">
        <v>1616385.3575741835</v>
      </c>
      <c r="G8" s="33">
        <v>3379458.5238814019</v>
      </c>
      <c r="H8" s="33">
        <v>5932204.7220849879</v>
      </c>
      <c r="I8" s="33">
        <v>7448039.1696992535</v>
      </c>
      <c r="J8" s="33">
        <v>6562979.5888988366</v>
      </c>
      <c r="K8" s="33">
        <v>6380867.2401133319</v>
      </c>
      <c r="L8" s="33">
        <v>5992813.8847595379</v>
      </c>
      <c r="M8" s="33">
        <v>5887018.761407258</v>
      </c>
      <c r="N8" s="33">
        <v>5778588.3949453924</v>
      </c>
      <c r="O8" s="33">
        <v>5441776.6561425645</v>
      </c>
      <c r="P8" s="33">
        <v>4996184.0376074109</v>
      </c>
      <c r="Q8" s="33">
        <v>5032789.319305934</v>
      </c>
      <c r="R8" s="33">
        <v>4892176.2148112431</v>
      </c>
      <c r="S8" s="33">
        <v>4667902.8285840861</v>
      </c>
      <c r="T8" s="33">
        <v>4294783.5547227748</v>
      </c>
      <c r="U8" s="33">
        <v>4129716.765963587</v>
      </c>
      <c r="V8" s="33">
        <f t="shared" si="1"/>
        <v>88175180.175951928</v>
      </c>
    </row>
    <row r="9" spans="1:22">
      <c r="A9" s="34" t="s">
        <v>11</v>
      </c>
      <c r="B9" s="33">
        <v>1845671.5953357844</v>
      </c>
      <c r="C9" s="33">
        <v>1846527.8225722646</v>
      </c>
      <c r="D9" s="33">
        <v>2526529.3623984545</v>
      </c>
      <c r="E9" s="33">
        <v>2939054.462240913</v>
      </c>
      <c r="F9" s="33">
        <v>3297309.7642524727</v>
      </c>
      <c r="G9" s="33">
        <v>3579613.5549159907</v>
      </c>
      <c r="H9" s="33">
        <v>3889242.8054211047</v>
      </c>
      <c r="I9" s="33">
        <v>4005709.3783885557</v>
      </c>
      <c r="J9" s="33">
        <v>3565648.4513315484</v>
      </c>
      <c r="K9" s="33">
        <v>3520293.3975704676</v>
      </c>
      <c r="L9" s="33">
        <v>3539069.3542130087</v>
      </c>
      <c r="M9" s="33">
        <v>3623573.0894168029</v>
      </c>
      <c r="N9" s="33">
        <v>3583788.5879162475</v>
      </c>
      <c r="O9" s="33">
        <v>3533186.0349237225</v>
      </c>
      <c r="P9" s="33">
        <v>3498213.634679439</v>
      </c>
      <c r="Q9" s="33">
        <v>3606581.5067124469</v>
      </c>
      <c r="R9" s="33">
        <v>3579730.6634802269</v>
      </c>
      <c r="S9" s="33">
        <v>3848363.875430536</v>
      </c>
      <c r="T9" s="33">
        <v>3831694.1253123097</v>
      </c>
      <c r="U9" s="33">
        <v>3786040.3254164448</v>
      </c>
      <c r="V9" s="33">
        <f t="shared" si="1"/>
        <v>67445841.791928738</v>
      </c>
    </row>
    <row r="10" spans="1:22">
      <c r="A10" s="35" t="s">
        <v>12</v>
      </c>
      <c r="B10" s="33">
        <v>946238.85181310086</v>
      </c>
      <c r="C10" s="33">
        <v>968846.73244902096</v>
      </c>
      <c r="D10" s="33">
        <v>1026139.7430567709</v>
      </c>
      <c r="E10" s="33">
        <v>1132274.7510424238</v>
      </c>
      <c r="F10" s="33">
        <v>1150799.4218576835</v>
      </c>
      <c r="G10" s="33">
        <v>1536262.7894808021</v>
      </c>
      <c r="H10" s="33">
        <v>1768458.6856359164</v>
      </c>
      <c r="I10" s="33">
        <v>1868217.7100619304</v>
      </c>
      <c r="J10" s="33">
        <v>1600061.5936011209</v>
      </c>
      <c r="K10" s="33">
        <v>1540881.5113978914</v>
      </c>
      <c r="L10" s="33">
        <v>1435442.6653006175</v>
      </c>
      <c r="M10" s="33">
        <v>1253779.7729416639</v>
      </c>
      <c r="N10" s="33">
        <v>1159941.2267769892</v>
      </c>
      <c r="O10" s="33">
        <v>1178013.3295623786</v>
      </c>
      <c r="P10" s="33">
        <v>1153039.4759045541</v>
      </c>
      <c r="Q10" s="33">
        <v>1147138.1449649185</v>
      </c>
      <c r="R10" s="33">
        <v>1110072.4893201727</v>
      </c>
      <c r="S10" s="33">
        <v>1081166.4692282255</v>
      </c>
      <c r="T10" s="33">
        <v>1044124.8881475636</v>
      </c>
      <c r="U10" s="33">
        <v>1016912.9852134484</v>
      </c>
      <c r="V10" s="33">
        <f t="shared" si="1"/>
        <v>25117813.237757191</v>
      </c>
    </row>
    <row r="11" spans="1:22">
      <c r="A11" s="35" t="s">
        <v>13</v>
      </c>
      <c r="B11" s="36">
        <v>214109.73455508531</v>
      </c>
      <c r="C11" s="36">
        <v>271530.36163512041</v>
      </c>
      <c r="D11" s="36">
        <v>286843.28999779659</v>
      </c>
      <c r="E11" s="36">
        <v>338632.82298836543</v>
      </c>
      <c r="F11" s="36">
        <v>331569.90632272535</v>
      </c>
      <c r="G11" s="36">
        <v>435061.12106769125</v>
      </c>
      <c r="H11" s="36">
        <v>520278.56404950406</v>
      </c>
      <c r="I11" s="36">
        <v>571629.56376042974</v>
      </c>
      <c r="J11" s="36">
        <v>603185.47650344297</v>
      </c>
      <c r="K11" s="36">
        <v>588575.67660921568</v>
      </c>
      <c r="L11" s="36">
        <v>584958.64048696065</v>
      </c>
      <c r="M11" s="36">
        <v>570357.00857697765</v>
      </c>
      <c r="N11" s="36">
        <v>568574.8830378257</v>
      </c>
      <c r="O11" s="36">
        <v>557383.1453286889</v>
      </c>
      <c r="P11" s="36">
        <v>523682.0859905387</v>
      </c>
      <c r="Q11" s="36">
        <v>527544.74211254728</v>
      </c>
      <c r="R11" s="36">
        <v>500397.1155497196</v>
      </c>
      <c r="S11" s="36">
        <v>479419.46163457149</v>
      </c>
      <c r="T11" s="36">
        <v>458074.97811501694</v>
      </c>
      <c r="U11" s="36">
        <v>438295.9785523201</v>
      </c>
      <c r="V11" s="36">
        <f t="shared" si="1"/>
        <v>9370104.5568745453</v>
      </c>
    </row>
    <row r="12" spans="1:22">
      <c r="A12" s="37" t="s">
        <v>15</v>
      </c>
      <c r="B12" s="38">
        <f>SUM(B6:B11)</f>
        <v>13386578.950133504</v>
      </c>
      <c r="C12" s="38">
        <f t="shared" ref="C12:V12" si="2">SUM(C6:C11)</f>
        <v>14402628.728233883</v>
      </c>
      <c r="D12" s="38">
        <f t="shared" si="2"/>
        <v>15585444.739459321</v>
      </c>
      <c r="E12" s="38">
        <f t="shared" si="2"/>
        <v>18231706.141911317</v>
      </c>
      <c r="F12" s="38">
        <f t="shared" si="2"/>
        <v>17663512.789865993</v>
      </c>
      <c r="G12" s="38">
        <f t="shared" si="2"/>
        <v>23672312.906747226</v>
      </c>
      <c r="H12" s="38">
        <f t="shared" si="2"/>
        <v>27712698.418375507</v>
      </c>
      <c r="I12" s="38">
        <f t="shared" si="2"/>
        <v>27031094.249959424</v>
      </c>
      <c r="J12" s="38">
        <f t="shared" si="2"/>
        <v>21674779.758710414</v>
      </c>
      <c r="K12" s="38">
        <f t="shared" si="2"/>
        <v>20595566.815608893</v>
      </c>
      <c r="L12" s="38">
        <f t="shared" si="2"/>
        <v>19170186.883556694</v>
      </c>
      <c r="M12" s="38">
        <f t="shared" si="2"/>
        <v>18130529.072360657</v>
      </c>
      <c r="N12" s="38">
        <f t="shared" si="2"/>
        <v>17452835.129844502</v>
      </c>
      <c r="O12" s="38">
        <f t="shared" si="2"/>
        <v>16621621.69129296</v>
      </c>
      <c r="P12" s="38">
        <f t="shared" si="2"/>
        <v>15541585.814916112</v>
      </c>
      <c r="Q12" s="38">
        <f t="shared" si="2"/>
        <v>15487615.653453805</v>
      </c>
      <c r="R12" s="38">
        <f t="shared" si="2"/>
        <v>14795986.786283575</v>
      </c>
      <c r="S12" s="38">
        <f t="shared" si="2"/>
        <v>14228886.310250312</v>
      </c>
      <c r="T12" s="38">
        <f t="shared" si="2"/>
        <v>13373903.525286509</v>
      </c>
      <c r="U12" s="38">
        <f t="shared" si="2"/>
        <v>12791848.71465702</v>
      </c>
      <c r="V12" s="38">
        <f t="shared" si="2"/>
        <v>357551323.08090764</v>
      </c>
    </row>
    <row r="13" spans="1:22">
      <c r="A13" s="31"/>
      <c r="B13" s="33"/>
      <c r="C13" s="33"/>
      <c r="D13" s="33"/>
      <c r="E13" s="33"/>
      <c r="F13" s="33"/>
      <c r="G13" s="33"/>
      <c r="H13" s="33"/>
      <c r="I13" s="33"/>
      <c r="J13" s="33"/>
      <c r="K13" s="33"/>
      <c r="L13" s="33"/>
      <c r="M13" s="33"/>
      <c r="N13" s="33"/>
      <c r="O13" s="33"/>
      <c r="P13" s="33"/>
      <c r="Q13" s="33"/>
      <c r="R13" s="33"/>
      <c r="S13" s="33"/>
      <c r="T13" s="33"/>
      <c r="U13" s="33"/>
      <c r="V13" s="33"/>
    </row>
    <row r="14" spans="1:22">
      <c r="A14" s="53" t="s">
        <v>3</v>
      </c>
      <c r="B14" s="33"/>
      <c r="C14" s="33"/>
      <c r="D14" s="33"/>
      <c r="E14" s="33"/>
      <c r="F14" s="33"/>
      <c r="G14" s="33"/>
      <c r="H14" s="33"/>
      <c r="I14" s="33"/>
      <c r="J14" s="33"/>
      <c r="K14" s="33"/>
      <c r="L14" s="33"/>
      <c r="M14" s="33"/>
      <c r="N14" s="33"/>
      <c r="O14" s="33"/>
      <c r="P14" s="33"/>
      <c r="Q14" s="33"/>
      <c r="R14" s="33"/>
      <c r="S14" s="33"/>
      <c r="T14" s="33"/>
      <c r="U14" s="33"/>
      <c r="V14" s="33"/>
    </row>
    <row r="15" spans="1:22">
      <c r="A15" s="35" t="s">
        <v>7</v>
      </c>
      <c r="B15" s="33">
        <v>2001221.576749698</v>
      </c>
      <c r="C15" s="33">
        <v>2175652.759573082</v>
      </c>
      <c r="D15" s="33">
        <v>2323195.7620816445</v>
      </c>
      <c r="E15" s="33">
        <v>2190114.7936124825</v>
      </c>
      <c r="F15" s="33">
        <v>2306995.1804082552</v>
      </c>
      <c r="G15" s="33">
        <v>2378164.1320972545</v>
      </c>
      <c r="H15" s="33">
        <v>2490850.5309995827</v>
      </c>
      <c r="I15" s="33">
        <v>2404544.3381863637</v>
      </c>
      <c r="J15" s="33">
        <v>2294700.2356613078</v>
      </c>
      <c r="K15" s="33">
        <v>2230043.7727484126</v>
      </c>
      <c r="L15" s="33">
        <v>2183756.1656083027</v>
      </c>
      <c r="M15" s="33">
        <v>2145019.8258684538</v>
      </c>
      <c r="N15" s="33">
        <v>2156978.1074293042</v>
      </c>
      <c r="O15" s="33">
        <v>2121671.093047535</v>
      </c>
      <c r="P15" s="33">
        <v>2092442.3872091812</v>
      </c>
      <c r="Q15" s="33">
        <v>2050619.1636836354</v>
      </c>
      <c r="R15" s="33">
        <v>1999655.1784630259</v>
      </c>
      <c r="S15" s="33">
        <v>1928824.1575566905</v>
      </c>
      <c r="T15" s="33">
        <v>1854819.2749547646</v>
      </c>
      <c r="U15" s="33">
        <v>1779093.6641797409</v>
      </c>
      <c r="V15" s="33">
        <f>SUM(B15:U15)</f>
        <v>43108362.100118719</v>
      </c>
    </row>
    <row r="16" spans="1:22">
      <c r="A16" s="35" t="s">
        <v>6</v>
      </c>
      <c r="B16" s="33">
        <v>6768628.1283710469</v>
      </c>
      <c r="C16" s="33">
        <v>7466947.1705601746</v>
      </c>
      <c r="D16" s="33">
        <v>8175932.5704518314</v>
      </c>
      <c r="E16" s="33">
        <v>8183563.1992645254</v>
      </c>
      <c r="F16" s="33">
        <v>8369614.980385608</v>
      </c>
      <c r="G16" s="33">
        <v>8544069.4308059923</v>
      </c>
      <c r="H16" s="33">
        <v>8993221.2941089012</v>
      </c>
      <c r="I16" s="33">
        <v>8672235.1557188444</v>
      </c>
      <c r="J16" s="33">
        <v>8300619.3383530695</v>
      </c>
      <c r="K16" s="33">
        <v>8078879.3725810545</v>
      </c>
      <c r="L16" s="33">
        <v>7911290.1842879588</v>
      </c>
      <c r="M16" s="33">
        <v>7766616.588636375</v>
      </c>
      <c r="N16" s="33">
        <v>7784105.2504641656</v>
      </c>
      <c r="O16" s="33">
        <v>7694593.6557267094</v>
      </c>
      <c r="P16" s="33">
        <v>7626158.1665733429</v>
      </c>
      <c r="Q16" s="33">
        <v>7510727.0492061321</v>
      </c>
      <c r="R16" s="33">
        <v>7360320.8817740045</v>
      </c>
      <c r="S16" s="33">
        <v>7134752.9770539738</v>
      </c>
      <c r="T16" s="33">
        <v>6894973.0570073212</v>
      </c>
      <c r="U16" s="33">
        <v>6646216.0458436674</v>
      </c>
      <c r="V16" s="33">
        <f>SUM(B16:U16)</f>
        <v>155883464.49717468</v>
      </c>
    </row>
    <row r="17" spans="1:22">
      <c r="A17" s="35" t="s">
        <v>5</v>
      </c>
      <c r="B17" s="36">
        <v>9006159.254084127</v>
      </c>
      <c r="C17" s="36">
        <v>10286432.893788926</v>
      </c>
      <c r="D17" s="36">
        <v>12074993.296005856</v>
      </c>
      <c r="E17" s="36">
        <v>14136796.930915209</v>
      </c>
      <c r="F17" s="36">
        <v>16597875.224169953</v>
      </c>
      <c r="G17" s="36">
        <v>16933324.030301906</v>
      </c>
      <c r="H17" s="36">
        <v>18489252.480877239</v>
      </c>
      <c r="I17" s="36">
        <v>18796317.901884735</v>
      </c>
      <c r="J17" s="36">
        <v>19123033.266893573</v>
      </c>
      <c r="K17" s="36">
        <v>19226302.906742286</v>
      </c>
      <c r="L17" s="36">
        <v>19277357.700125534</v>
      </c>
      <c r="M17" s="36">
        <v>19327460.304507516</v>
      </c>
      <c r="N17" s="36">
        <v>19135983.869752102</v>
      </c>
      <c r="O17" s="36">
        <v>19122824.305897731</v>
      </c>
      <c r="P17" s="36">
        <v>19026193.641757406</v>
      </c>
      <c r="Q17" s="36">
        <v>18876867.57687743</v>
      </c>
      <c r="R17" s="36">
        <v>18716047.006823931</v>
      </c>
      <c r="S17" s="36">
        <v>18627502.990162119</v>
      </c>
      <c r="T17" s="36">
        <v>18519929.36660216</v>
      </c>
      <c r="U17" s="36">
        <v>18405815.565300427</v>
      </c>
      <c r="V17" s="36">
        <f>SUM(B17:U17)</f>
        <v>343706470.51347023</v>
      </c>
    </row>
    <row r="18" spans="1:22">
      <c r="A18" s="37" t="s">
        <v>16</v>
      </c>
      <c r="B18" s="38">
        <f>SUM(B15:B17)</f>
        <v>17776008.959204871</v>
      </c>
      <c r="C18" s="38">
        <f t="shared" ref="C18:V18" si="3">SUM(C15:C17)</f>
        <v>19929032.823922183</v>
      </c>
      <c r="D18" s="38">
        <f t="shared" si="3"/>
        <v>22574121.628539331</v>
      </c>
      <c r="E18" s="38">
        <f t="shared" si="3"/>
        <v>24510474.923792217</v>
      </c>
      <c r="F18" s="38">
        <f t="shared" si="3"/>
        <v>27274485.384963818</v>
      </c>
      <c r="G18" s="38">
        <f t="shared" si="3"/>
        <v>27855557.593205154</v>
      </c>
      <c r="H18" s="38">
        <f t="shared" si="3"/>
        <v>29973324.305985723</v>
      </c>
      <c r="I18" s="38">
        <f t="shared" si="3"/>
        <v>29873097.395789944</v>
      </c>
      <c r="J18" s="38">
        <f t="shared" si="3"/>
        <v>29718352.84090795</v>
      </c>
      <c r="K18" s="38">
        <f t="shared" si="3"/>
        <v>29535226.052071754</v>
      </c>
      <c r="L18" s="38">
        <f t="shared" si="3"/>
        <v>29372404.050021797</v>
      </c>
      <c r="M18" s="38">
        <f t="shared" si="3"/>
        <v>29239096.719012346</v>
      </c>
      <c r="N18" s="38">
        <f t="shared" si="3"/>
        <v>29077067.227645572</v>
      </c>
      <c r="O18" s="38">
        <f t="shared" si="3"/>
        <v>28939089.054671977</v>
      </c>
      <c r="P18" s="38">
        <f t="shared" si="3"/>
        <v>28744794.195539929</v>
      </c>
      <c r="Q18" s="38">
        <f t="shared" si="3"/>
        <v>28438213.789767198</v>
      </c>
      <c r="R18" s="38">
        <f t="shared" si="3"/>
        <v>28076023.067060962</v>
      </c>
      <c r="S18" s="38">
        <f t="shared" si="3"/>
        <v>27691080.124772783</v>
      </c>
      <c r="T18" s="38">
        <f t="shared" si="3"/>
        <v>27269721.698564246</v>
      </c>
      <c r="U18" s="38">
        <f t="shared" si="3"/>
        <v>26831125.275323838</v>
      </c>
      <c r="V18" s="38">
        <f t="shared" si="3"/>
        <v>542698297.11076367</v>
      </c>
    </row>
    <row r="19" spans="1:22">
      <c r="A19" s="37"/>
      <c r="B19" s="33"/>
      <c r="C19" s="33"/>
      <c r="D19" s="33"/>
      <c r="E19" s="33"/>
      <c r="F19" s="33"/>
      <c r="G19" s="33"/>
      <c r="H19" s="33"/>
      <c r="I19" s="33"/>
      <c r="J19" s="33"/>
      <c r="K19" s="33"/>
      <c r="L19" s="33"/>
      <c r="M19" s="33"/>
      <c r="N19" s="33"/>
      <c r="O19" s="33"/>
      <c r="P19" s="33"/>
      <c r="Q19" s="33"/>
      <c r="R19" s="33"/>
      <c r="S19" s="33"/>
      <c r="T19" s="33"/>
      <c r="U19" s="33"/>
      <c r="V19" s="33"/>
    </row>
    <row r="20" spans="1:22" s="4" customFormat="1">
      <c r="A20" s="30" t="s">
        <v>4</v>
      </c>
      <c r="B20" s="38">
        <f>B12+B18</f>
        <v>31162587.909338377</v>
      </c>
      <c r="C20" s="38">
        <f t="shared" ref="C20:V20" si="4">C12+C18</f>
        <v>34331661.552156068</v>
      </c>
      <c r="D20" s="38">
        <f t="shared" si="4"/>
        <v>38159566.367998652</v>
      </c>
      <c r="E20" s="38">
        <f t="shared" si="4"/>
        <v>42742181.065703534</v>
      </c>
      <c r="F20" s="38">
        <f t="shared" si="4"/>
        <v>44937998.174829811</v>
      </c>
      <c r="G20" s="38">
        <f t="shared" si="4"/>
        <v>51527870.499952376</v>
      </c>
      <c r="H20" s="38">
        <f t="shared" si="4"/>
        <v>57686022.724361226</v>
      </c>
      <c r="I20" s="38">
        <f t="shared" si="4"/>
        <v>56904191.645749368</v>
      </c>
      <c r="J20" s="38">
        <f t="shared" si="4"/>
        <v>51393132.59961836</v>
      </c>
      <c r="K20" s="38">
        <f t="shared" si="4"/>
        <v>50130792.867680646</v>
      </c>
      <c r="L20" s="38">
        <f t="shared" si="4"/>
        <v>48542590.933578491</v>
      </c>
      <c r="M20" s="38">
        <f t="shared" si="4"/>
        <v>47369625.791373</v>
      </c>
      <c r="N20" s="38">
        <f t="shared" si="4"/>
        <v>46529902.357490078</v>
      </c>
      <c r="O20" s="38">
        <f t="shared" si="4"/>
        <v>45560710.745964937</v>
      </c>
      <c r="P20" s="38">
        <f t="shared" si="4"/>
        <v>44286380.010456041</v>
      </c>
      <c r="Q20" s="38">
        <f t="shared" si="4"/>
        <v>43925829.443221003</v>
      </c>
      <c r="R20" s="38">
        <f t="shared" si="4"/>
        <v>42872009.853344537</v>
      </c>
      <c r="S20" s="38">
        <f t="shared" si="4"/>
        <v>41919966.435023099</v>
      </c>
      <c r="T20" s="38">
        <f t="shared" si="4"/>
        <v>40643625.223850757</v>
      </c>
      <c r="U20" s="38">
        <f t="shared" si="4"/>
        <v>39622973.989980862</v>
      </c>
      <c r="V20" s="38">
        <f t="shared" si="4"/>
        <v>900249620.19167137</v>
      </c>
    </row>
    <row r="21" spans="1:22">
      <c r="A21" s="1"/>
    </row>
    <row r="22" spans="1:22" s="6" customFormat="1">
      <c r="A22" s="17" t="s">
        <v>35</v>
      </c>
      <c r="B22" s="18">
        <v>2015</v>
      </c>
      <c r="C22" s="18">
        <f>B22+1</f>
        <v>2016</v>
      </c>
      <c r="D22" s="18">
        <f t="shared" ref="D22:U22" si="5">C22+1</f>
        <v>2017</v>
      </c>
      <c r="E22" s="18">
        <f t="shared" si="5"/>
        <v>2018</v>
      </c>
      <c r="F22" s="18">
        <f t="shared" si="5"/>
        <v>2019</v>
      </c>
      <c r="G22" s="18">
        <f t="shared" si="5"/>
        <v>2020</v>
      </c>
      <c r="H22" s="18">
        <f t="shared" si="5"/>
        <v>2021</v>
      </c>
      <c r="I22" s="18">
        <f t="shared" si="5"/>
        <v>2022</v>
      </c>
      <c r="J22" s="18">
        <f t="shared" si="5"/>
        <v>2023</v>
      </c>
      <c r="K22" s="18">
        <f t="shared" si="5"/>
        <v>2024</v>
      </c>
      <c r="L22" s="18">
        <f t="shared" si="5"/>
        <v>2025</v>
      </c>
      <c r="M22" s="18">
        <f t="shared" si="5"/>
        <v>2026</v>
      </c>
      <c r="N22" s="18">
        <f t="shared" si="5"/>
        <v>2027</v>
      </c>
      <c r="O22" s="18">
        <f t="shared" si="5"/>
        <v>2028</v>
      </c>
      <c r="P22" s="18">
        <f t="shared" si="5"/>
        <v>2029</v>
      </c>
      <c r="Q22" s="18">
        <f t="shared" si="5"/>
        <v>2030</v>
      </c>
      <c r="R22" s="18">
        <f t="shared" si="5"/>
        <v>2031</v>
      </c>
      <c r="S22" s="18">
        <f t="shared" si="5"/>
        <v>2032</v>
      </c>
      <c r="T22" s="18">
        <f t="shared" si="5"/>
        <v>2033</v>
      </c>
      <c r="U22" s="18">
        <f t="shared" si="5"/>
        <v>2034</v>
      </c>
      <c r="V22" s="18" t="s">
        <v>14</v>
      </c>
    </row>
    <row r="23" spans="1:22">
      <c r="A23" s="51" t="s">
        <v>2</v>
      </c>
      <c r="B23" s="20"/>
      <c r="C23" s="20"/>
      <c r="D23" s="20"/>
      <c r="E23" s="20"/>
      <c r="F23" s="20"/>
      <c r="G23" s="20"/>
      <c r="H23" s="20"/>
      <c r="I23" s="20"/>
      <c r="J23" s="20"/>
      <c r="K23" s="20"/>
      <c r="L23" s="20"/>
      <c r="M23" s="20"/>
      <c r="N23" s="20"/>
      <c r="O23" s="20"/>
      <c r="P23" s="20"/>
      <c r="Q23" s="20"/>
      <c r="R23" s="20"/>
      <c r="S23" s="20"/>
      <c r="T23" s="20"/>
      <c r="U23" s="20"/>
      <c r="V23" s="20"/>
    </row>
    <row r="24" spans="1:22">
      <c r="A24" s="21" t="s">
        <v>8</v>
      </c>
      <c r="B24" s="22">
        <v>2337547.0779505833</v>
      </c>
      <c r="C24" s="22">
        <v>2673241.1575852716</v>
      </c>
      <c r="D24" s="22">
        <v>2894470.4105607118</v>
      </c>
      <c r="E24" s="22">
        <v>3274632.1335295616</v>
      </c>
      <c r="F24" s="22">
        <v>3323244.9255377399</v>
      </c>
      <c r="G24" s="22">
        <v>3396341.0433026664</v>
      </c>
      <c r="H24" s="22">
        <v>3459605.2435373911</v>
      </c>
      <c r="I24" s="22">
        <v>3530540.7649063524</v>
      </c>
      <c r="J24" s="22">
        <v>3943837.0092302952</v>
      </c>
      <c r="K24" s="22">
        <v>3993176.6510729063</v>
      </c>
      <c r="L24" s="22">
        <v>4059979.30731514</v>
      </c>
      <c r="M24" s="22">
        <v>4119757.7327150758</v>
      </c>
      <c r="N24" s="22">
        <v>4154144.1291499212</v>
      </c>
      <c r="O24" s="22">
        <v>4355573.7566467999</v>
      </c>
      <c r="P24" s="22">
        <v>4241970.9728039745</v>
      </c>
      <c r="Q24" s="22">
        <v>4265654.0374310967</v>
      </c>
      <c r="R24" s="22">
        <v>4185758.7978401231</v>
      </c>
      <c r="S24" s="22">
        <v>4124698.2590501206</v>
      </c>
      <c r="T24" s="22">
        <v>4190975.6106813876</v>
      </c>
      <c r="U24" s="22">
        <v>4127382.9524677005</v>
      </c>
      <c r="V24" s="22">
        <f>SUM(B24:U24)</f>
        <v>74652531.973314822</v>
      </c>
    </row>
    <row r="25" spans="1:22">
      <c r="A25" s="23" t="s">
        <v>9</v>
      </c>
      <c r="B25" s="22">
        <v>1868641.4523600691</v>
      </c>
      <c r="C25" s="22">
        <v>2070487.0328868749</v>
      </c>
      <c r="D25" s="22">
        <v>2204694.2511735749</v>
      </c>
      <c r="E25" s="22">
        <v>2978347.9418951692</v>
      </c>
      <c r="F25" s="22">
        <v>3130488.9227669393</v>
      </c>
      <c r="G25" s="22">
        <v>4026678.8058513389</v>
      </c>
      <c r="H25" s="22">
        <v>4611815.5269353408</v>
      </c>
      <c r="I25" s="22">
        <v>4850418.1505552288</v>
      </c>
      <c r="J25" s="22">
        <v>4921836.5601146081</v>
      </c>
      <c r="K25" s="22">
        <v>4835482.4345511217</v>
      </c>
      <c r="L25" s="22">
        <v>4619121.9614810767</v>
      </c>
      <c r="M25" s="22">
        <v>4346853.53494089</v>
      </c>
      <c r="N25" s="22">
        <v>4164340.9699889151</v>
      </c>
      <c r="O25" s="22">
        <v>4203298.3026176458</v>
      </c>
      <c r="P25" s="22">
        <v>4001494.1864647139</v>
      </c>
      <c r="Q25" s="22">
        <v>3912682.3296576147</v>
      </c>
      <c r="R25" s="22">
        <v>3747303.4548096936</v>
      </c>
      <c r="S25" s="22">
        <v>3597728.876424409</v>
      </c>
      <c r="T25" s="22">
        <v>3556563.9921211409</v>
      </c>
      <c r="U25" s="22">
        <v>3409255.0561682968</v>
      </c>
      <c r="V25" s="22">
        <f t="shared" ref="V25:V29" si="6">SUM(B25:U25)</f>
        <v>75057533.743764669</v>
      </c>
    </row>
    <row r="26" spans="1:22">
      <c r="A26" s="23" t="s">
        <v>10</v>
      </c>
      <c r="B26" s="22">
        <v>840758.18713718909</v>
      </c>
      <c r="C26" s="22">
        <v>960162.20270676073</v>
      </c>
      <c r="D26" s="22">
        <v>1023514.7956029213</v>
      </c>
      <c r="E26" s="22">
        <v>1211545.746673061</v>
      </c>
      <c r="F26" s="22">
        <v>1179550.5360861192</v>
      </c>
      <c r="G26" s="22">
        <v>1875982.3309960549</v>
      </c>
      <c r="H26" s="22">
        <v>2525423.3599605393</v>
      </c>
      <c r="I26" s="22">
        <v>3041463.5836211662</v>
      </c>
      <c r="J26" s="22">
        <v>3454314.3678549463</v>
      </c>
      <c r="K26" s="22">
        <v>3370110.3827522122</v>
      </c>
      <c r="L26" s="22">
        <v>3359816.198366378</v>
      </c>
      <c r="M26" s="22">
        <v>3285869.308717866</v>
      </c>
      <c r="N26" s="22">
        <v>3291121.59681276</v>
      </c>
      <c r="O26" s="22">
        <v>3446572.6700629513</v>
      </c>
      <c r="P26" s="22">
        <v>3415695.8881545276</v>
      </c>
      <c r="Q26" s="22">
        <v>3503818.3113172385</v>
      </c>
      <c r="R26" s="22">
        <v>3493940.9685726827</v>
      </c>
      <c r="S26" s="22">
        <v>3499518.4590411084</v>
      </c>
      <c r="T26" s="22">
        <v>3585178.3215705329</v>
      </c>
      <c r="U26" s="22">
        <v>3583028.2021196526</v>
      </c>
      <c r="V26" s="22">
        <f t="shared" si="6"/>
        <v>53947385.418126673</v>
      </c>
    </row>
    <row r="27" spans="1:22">
      <c r="A27" s="23" t="s">
        <v>11</v>
      </c>
      <c r="B27" s="22">
        <v>1349531.552075688</v>
      </c>
      <c r="C27" s="22">
        <v>1374530.0949008074</v>
      </c>
      <c r="D27" s="22">
        <v>1555616.9568236545</v>
      </c>
      <c r="E27" s="22">
        <v>1861567.1328584133</v>
      </c>
      <c r="F27" s="22">
        <v>2008879.8842929946</v>
      </c>
      <c r="G27" s="22">
        <v>2002910.7734818785</v>
      </c>
      <c r="H27" s="22">
        <v>2027431.8287518478</v>
      </c>
      <c r="I27" s="22">
        <v>2063479.0778460051</v>
      </c>
      <c r="J27" s="22">
        <v>1994830.6153186723</v>
      </c>
      <c r="K27" s="22">
        <v>1991137.5349330485</v>
      </c>
      <c r="L27" s="22">
        <v>1997973.3119730479</v>
      </c>
      <c r="M27" s="22">
        <v>2137902.5884362329</v>
      </c>
      <c r="N27" s="22">
        <v>2129237.4823352792</v>
      </c>
      <c r="O27" s="22">
        <v>2134087.8618343072</v>
      </c>
      <c r="P27" s="22">
        <v>2079260.4975406246</v>
      </c>
      <c r="Q27" s="22">
        <v>2081200.7945874897</v>
      </c>
      <c r="R27" s="22">
        <v>2044196.2061674558</v>
      </c>
      <c r="S27" s="22">
        <v>2017023.2165428838</v>
      </c>
      <c r="T27" s="22">
        <v>2007144.2580595685</v>
      </c>
      <c r="U27" s="22">
        <v>1977656.6984320797</v>
      </c>
      <c r="V27" s="22">
        <f t="shared" si="6"/>
        <v>38835598.367191978</v>
      </c>
    </row>
    <row r="28" spans="1:22">
      <c r="A28" s="24" t="s">
        <v>12</v>
      </c>
      <c r="B28" s="22">
        <v>978022.48008732556</v>
      </c>
      <c r="C28" s="22">
        <v>991786.08896770352</v>
      </c>
      <c r="D28" s="22">
        <v>1085378.8880311421</v>
      </c>
      <c r="E28" s="22">
        <v>1242337.0206065881</v>
      </c>
      <c r="F28" s="22">
        <v>1317988.7192089544</v>
      </c>
      <c r="G28" s="22">
        <v>1314892.7731301186</v>
      </c>
      <c r="H28" s="22">
        <v>1328007.0029237757</v>
      </c>
      <c r="I28" s="22">
        <v>1346132.8634376498</v>
      </c>
      <c r="J28" s="22">
        <v>1311048.3217897881</v>
      </c>
      <c r="K28" s="22">
        <v>1309669.2797667223</v>
      </c>
      <c r="L28" s="22">
        <v>1313478.3090347198</v>
      </c>
      <c r="M28" s="22">
        <v>1385269.9170760973</v>
      </c>
      <c r="N28" s="22">
        <v>1380601.8848358071</v>
      </c>
      <c r="O28" s="22">
        <v>1383334.680003019</v>
      </c>
      <c r="P28" s="22">
        <v>1356206.6157786115</v>
      </c>
      <c r="Q28" s="22">
        <v>1356911.2082088948</v>
      </c>
      <c r="R28" s="22">
        <v>1338406.8400242389</v>
      </c>
      <c r="S28" s="22">
        <v>1324972.010248255</v>
      </c>
      <c r="T28" s="22">
        <v>1319795.6592562224</v>
      </c>
      <c r="U28" s="22">
        <v>1304901.9351267773</v>
      </c>
      <c r="V28" s="22">
        <f t="shared" si="6"/>
        <v>25689142.497542415</v>
      </c>
    </row>
    <row r="29" spans="1:22">
      <c r="A29" s="24" t="s">
        <v>13</v>
      </c>
      <c r="B29" s="25">
        <v>129529.92682348218</v>
      </c>
      <c r="C29" s="25">
        <v>149199.24072423566</v>
      </c>
      <c r="D29" s="25">
        <v>160184.76921824561</v>
      </c>
      <c r="E29" s="25">
        <v>181720.18484910944</v>
      </c>
      <c r="F29" s="25">
        <v>182272.68105661764</v>
      </c>
      <c r="G29" s="25">
        <v>211236.56360589017</v>
      </c>
      <c r="H29" s="25">
        <v>235594.91540381109</v>
      </c>
      <c r="I29" s="25">
        <v>255771.42555420456</v>
      </c>
      <c r="J29" s="25">
        <v>289852.77871371224</v>
      </c>
      <c r="K29" s="25">
        <v>290249.3021287283</v>
      </c>
      <c r="L29" s="25">
        <v>293340.81474362226</v>
      </c>
      <c r="M29" s="25">
        <v>294296.28010281344</v>
      </c>
      <c r="N29" s="25">
        <v>296027.22074294399</v>
      </c>
      <c r="O29" s="25">
        <v>308900.83305628842</v>
      </c>
      <c r="P29" s="25">
        <v>301842.83303023933</v>
      </c>
      <c r="Q29" s="25">
        <v>304922.37521616463</v>
      </c>
      <c r="R29" s="25">
        <v>300216.34993331478</v>
      </c>
      <c r="S29" s="25">
        <v>296703.68010652508</v>
      </c>
      <c r="T29" s="25">
        <v>301356.78200627177</v>
      </c>
      <c r="U29" s="25">
        <v>297743.54477337014</v>
      </c>
      <c r="V29" s="25">
        <f t="shared" si="6"/>
        <v>5080962.5017895913</v>
      </c>
    </row>
    <row r="30" spans="1:22">
      <c r="A30" s="26" t="s">
        <v>15</v>
      </c>
      <c r="B30" s="27">
        <f>SUM(B24:B29)</f>
        <v>7504030.6764343372</v>
      </c>
      <c r="C30" s="27">
        <f t="shared" ref="C30:V30" si="7">SUM(C24:C29)</f>
        <v>8219405.8177716536</v>
      </c>
      <c r="D30" s="27">
        <f t="shared" si="7"/>
        <v>8923860.0714102499</v>
      </c>
      <c r="E30" s="27">
        <f t="shared" si="7"/>
        <v>10750150.160411902</v>
      </c>
      <c r="F30" s="27">
        <f t="shared" si="7"/>
        <v>11142425.668949366</v>
      </c>
      <c r="G30" s="27">
        <f t="shared" si="7"/>
        <v>12828042.290367946</v>
      </c>
      <c r="H30" s="27">
        <f t="shared" si="7"/>
        <v>14187877.877512705</v>
      </c>
      <c r="I30" s="27">
        <f t="shared" si="7"/>
        <v>15087805.865920607</v>
      </c>
      <c r="J30" s="27">
        <f t="shared" si="7"/>
        <v>15915719.653022023</v>
      </c>
      <c r="K30" s="27">
        <f t="shared" si="7"/>
        <v>15789825.585204739</v>
      </c>
      <c r="L30" s="27">
        <f t="shared" si="7"/>
        <v>15643709.902913986</v>
      </c>
      <c r="M30" s="27">
        <f t="shared" si="7"/>
        <v>15569949.361988975</v>
      </c>
      <c r="N30" s="27">
        <f t="shared" si="7"/>
        <v>15415473.283865627</v>
      </c>
      <c r="O30" s="27">
        <f t="shared" si="7"/>
        <v>15831768.104221012</v>
      </c>
      <c r="P30" s="27">
        <f t="shared" si="7"/>
        <v>15396470.993772691</v>
      </c>
      <c r="Q30" s="27">
        <f t="shared" si="7"/>
        <v>15425189.056418497</v>
      </c>
      <c r="R30" s="27">
        <f t="shared" si="7"/>
        <v>15109822.617347509</v>
      </c>
      <c r="S30" s="27">
        <f t="shared" si="7"/>
        <v>14860644.501413301</v>
      </c>
      <c r="T30" s="27">
        <f t="shared" si="7"/>
        <v>14961014.623695122</v>
      </c>
      <c r="U30" s="27">
        <f t="shared" si="7"/>
        <v>14699968.389087878</v>
      </c>
      <c r="V30" s="27">
        <f t="shared" si="7"/>
        <v>273263154.50173014</v>
      </c>
    </row>
    <row r="31" spans="1:22">
      <c r="A31" s="20"/>
      <c r="B31" s="22"/>
      <c r="C31" s="22"/>
      <c r="D31" s="22"/>
      <c r="E31" s="22"/>
      <c r="F31" s="22"/>
      <c r="G31" s="22"/>
      <c r="H31" s="22"/>
      <c r="I31" s="22"/>
      <c r="J31" s="22"/>
      <c r="K31" s="22"/>
      <c r="L31" s="22"/>
      <c r="M31" s="22"/>
      <c r="N31" s="22"/>
      <c r="O31" s="22"/>
      <c r="P31" s="22"/>
      <c r="Q31" s="22"/>
      <c r="R31" s="22"/>
      <c r="S31" s="22"/>
      <c r="T31" s="22"/>
      <c r="U31" s="22"/>
      <c r="V31" s="22"/>
    </row>
    <row r="32" spans="1:22">
      <c r="A32" s="51" t="s">
        <v>3</v>
      </c>
      <c r="B32" s="22"/>
      <c r="C32" s="22"/>
      <c r="D32" s="22"/>
      <c r="E32" s="22"/>
      <c r="F32" s="22"/>
      <c r="G32" s="22"/>
      <c r="H32" s="22"/>
      <c r="I32" s="22"/>
      <c r="J32" s="22"/>
      <c r="K32" s="22"/>
      <c r="L32" s="22"/>
      <c r="M32" s="22"/>
      <c r="N32" s="22"/>
      <c r="O32" s="22"/>
      <c r="P32" s="22"/>
      <c r="Q32" s="22"/>
      <c r="R32" s="22"/>
      <c r="S32" s="22"/>
      <c r="T32" s="22"/>
      <c r="U32" s="22"/>
      <c r="V32" s="22"/>
    </row>
    <row r="33" spans="1:22">
      <c r="A33" s="24" t="s">
        <v>7</v>
      </c>
      <c r="B33" s="22">
        <v>2581575.8340071104</v>
      </c>
      <c r="C33" s="22">
        <v>2806592.0598492757</v>
      </c>
      <c r="D33" s="22">
        <v>2996922.5330853215</v>
      </c>
      <c r="E33" s="22">
        <v>2825248.0837601023</v>
      </c>
      <c r="F33" s="22">
        <v>2976023.7827266492</v>
      </c>
      <c r="G33" s="22">
        <v>3067831.7304054582</v>
      </c>
      <c r="H33" s="22">
        <v>3213197.1849894617</v>
      </c>
      <c r="I33" s="22">
        <v>3101862.1962604094</v>
      </c>
      <c r="J33" s="22">
        <v>2960163.3040030873</v>
      </c>
      <c r="K33" s="22">
        <v>2876756.4668454523</v>
      </c>
      <c r="L33" s="22">
        <v>2817045.4536347105</v>
      </c>
      <c r="M33" s="22">
        <v>2767075.5753703057</v>
      </c>
      <c r="N33" s="22">
        <v>2782501.7585838023</v>
      </c>
      <c r="O33" s="22">
        <v>2736955.7100313203</v>
      </c>
      <c r="P33" s="22">
        <v>2699250.6794998436</v>
      </c>
      <c r="Q33" s="22">
        <v>2645298.7211518898</v>
      </c>
      <c r="R33" s="22">
        <v>2579555.1802173033</v>
      </c>
      <c r="S33" s="22">
        <v>2488183.1632481311</v>
      </c>
      <c r="T33" s="22">
        <v>2392716.8646916463</v>
      </c>
      <c r="U33" s="22">
        <v>2295030.8267918658</v>
      </c>
      <c r="V33" s="22">
        <f>SUM(B33:U33)</f>
        <v>55609787.109153137</v>
      </c>
    </row>
    <row r="34" spans="1:22">
      <c r="A34" s="24" t="s">
        <v>6</v>
      </c>
      <c r="B34" s="22">
        <v>1286039.3443904989</v>
      </c>
      <c r="C34" s="22">
        <v>1286039.3443904989</v>
      </c>
      <c r="D34" s="22">
        <v>1286039.3443904989</v>
      </c>
      <c r="E34" s="22">
        <v>1286039.3443904989</v>
      </c>
      <c r="F34" s="22">
        <v>1286039.3443904989</v>
      </c>
      <c r="G34" s="22">
        <v>1286039.3443904989</v>
      </c>
      <c r="H34" s="22">
        <v>1286039.3443904989</v>
      </c>
      <c r="I34" s="22">
        <v>1286039.3443904989</v>
      </c>
      <c r="J34" s="22">
        <v>1286039.3443904989</v>
      </c>
      <c r="K34" s="22">
        <v>1286039.3443904989</v>
      </c>
      <c r="L34" s="22">
        <v>1286039.3443904989</v>
      </c>
      <c r="M34" s="22">
        <v>1286039.3443904989</v>
      </c>
      <c r="N34" s="22">
        <v>1286039.3443904989</v>
      </c>
      <c r="O34" s="22">
        <v>1286039.3443904989</v>
      </c>
      <c r="P34" s="22">
        <v>1286039.3443904989</v>
      </c>
      <c r="Q34" s="22">
        <v>1286039.3443904989</v>
      </c>
      <c r="R34" s="22">
        <v>1286039.3443904989</v>
      </c>
      <c r="S34" s="22">
        <v>1286039.3443904989</v>
      </c>
      <c r="T34" s="22">
        <v>1286039.3443904989</v>
      </c>
      <c r="U34" s="22">
        <v>1286039.3443904989</v>
      </c>
      <c r="V34" s="22">
        <f>SUM(B34:U34)</f>
        <v>25720786.887809984</v>
      </c>
    </row>
    <row r="35" spans="1:22">
      <c r="A35" s="24" t="s">
        <v>5</v>
      </c>
      <c r="B35" s="25">
        <v>9954646.7673064228</v>
      </c>
      <c r="C35" s="25">
        <v>11308460.010820016</v>
      </c>
      <c r="D35" s="25">
        <v>13181627.02402265</v>
      </c>
      <c r="E35" s="25">
        <v>15354362.836579962</v>
      </c>
      <c r="F35" s="25">
        <v>17880827.973149996</v>
      </c>
      <c r="G35" s="25">
        <v>18275532.988815375</v>
      </c>
      <c r="H35" s="25">
        <v>19855239.702513259</v>
      </c>
      <c r="I35" s="25">
        <v>20186515.343277607</v>
      </c>
      <c r="J35" s="25">
        <v>20538584.778832532</v>
      </c>
      <c r="K35" s="25">
        <v>20668835.308334272</v>
      </c>
      <c r="L35" s="25">
        <v>20749816.975194581</v>
      </c>
      <c r="M35" s="25">
        <v>20833283.839420605</v>
      </c>
      <c r="N35" s="25">
        <v>20678348.329368465</v>
      </c>
      <c r="O35" s="25">
        <v>20705475.013974987</v>
      </c>
      <c r="P35" s="25">
        <v>20652292.560734354</v>
      </c>
      <c r="Q35" s="25">
        <v>20547391.49805348</v>
      </c>
      <c r="R35" s="25">
        <v>20434136.544072587</v>
      </c>
      <c r="S35" s="25">
        <v>20397508.991696976</v>
      </c>
      <c r="T35" s="25">
        <v>20346742.923503254</v>
      </c>
      <c r="U35" s="25">
        <v>20294531.601511724</v>
      </c>
      <c r="V35" s="25">
        <f>SUM(B35:U35)</f>
        <v>372844161.01118308</v>
      </c>
    </row>
    <row r="36" spans="1:22">
      <c r="A36" s="26" t="s">
        <v>16</v>
      </c>
      <c r="B36" s="27">
        <f>SUM(B33:B35)</f>
        <v>13822261.945704032</v>
      </c>
      <c r="C36" s="27">
        <f t="shared" ref="C36:V36" si="8">SUM(C33:C35)</f>
        <v>15401091.41505979</v>
      </c>
      <c r="D36" s="27">
        <f t="shared" si="8"/>
        <v>17464588.90149847</v>
      </c>
      <c r="E36" s="27">
        <f t="shared" si="8"/>
        <v>19465650.264730562</v>
      </c>
      <c r="F36" s="27">
        <f t="shared" si="8"/>
        <v>22142891.100267142</v>
      </c>
      <c r="G36" s="27">
        <f t="shared" si="8"/>
        <v>22629404.063611332</v>
      </c>
      <c r="H36" s="27">
        <f t="shared" si="8"/>
        <v>24354476.231893219</v>
      </c>
      <c r="I36" s="27">
        <f t="shared" si="8"/>
        <v>24574416.883928515</v>
      </c>
      <c r="J36" s="27">
        <f t="shared" si="8"/>
        <v>24784787.427226119</v>
      </c>
      <c r="K36" s="27">
        <f t="shared" si="8"/>
        <v>24831631.119570225</v>
      </c>
      <c r="L36" s="27">
        <f t="shared" si="8"/>
        <v>24852901.77321979</v>
      </c>
      <c r="M36" s="27">
        <f t="shared" si="8"/>
        <v>24886398.75918141</v>
      </c>
      <c r="N36" s="27">
        <f t="shared" si="8"/>
        <v>24746889.432342768</v>
      </c>
      <c r="O36" s="27">
        <f t="shared" si="8"/>
        <v>24728470.068396807</v>
      </c>
      <c r="P36" s="27">
        <f t="shared" si="8"/>
        <v>24637582.584624697</v>
      </c>
      <c r="Q36" s="27">
        <f t="shared" si="8"/>
        <v>24478729.563595869</v>
      </c>
      <c r="R36" s="27">
        <f t="shared" si="8"/>
        <v>24299731.068680391</v>
      </c>
      <c r="S36" s="27">
        <f t="shared" si="8"/>
        <v>24171731.499335606</v>
      </c>
      <c r="T36" s="27">
        <f t="shared" si="8"/>
        <v>24025499.132585399</v>
      </c>
      <c r="U36" s="27">
        <f t="shared" si="8"/>
        <v>23875601.772694089</v>
      </c>
      <c r="V36" s="27">
        <f t="shared" si="8"/>
        <v>454174735.00814617</v>
      </c>
    </row>
    <row r="37" spans="1:22">
      <c r="A37" s="26"/>
      <c r="B37" s="22"/>
      <c r="C37" s="22"/>
      <c r="D37" s="22"/>
      <c r="E37" s="22"/>
      <c r="F37" s="22"/>
      <c r="G37" s="22"/>
      <c r="H37" s="22"/>
      <c r="I37" s="22"/>
      <c r="J37" s="22"/>
      <c r="K37" s="22"/>
      <c r="L37" s="22"/>
      <c r="M37" s="22"/>
      <c r="N37" s="22"/>
      <c r="O37" s="22"/>
      <c r="P37" s="22"/>
      <c r="Q37" s="22"/>
      <c r="R37" s="22"/>
      <c r="S37" s="22"/>
      <c r="T37" s="22"/>
      <c r="U37" s="22"/>
      <c r="V37" s="22"/>
    </row>
    <row r="38" spans="1:22">
      <c r="A38" s="19" t="s">
        <v>4</v>
      </c>
      <c r="B38" s="27">
        <f>B30+B36</f>
        <v>21326292.62213837</v>
      </c>
      <c r="C38" s="27">
        <f t="shared" ref="C38:V38" si="9">C30+C36</f>
        <v>23620497.232831445</v>
      </c>
      <c r="D38" s="27">
        <f t="shared" si="9"/>
        <v>26388448.97290872</v>
      </c>
      <c r="E38" s="27">
        <f t="shared" si="9"/>
        <v>30215800.425142463</v>
      </c>
      <c r="F38" s="27">
        <f t="shared" si="9"/>
        <v>33285316.769216508</v>
      </c>
      <c r="G38" s="27">
        <f t="shared" si="9"/>
        <v>35457446.353979275</v>
      </c>
      <c r="H38" s="27">
        <f t="shared" si="9"/>
        <v>38542354.10940592</v>
      </c>
      <c r="I38" s="27">
        <f t="shared" si="9"/>
        <v>39662222.749849126</v>
      </c>
      <c r="J38" s="27">
        <f t="shared" si="9"/>
        <v>40700507.08024814</v>
      </c>
      <c r="K38" s="27">
        <f t="shared" si="9"/>
        <v>40621456.704774961</v>
      </c>
      <c r="L38" s="27">
        <f t="shared" si="9"/>
        <v>40496611.676133774</v>
      </c>
      <c r="M38" s="27">
        <f t="shared" si="9"/>
        <v>40456348.121170387</v>
      </c>
      <c r="N38" s="27">
        <f t="shared" si="9"/>
        <v>40162362.716208398</v>
      </c>
      <c r="O38" s="27">
        <f t="shared" si="9"/>
        <v>40560238.172617823</v>
      </c>
      <c r="P38" s="27">
        <f t="shared" si="9"/>
        <v>40034053.578397386</v>
      </c>
      <c r="Q38" s="27">
        <f t="shared" si="9"/>
        <v>39903918.620014369</v>
      </c>
      <c r="R38" s="27">
        <f t="shared" si="9"/>
        <v>39409553.686027899</v>
      </c>
      <c r="S38" s="27">
        <f t="shared" si="9"/>
        <v>39032376.000748903</v>
      </c>
      <c r="T38" s="27">
        <f t="shared" si="9"/>
        <v>38986513.756280519</v>
      </c>
      <c r="U38" s="27">
        <f t="shared" si="9"/>
        <v>38575570.161781967</v>
      </c>
      <c r="V38" s="27">
        <f t="shared" si="9"/>
        <v>727437889.50987625</v>
      </c>
    </row>
    <row r="40" spans="1:22">
      <c r="A40" s="39" t="s">
        <v>37</v>
      </c>
      <c r="B40" s="40">
        <v>2015</v>
      </c>
      <c r="C40" s="40">
        <f>B40+1</f>
        <v>2016</v>
      </c>
      <c r="D40" s="40">
        <f t="shared" ref="D40:U40" si="10">C40+1</f>
        <v>2017</v>
      </c>
      <c r="E40" s="40">
        <f t="shared" si="10"/>
        <v>2018</v>
      </c>
      <c r="F40" s="40">
        <f t="shared" si="10"/>
        <v>2019</v>
      </c>
      <c r="G40" s="40">
        <f t="shared" si="10"/>
        <v>2020</v>
      </c>
      <c r="H40" s="40">
        <f t="shared" si="10"/>
        <v>2021</v>
      </c>
      <c r="I40" s="40">
        <f t="shared" si="10"/>
        <v>2022</v>
      </c>
      <c r="J40" s="40">
        <f t="shared" si="10"/>
        <v>2023</v>
      </c>
      <c r="K40" s="40">
        <f t="shared" si="10"/>
        <v>2024</v>
      </c>
      <c r="L40" s="40">
        <f t="shared" si="10"/>
        <v>2025</v>
      </c>
      <c r="M40" s="40">
        <f t="shared" si="10"/>
        <v>2026</v>
      </c>
      <c r="N40" s="40">
        <f t="shared" si="10"/>
        <v>2027</v>
      </c>
      <c r="O40" s="40">
        <f t="shared" si="10"/>
        <v>2028</v>
      </c>
      <c r="P40" s="40">
        <f t="shared" si="10"/>
        <v>2029</v>
      </c>
      <c r="Q40" s="40">
        <f t="shared" si="10"/>
        <v>2030</v>
      </c>
      <c r="R40" s="40">
        <f t="shared" si="10"/>
        <v>2031</v>
      </c>
      <c r="S40" s="40">
        <f t="shared" si="10"/>
        <v>2032</v>
      </c>
      <c r="T40" s="40">
        <f t="shared" si="10"/>
        <v>2033</v>
      </c>
      <c r="U40" s="40">
        <f t="shared" si="10"/>
        <v>2034</v>
      </c>
      <c r="V40" s="40" t="s">
        <v>14</v>
      </c>
    </row>
    <row r="41" spans="1:22">
      <c r="A41" s="52" t="s">
        <v>2</v>
      </c>
      <c r="B41" s="42"/>
      <c r="C41" s="42"/>
      <c r="D41" s="42"/>
      <c r="E41" s="42"/>
      <c r="F41" s="42"/>
      <c r="G41" s="42"/>
      <c r="H41" s="42"/>
      <c r="I41" s="42"/>
      <c r="J41" s="42"/>
      <c r="K41" s="42"/>
      <c r="L41" s="42"/>
      <c r="M41" s="42"/>
      <c r="N41" s="42"/>
      <c r="O41" s="42"/>
      <c r="P41" s="42"/>
      <c r="Q41" s="42"/>
      <c r="R41" s="42"/>
      <c r="S41" s="42"/>
      <c r="T41" s="42"/>
      <c r="U41" s="42"/>
      <c r="V41" s="42"/>
    </row>
    <row r="42" spans="1:22">
      <c r="A42" s="43" t="s">
        <v>8</v>
      </c>
      <c r="B42" s="44">
        <f>B6+B24</f>
        <v>2755479.6278901715</v>
      </c>
      <c r="C42" s="44">
        <f t="shared" ref="C42:U47" si="11">C6+C24</f>
        <v>3149905.9690798884</v>
      </c>
      <c r="D42" s="44">
        <f t="shared" si="11"/>
        <v>3404085.0075990241</v>
      </c>
      <c r="E42" s="44">
        <f t="shared" si="11"/>
        <v>3855692.5675498052</v>
      </c>
      <c r="F42" s="44">
        <f t="shared" si="11"/>
        <v>3912006.6759738079</v>
      </c>
      <c r="G42" s="44">
        <f t="shared" si="11"/>
        <v>3996127.5436637858</v>
      </c>
      <c r="H42" s="44">
        <f t="shared" si="11"/>
        <v>4069049.6107840436</v>
      </c>
      <c r="I42" s="44">
        <f t="shared" si="11"/>
        <v>4151180.4245853177</v>
      </c>
      <c r="J42" s="44">
        <f t="shared" si="11"/>
        <v>4635910.7208080674</v>
      </c>
      <c r="K42" s="44">
        <f t="shared" si="11"/>
        <v>4693615.4760057675</v>
      </c>
      <c r="L42" s="44">
        <f t="shared" si="11"/>
        <v>4771842.4437888246</v>
      </c>
      <c r="M42" s="44">
        <f t="shared" si="11"/>
        <v>4841915.0973640727</v>
      </c>
      <c r="N42" s="44">
        <f t="shared" si="11"/>
        <v>4882176.6017307006</v>
      </c>
      <c r="O42" s="44">
        <f t="shared" si="11"/>
        <v>5072316.6362060253</v>
      </c>
      <c r="P42" s="44">
        <f t="shared" si="11"/>
        <v>4906735.2593835909</v>
      </c>
      <c r="Q42" s="44">
        <f t="shared" si="11"/>
        <v>4925669.6038009459</v>
      </c>
      <c r="R42" s="44">
        <f t="shared" si="11"/>
        <v>4803999.3180407435</v>
      </c>
      <c r="S42" s="44">
        <f t="shared" si="11"/>
        <v>4710934.2228999818</v>
      </c>
      <c r="T42" s="44">
        <f t="shared" si="11"/>
        <v>4748503.4921261873</v>
      </c>
      <c r="U42" s="44">
        <f t="shared" si="11"/>
        <v>4654977.3327959254</v>
      </c>
      <c r="V42" s="44">
        <f>SUM(B42:U42)</f>
        <v>86942123.632076681</v>
      </c>
    </row>
    <row r="43" spans="1:22">
      <c r="A43" s="45" t="s">
        <v>9</v>
      </c>
      <c r="B43" s="44">
        <f t="shared" ref="B43:Q47" si="12">B7+B25</f>
        <v>10501673.722335028</v>
      </c>
      <c r="C43" s="44">
        <f t="shared" si="12"/>
        <v>11533971.327680182</v>
      </c>
      <c r="D43" s="44">
        <f t="shared" si="12"/>
        <v>12027650.528782792</v>
      </c>
      <c r="E43" s="44">
        <f t="shared" si="12"/>
        <v>14596066.581227683</v>
      </c>
      <c r="F43" s="44">
        <f t="shared" si="12"/>
        <v>13809175.512189798</v>
      </c>
      <c r="G43" s="44">
        <f t="shared" si="12"/>
        <v>18168809.222891562</v>
      </c>
      <c r="H43" s="44">
        <f t="shared" si="12"/>
        <v>19604884.800872676</v>
      </c>
      <c r="I43" s="44">
        <f t="shared" si="12"/>
        <v>17367276.918925516</v>
      </c>
      <c r="J43" s="44">
        <f t="shared" si="12"/>
        <v>13572667.496912301</v>
      </c>
      <c r="K43" s="44">
        <f t="shared" si="12"/>
        <v>12699992.599536248</v>
      </c>
      <c r="L43" s="44">
        <f t="shared" si="12"/>
        <v>11525161.163803957</v>
      </c>
      <c r="M43" s="44">
        <f t="shared" si="12"/>
        <v>10420496.610309847</v>
      </c>
      <c r="N43" s="44">
        <f t="shared" si="12"/>
        <v>9798250.534576185</v>
      </c>
      <c r="O43" s="44">
        <f t="shared" si="12"/>
        <v>9397817.9483940266</v>
      </c>
      <c r="P43" s="44">
        <f t="shared" si="12"/>
        <v>8707196.4806192666</v>
      </c>
      <c r="Q43" s="44">
        <f t="shared" si="12"/>
        <v>8426228.7036457229</v>
      </c>
      <c r="R43" s="44">
        <f t="shared" si="11"/>
        <v>7842673.2377312873</v>
      </c>
      <c r="S43" s="44">
        <f t="shared" si="11"/>
        <v>7163526.5879474441</v>
      </c>
      <c r="T43" s="44">
        <f t="shared" si="11"/>
        <v>6744262.0896651847</v>
      </c>
      <c r="U43" s="44">
        <f t="shared" si="11"/>
        <v>6302543.3353512902</v>
      </c>
      <c r="V43" s="44">
        <f t="shared" ref="V43:V47" si="13">SUM(B43:U43)</f>
        <v>230210325.40339798</v>
      </c>
    </row>
    <row r="44" spans="1:22">
      <c r="A44" s="45" t="s">
        <v>10</v>
      </c>
      <c r="B44" s="44">
        <f t="shared" si="12"/>
        <v>2170352.135652177</v>
      </c>
      <c r="C44" s="44">
        <f t="shared" si="11"/>
        <v>2335736.9079963146</v>
      </c>
      <c r="D44" s="44">
        <f t="shared" si="11"/>
        <v>2436876.2649616892</v>
      </c>
      <c r="E44" s="44">
        <f t="shared" si="11"/>
        <v>2834510.7789599206</v>
      </c>
      <c r="F44" s="44">
        <f t="shared" si="11"/>
        <v>2795935.8936603027</v>
      </c>
      <c r="G44" s="44">
        <f t="shared" si="11"/>
        <v>5255440.854877457</v>
      </c>
      <c r="H44" s="44">
        <f t="shared" si="11"/>
        <v>8457628.0820455272</v>
      </c>
      <c r="I44" s="44">
        <f t="shared" si="11"/>
        <v>10489502.75332042</v>
      </c>
      <c r="J44" s="44">
        <f t="shared" si="11"/>
        <v>10017293.956753783</v>
      </c>
      <c r="K44" s="44">
        <f t="shared" si="11"/>
        <v>9750977.6228655446</v>
      </c>
      <c r="L44" s="44">
        <f t="shared" si="11"/>
        <v>9352630.0831259154</v>
      </c>
      <c r="M44" s="44">
        <f t="shared" si="11"/>
        <v>9172888.0701251235</v>
      </c>
      <c r="N44" s="44">
        <f t="shared" si="11"/>
        <v>9069709.9917581528</v>
      </c>
      <c r="O44" s="44">
        <f t="shared" si="11"/>
        <v>8888349.3262055162</v>
      </c>
      <c r="P44" s="44">
        <f t="shared" si="11"/>
        <v>8411879.9257619381</v>
      </c>
      <c r="Q44" s="44">
        <f t="shared" si="11"/>
        <v>8536607.630623173</v>
      </c>
      <c r="R44" s="44">
        <f t="shared" si="11"/>
        <v>8386117.1833839258</v>
      </c>
      <c r="S44" s="44">
        <f t="shared" si="11"/>
        <v>8167421.2876251945</v>
      </c>
      <c r="T44" s="44">
        <f t="shared" si="11"/>
        <v>7879961.8762933072</v>
      </c>
      <c r="U44" s="44">
        <f t="shared" si="11"/>
        <v>7712744.9680832401</v>
      </c>
      <c r="V44" s="44">
        <f t="shared" si="13"/>
        <v>142122565.59407863</v>
      </c>
    </row>
    <row r="45" spans="1:22">
      <c r="A45" s="45" t="s">
        <v>11</v>
      </c>
      <c r="B45" s="44">
        <f t="shared" si="12"/>
        <v>3195203.1474114722</v>
      </c>
      <c r="C45" s="44">
        <f t="shared" si="11"/>
        <v>3221057.9174730722</v>
      </c>
      <c r="D45" s="44">
        <f t="shared" si="11"/>
        <v>4082146.3192221089</v>
      </c>
      <c r="E45" s="44">
        <f t="shared" si="11"/>
        <v>4800621.5950993262</v>
      </c>
      <c r="F45" s="44">
        <f t="shared" si="11"/>
        <v>5306189.6485454673</v>
      </c>
      <c r="G45" s="44">
        <f t="shared" si="11"/>
        <v>5582524.3283978691</v>
      </c>
      <c r="H45" s="44">
        <f t="shared" si="11"/>
        <v>5916674.6341729527</v>
      </c>
      <c r="I45" s="44">
        <f t="shared" si="11"/>
        <v>6069188.4562345613</v>
      </c>
      <c r="J45" s="44">
        <f t="shared" si="11"/>
        <v>5560479.0666502211</v>
      </c>
      <c r="K45" s="44">
        <f t="shared" si="11"/>
        <v>5511430.9325035159</v>
      </c>
      <c r="L45" s="44">
        <f t="shared" si="11"/>
        <v>5537042.666186057</v>
      </c>
      <c r="M45" s="44">
        <f t="shared" si="11"/>
        <v>5761475.6778530357</v>
      </c>
      <c r="N45" s="44">
        <f t="shared" si="11"/>
        <v>5713026.0702515263</v>
      </c>
      <c r="O45" s="44">
        <f t="shared" si="11"/>
        <v>5667273.8967580292</v>
      </c>
      <c r="P45" s="44">
        <f t="shared" si="11"/>
        <v>5577474.1322200634</v>
      </c>
      <c r="Q45" s="44">
        <f t="shared" si="11"/>
        <v>5687782.3012999371</v>
      </c>
      <c r="R45" s="44">
        <f t="shared" si="11"/>
        <v>5623926.8696476826</v>
      </c>
      <c r="S45" s="44">
        <f t="shared" si="11"/>
        <v>5865387.0919734202</v>
      </c>
      <c r="T45" s="44">
        <f t="shared" si="11"/>
        <v>5838838.3833718784</v>
      </c>
      <c r="U45" s="44">
        <f t="shared" si="11"/>
        <v>5763697.0238485243</v>
      </c>
      <c r="V45" s="44">
        <f t="shared" si="13"/>
        <v>106281440.15912071</v>
      </c>
    </row>
    <row r="46" spans="1:22">
      <c r="A46" s="46" t="s">
        <v>12</v>
      </c>
      <c r="B46" s="44">
        <f t="shared" si="12"/>
        <v>1924261.3319004264</v>
      </c>
      <c r="C46" s="44">
        <f t="shared" si="11"/>
        <v>1960632.8214167245</v>
      </c>
      <c r="D46" s="44">
        <f t="shared" si="11"/>
        <v>2111518.6310879132</v>
      </c>
      <c r="E46" s="44">
        <f t="shared" si="11"/>
        <v>2374611.7716490119</v>
      </c>
      <c r="F46" s="44">
        <f t="shared" si="11"/>
        <v>2468788.1410666378</v>
      </c>
      <c r="G46" s="44">
        <f t="shared" si="11"/>
        <v>2851155.5626109205</v>
      </c>
      <c r="H46" s="44">
        <f t="shared" si="11"/>
        <v>3096465.6885596924</v>
      </c>
      <c r="I46" s="44">
        <f t="shared" si="11"/>
        <v>3214350.5734995799</v>
      </c>
      <c r="J46" s="44">
        <f t="shared" si="11"/>
        <v>2911109.9153909087</v>
      </c>
      <c r="K46" s="44">
        <f t="shared" si="11"/>
        <v>2850550.7911646138</v>
      </c>
      <c r="L46" s="44">
        <f t="shared" si="11"/>
        <v>2748920.9743353371</v>
      </c>
      <c r="M46" s="44">
        <f t="shared" si="11"/>
        <v>2639049.6900177612</v>
      </c>
      <c r="N46" s="44">
        <f t="shared" si="11"/>
        <v>2540543.1116127963</v>
      </c>
      <c r="O46" s="44">
        <f t="shared" si="11"/>
        <v>2561348.0095653976</v>
      </c>
      <c r="P46" s="44">
        <f t="shared" si="11"/>
        <v>2509246.0916831656</v>
      </c>
      <c r="Q46" s="44">
        <f t="shared" si="11"/>
        <v>2504049.3531738133</v>
      </c>
      <c r="R46" s="44">
        <f t="shared" si="11"/>
        <v>2448479.3293444114</v>
      </c>
      <c r="S46" s="44">
        <f t="shared" si="11"/>
        <v>2406138.4794764807</v>
      </c>
      <c r="T46" s="44">
        <f t="shared" si="11"/>
        <v>2363920.5474037859</v>
      </c>
      <c r="U46" s="44">
        <f t="shared" si="11"/>
        <v>2321814.9203402256</v>
      </c>
      <c r="V46" s="44">
        <f t="shared" si="13"/>
        <v>50806955.735299602</v>
      </c>
    </row>
    <row r="47" spans="1:22">
      <c r="A47" s="46" t="s">
        <v>13</v>
      </c>
      <c r="B47" s="47">
        <f t="shared" si="12"/>
        <v>343639.66137856746</v>
      </c>
      <c r="C47" s="47">
        <f t="shared" si="11"/>
        <v>420729.60235935607</v>
      </c>
      <c r="D47" s="47">
        <f t="shared" si="11"/>
        <v>447028.05921604217</v>
      </c>
      <c r="E47" s="47">
        <f t="shared" si="11"/>
        <v>520353.00783747487</v>
      </c>
      <c r="F47" s="47">
        <f t="shared" si="11"/>
        <v>513842.58737934299</v>
      </c>
      <c r="G47" s="47">
        <f t="shared" si="11"/>
        <v>646297.68467358139</v>
      </c>
      <c r="H47" s="47">
        <f t="shared" si="11"/>
        <v>755873.47945331514</v>
      </c>
      <c r="I47" s="47">
        <f t="shared" si="11"/>
        <v>827400.98931463435</v>
      </c>
      <c r="J47" s="47">
        <f t="shared" si="11"/>
        <v>893038.25521715521</v>
      </c>
      <c r="K47" s="47">
        <f t="shared" si="11"/>
        <v>878824.97873794404</v>
      </c>
      <c r="L47" s="47">
        <f t="shared" si="11"/>
        <v>878299.45523058297</v>
      </c>
      <c r="M47" s="47">
        <f t="shared" si="11"/>
        <v>864653.28867979115</v>
      </c>
      <c r="N47" s="47">
        <f t="shared" si="11"/>
        <v>864602.10378076974</v>
      </c>
      <c r="O47" s="47">
        <f t="shared" si="11"/>
        <v>866283.97838497732</v>
      </c>
      <c r="P47" s="47">
        <f t="shared" si="11"/>
        <v>825524.91902077803</v>
      </c>
      <c r="Q47" s="47">
        <f t="shared" si="11"/>
        <v>832467.1173287119</v>
      </c>
      <c r="R47" s="47">
        <f t="shared" si="11"/>
        <v>800613.46548303438</v>
      </c>
      <c r="S47" s="47">
        <f t="shared" si="11"/>
        <v>776123.14174109651</v>
      </c>
      <c r="T47" s="47">
        <f t="shared" si="11"/>
        <v>759431.76012128871</v>
      </c>
      <c r="U47" s="47">
        <f t="shared" si="11"/>
        <v>736039.5233256903</v>
      </c>
      <c r="V47" s="47">
        <f t="shared" si="13"/>
        <v>14451067.058664137</v>
      </c>
    </row>
    <row r="48" spans="1:22">
      <c r="A48" s="48" t="s">
        <v>15</v>
      </c>
      <c r="B48" s="49">
        <f>SUM(B42:B47)</f>
        <v>20890609.626567841</v>
      </c>
      <c r="C48" s="49">
        <f t="shared" ref="C48" si="14">SUM(C42:C47)</f>
        <v>22622034.546005536</v>
      </c>
      <c r="D48" s="49">
        <f t="shared" ref="D48" si="15">SUM(D42:D47)</f>
        <v>24509304.810869567</v>
      </c>
      <c r="E48" s="49">
        <f t="shared" ref="E48:V48" si="16">SUM(E42:E47)</f>
        <v>28981856.302323218</v>
      </c>
      <c r="F48" s="49">
        <f t="shared" si="16"/>
        <v>28805938.458815355</v>
      </c>
      <c r="G48" s="49">
        <f t="shared" si="16"/>
        <v>36500355.197115175</v>
      </c>
      <c r="H48" s="49">
        <f t="shared" si="16"/>
        <v>41900576.295888208</v>
      </c>
      <c r="I48" s="49">
        <f t="shared" si="16"/>
        <v>42118900.115880027</v>
      </c>
      <c r="J48" s="49">
        <f t="shared" si="16"/>
        <v>37590499.411732435</v>
      </c>
      <c r="K48" s="49">
        <f t="shared" si="16"/>
        <v>36385392.400813632</v>
      </c>
      <c r="L48" s="49">
        <f t="shared" si="16"/>
        <v>34813896.786470674</v>
      </c>
      <c r="M48" s="49">
        <f t="shared" si="16"/>
        <v>33700478.434349626</v>
      </c>
      <c r="N48" s="49">
        <f t="shared" si="16"/>
        <v>32868308.413710132</v>
      </c>
      <c r="O48" s="49">
        <f t="shared" si="16"/>
        <v>32453389.795513973</v>
      </c>
      <c r="P48" s="49">
        <f t="shared" si="16"/>
        <v>30938056.808688801</v>
      </c>
      <c r="Q48" s="49">
        <f t="shared" si="16"/>
        <v>30912804.709872305</v>
      </c>
      <c r="R48" s="49">
        <f t="shared" si="16"/>
        <v>29905809.403631084</v>
      </c>
      <c r="S48" s="49">
        <f t="shared" si="16"/>
        <v>29089530.81166362</v>
      </c>
      <c r="T48" s="49">
        <f t="shared" si="16"/>
        <v>28334918.148981635</v>
      </c>
      <c r="U48" s="49">
        <f t="shared" si="16"/>
        <v>27491817.103744894</v>
      </c>
      <c r="V48" s="49">
        <f t="shared" si="16"/>
        <v>630814477.58263767</v>
      </c>
    </row>
    <row r="49" spans="1:22">
      <c r="A49" s="42"/>
      <c r="B49" s="44"/>
      <c r="C49" s="44"/>
      <c r="D49" s="44"/>
      <c r="E49" s="44"/>
      <c r="F49" s="44"/>
      <c r="G49" s="44"/>
      <c r="H49" s="44"/>
      <c r="I49" s="44"/>
      <c r="J49" s="44"/>
      <c r="K49" s="44"/>
      <c r="L49" s="44"/>
      <c r="M49" s="44"/>
      <c r="N49" s="44"/>
      <c r="O49" s="44"/>
      <c r="P49" s="44"/>
      <c r="Q49" s="44"/>
      <c r="R49" s="44"/>
      <c r="S49" s="44"/>
      <c r="T49" s="44"/>
      <c r="U49" s="44"/>
      <c r="V49" s="44"/>
    </row>
    <row r="50" spans="1:22">
      <c r="A50" s="52" t="s">
        <v>3</v>
      </c>
      <c r="B50" s="44"/>
      <c r="C50" s="44"/>
      <c r="D50" s="44"/>
      <c r="E50" s="44"/>
      <c r="F50" s="44"/>
      <c r="G50" s="44"/>
      <c r="H50" s="44"/>
      <c r="I50" s="44"/>
      <c r="J50" s="44"/>
      <c r="K50" s="44"/>
      <c r="L50" s="44"/>
      <c r="M50" s="44"/>
      <c r="N50" s="44"/>
      <c r="O50" s="44"/>
      <c r="P50" s="44"/>
      <c r="Q50" s="44"/>
      <c r="R50" s="44"/>
      <c r="S50" s="44"/>
      <c r="T50" s="44"/>
      <c r="U50" s="44"/>
      <c r="V50" s="44"/>
    </row>
    <row r="51" spans="1:22">
      <c r="A51" s="46" t="s">
        <v>7</v>
      </c>
      <c r="B51" s="44">
        <f t="shared" ref="B51:U53" si="17">B15+B33</f>
        <v>4582797.4107568087</v>
      </c>
      <c r="C51" s="44">
        <f t="shared" si="17"/>
        <v>4982244.8194223577</v>
      </c>
      <c r="D51" s="44">
        <f t="shared" si="17"/>
        <v>5320118.2951669656</v>
      </c>
      <c r="E51" s="44">
        <f t="shared" si="17"/>
        <v>5015362.8773725852</v>
      </c>
      <c r="F51" s="44">
        <f t="shared" si="17"/>
        <v>5283018.9631349044</v>
      </c>
      <c r="G51" s="44">
        <f t="shared" si="17"/>
        <v>5445995.8625027128</v>
      </c>
      <c r="H51" s="44">
        <f t="shared" si="17"/>
        <v>5704047.7159890439</v>
      </c>
      <c r="I51" s="44">
        <f t="shared" si="17"/>
        <v>5506406.5344467731</v>
      </c>
      <c r="J51" s="44">
        <f t="shared" si="17"/>
        <v>5254863.5396643952</v>
      </c>
      <c r="K51" s="44">
        <f t="shared" si="17"/>
        <v>5106800.2395938653</v>
      </c>
      <c r="L51" s="44">
        <f t="shared" si="17"/>
        <v>5000801.6192430127</v>
      </c>
      <c r="M51" s="44">
        <f t="shared" si="17"/>
        <v>4912095.40123876</v>
      </c>
      <c r="N51" s="44">
        <f t="shared" si="17"/>
        <v>4939479.866013106</v>
      </c>
      <c r="O51" s="44">
        <f t="shared" si="17"/>
        <v>4858626.8030788554</v>
      </c>
      <c r="P51" s="44">
        <f t="shared" si="17"/>
        <v>4791693.0667090248</v>
      </c>
      <c r="Q51" s="44">
        <f t="shared" si="17"/>
        <v>4695917.8848355254</v>
      </c>
      <c r="R51" s="44">
        <f t="shared" si="17"/>
        <v>4579210.3586803293</v>
      </c>
      <c r="S51" s="44">
        <f t="shared" si="17"/>
        <v>4417007.3208048213</v>
      </c>
      <c r="T51" s="44">
        <f t="shared" si="17"/>
        <v>4247536.1396464109</v>
      </c>
      <c r="U51" s="44">
        <f t="shared" si="17"/>
        <v>4074124.4909716067</v>
      </c>
      <c r="V51" s="44">
        <f>SUM(B51:U51)</f>
        <v>98718149.209271863</v>
      </c>
    </row>
    <row r="52" spans="1:22">
      <c r="A52" s="46" t="s">
        <v>6</v>
      </c>
      <c r="B52" s="44">
        <f t="shared" si="17"/>
        <v>8054667.4727615453</v>
      </c>
      <c r="C52" s="44">
        <f t="shared" si="17"/>
        <v>8752986.514950674</v>
      </c>
      <c r="D52" s="44">
        <f t="shared" si="17"/>
        <v>9461971.9148423299</v>
      </c>
      <c r="E52" s="44">
        <f t="shared" si="17"/>
        <v>9469602.5436550248</v>
      </c>
      <c r="F52" s="44">
        <f t="shared" si="17"/>
        <v>9655654.3247761074</v>
      </c>
      <c r="G52" s="44">
        <f t="shared" si="17"/>
        <v>9830108.7751964908</v>
      </c>
      <c r="H52" s="44">
        <f t="shared" si="17"/>
        <v>10279260.6384994</v>
      </c>
      <c r="I52" s="44">
        <f t="shared" si="17"/>
        <v>9958274.5001093429</v>
      </c>
      <c r="J52" s="44">
        <f t="shared" si="17"/>
        <v>9586658.682743568</v>
      </c>
      <c r="K52" s="44">
        <f t="shared" si="17"/>
        <v>9364918.7169715539</v>
      </c>
      <c r="L52" s="44">
        <f t="shared" si="17"/>
        <v>9197329.5286784582</v>
      </c>
      <c r="M52" s="44">
        <f t="shared" si="17"/>
        <v>9052655.9330268744</v>
      </c>
      <c r="N52" s="44">
        <f t="shared" si="17"/>
        <v>9070144.5948546641</v>
      </c>
      <c r="O52" s="44">
        <f t="shared" si="17"/>
        <v>8980633.0001172088</v>
      </c>
      <c r="P52" s="44">
        <f t="shared" si="17"/>
        <v>8912197.5109638423</v>
      </c>
      <c r="Q52" s="44">
        <f t="shared" si="17"/>
        <v>8796766.3935966305</v>
      </c>
      <c r="R52" s="44">
        <f t="shared" si="17"/>
        <v>8646360.226164503</v>
      </c>
      <c r="S52" s="44">
        <f t="shared" si="17"/>
        <v>8420792.3214444723</v>
      </c>
      <c r="T52" s="44">
        <f t="shared" si="17"/>
        <v>8181012.4013978206</v>
      </c>
      <c r="U52" s="44">
        <f t="shared" si="17"/>
        <v>7932255.3902341668</v>
      </c>
      <c r="V52" s="44">
        <f>SUM(B52:U52)</f>
        <v>181604251.3849847</v>
      </c>
    </row>
    <row r="53" spans="1:22">
      <c r="A53" s="46" t="s">
        <v>5</v>
      </c>
      <c r="B53" s="47">
        <f t="shared" si="17"/>
        <v>18960806.02139055</v>
      </c>
      <c r="C53" s="47">
        <f t="shared" si="17"/>
        <v>21594892.904608943</v>
      </c>
      <c r="D53" s="47">
        <f t="shared" si="17"/>
        <v>25256620.320028506</v>
      </c>
      <c r="E53" s="47">
        <f t="shared" si="17"/>
        <v>29491159.76749517</v>
      </c>
      <c r="F53" s="47">
        <f t="shared" si="17"/>
        <v>34478703.197319947</v>
      </c>
      <c r="G53" s="47">
        <f t="shared" si="17"/>
        <v>35208857.019117281</v>
      </c>
      <c r="H53" s="47">
        <f t="shared" si="17"/>
        <v>38344492.183390498</v>
      </c>
      <c r="I53" s="47">
        <f t="shared" si="17"/>
        <v>38982833.245162338</v>
      </c>
      <c r="J53" s="47">
        <f t="shared" si="17"/>
        <v>39661618.045726106</v>
      </c>
      <c r="K53" s="47">
        <f t="shared" si="17"/>
        <v>39895138.215076558</v>
      </c>
      <c r="L53" s="47">
        <f t="shared" si="17"/>
        <v>40027174.675320119</v>
      </c>
      <c r="M53" s="47">
        <f t="shared" si="17"/>
        <v>40160744.143928126</v>
      </c>
      <c r="N53" s="47">
        <f t="shared" si="17"/>
        <v>39814332.199120566</v>
      </c>
      <c r="O53" s="47">
        <f t="shared" si="17"/>
        <v>39828299.319872722</v>
      </c>
      <c r="P53" s="47">
        <f t="shared" si="17"/>
        <v>39678486.20249176</v>
      </c>
      <c r="Q53" s="47">
        <f t="shared" si="17"/>
        <v>39424259.074930906</v>
      </c>
      <c r="R53" s="47">
        <f t="shared" si="17"/>
        <v>39150183.550896518</v>
      </c>
      <c r="S53" s="47">
        <f t="shared" si="17"/>
        <v>39025011.981859095</v>
      </c>
      <c r="T53" s="47">
        <f t="shared" si="17"/>
        <v>38866672.290105417</v>
      </c>
      <c r="U53" s="47">
        <f t="shared" si="17"/>
        <v>38700347.166812152</v>
      </c>
      <c r="V53" s="47">
        <f>SUM(B53:U53)</f>
        <v>716550631.52465332</v>
      </c>
    </row>
    <row r="54" spans="1:22">
      <c r="A54" s="48" t="s">
        <v>16</v>
      </c>
      <c r="B54" s="49">
        <f>SUM(B51:B53)</f>
        <v>31598270.904908903</v>
      </c>
      <c r="C54" s="49">
        <f t="shared" ref="C54:V54" si="18">SUM(C51:C53)</f>
        <v>35330124.238981977</v>
      </c>
      <c r="D54" s="49">
        <f t="shared" si="18"/>
        <v>40038710.530037805</v>
      </c>
      <c r="E54" s="49">
        <f t="shared" si="18"/>
        <v>43976125.188522778</v>
      </c>
      <c r="F54" s="49">
        <f t="shared" si="18"/>
        <v>49417376.48523096</v>
      </c>
      <c r="G54" s="49">
        <f t="shared" si="18"/>
        <v>50484961.656816483</v>
      </c>
      <c r="H54" s="49">
        <f t="shared" si="18"/>
        <v>54327800.537878945</v>
      </c>
      <c r="I54" s="49">
        <f t="shared" si="18"/>
        <v>54447514.279718459</v>
      </c>
      <c r="J54" s="49">
        <f t="shared" si="18"/>
        <v>54503140.268134072</v>
      </c>
      <c r="K54" s="49">
        <f t="shared" si="18"/>
        <v>54366857.171641976</v>
      </c>
      <c r="L54" s="49">
        <f t="shared" si="18"/>
        <v>54225305.823241591</v>
      </c>
      <c r="M54" s="49">
        <f t="shared" si="18"/>
        <v>54125495.47819376</v>
      </c>
      <c r="N54" s="49">
        <f t="shared" si="18"/>
        <v>53823956.659988336</v>
      </c>
      <c r="O54" s="49">
        <f t="shared" si="18"/>
        <v>53667559.123068787</v>
      </c>
      <c r="P54" s="49">
        <f t="shared" si="18"/>
        <v>53382376.780164629</v>
      </c>
      <c r="Q54" s="49">
        <f t="shared" si="18"/>
        <v>52916943.353363067</v>
      </c>
      <c r="R54" s="49">
        <f t="shared" si="18"/>
        <v>52375754.135741353</v>
      </c>
      <c r="S54" s="49">
        <f t="shared" si="18"/>
        <v>51862811.624108389</v>
      </c>
      <c r="T54" s="49">
        <f t="shared" si="18"/>
        <v>51295220.831149653</v>
      </c>
      <c r="U54" s="49">
        <f t="shared" si="18"/>
        <v>50706727.048017927</v>
      </c>
      <c r="V54" s="49">
        <f t="shared" si="18"/>
        <v>996873032.11890984</v>
      </c>
    </row>
    <row r="55" spans="1:22">
      <c r="A55" s="48"/>
      <c r="B55" s="44"/>
      <c r="C55" s="44"/>
      <c r="D55" s="44"/>
      <c r="E55" s="44"/>
      <c r="F55" s="44"/>
      <c r="G55" s="44"/>
      <c r="H55" s="44"/>
      <c r="I55" s="44"/>
      <c r="J55" s="44"/>
      <c r="K55" s="44"/>
      <c r="L55" s="44"/>
      <c r="M55" s="44"/>
      <c r="N55" s="44"/>
      <c r="O55" s="44"/>
      <c r="P55" s="44"/>
      <c r="Q55" s="44"/>
      <c r="R55" s="44"/>
      <c r="S55" s="44"/>
      <c r="T55" s="44"/>
      <c r="U55" s="44"/>
      <c r="V55" s="44"/>
    </row>
    <row r="56" spans="1:22">
      <c r="A56" s="41" t="s">
        <v>4</v>
      </c>
      <c r="B56" s="49">
        <f>B48+B54</f>
        <v>52488880.531476744</v>
      </c>
      <c r="C56" s="49">
        <f t="shared" ref="C56:V56" si="19">C48+C54</f>
        <v>57952158.784987509</v>
      </c>
      <c r="D56" s="49">
        <f t="shared" si="19"/>
        <v>64548015.340907373</v>
      </c>
      <c r="E56" s="49">
        <f t="shared" si="19"/>
        <v>72957981.490845993</v>
      </c>
      <c r="F56" s="49">
        <f t="shared" si="19"/>
        <v>78223314.944046319</v>
      </c>
      <c r="G56" s="49">
        <f t="shared" si="19"/>
        <v>86985316.853931665</v>
      </c>
      <c r="H56" s="49">
        <f t="shared" si="19"/>
        <v>96228376.833767146</v>
      </c>
      <c r="I56" s="49">
        <f t="shared" si="19"/>
        <v>96566414.395598486</v>
      </c>
      <c r="J56" s="49">
        <f t="shared" si="19"/>
        <v>92093639.679866508</v>
      </c>
      <c r="K56" s="49">
        <f t="shared" si="19"/>
        <v>90752249.572455615</v>
      </c>
      <c r="L56" s="49">
        <f t="shared" si="19"/>
        <v>89039202.609712273</v>
      </c>
      <c r="M56" s="49">
        <f t="shared" si="19"/>
        <v>87825973.912543386</v>
      </c>
      <c r="N56" s="49">
        <f t="shared" si="19"/>
        <v>86692265.073698461</v>
      </c>
      <c r="O56" s="49">
        <f t="shared" si="19"/>
        <v>86120948.918582767</v>
      </c>
      <c r="P56" s="49">
        <f t="shared" si="19"/>
        <v>84320433.588853434</v>
      </c>
      <c r="Q56" s="49">
        <f t="shared" si="19"/>
        <v>83829748.063235372</v>
      </c>
      <c r="R56" s="49">
        <f t="shared" si="19"/>
        <v>82281563.539372444</v>
      </c>
      <c r="S56" s="49">
        <f t="shared" si="19"/>
        <v>80952342.435772002</v>
      </c>
      <c r="T56" s="49">
        <f t="shared" si="19"/>
        <v>79630138.980131283</v>
      </c>
      <c r="U56" s="49">
        <f t="shared" si="19"/>
        <v>78198544.151762813</v>
      </c>
      <c r="V56" s="49">
        <f t="shared" si="19"/>
        <v>1627687509.7015476</v>
      </c>
    </row>
    <row r="58" spans="1:22" ht="15.75">
      <c r="A58" s="68" t="s">
        <v>31</v>
      </c>
    </row>
    <row r="59" spans="1:22">
      <c r="A59" s="28" t="s">
        <v>0</v>
      </c>
      <c r="B59" s="29">
        <v>2015</v>
      </c>
      <c r="C59" s="29">
        <f>B59+1</f>
        <v>2016</v>
      </c>
      <c r="D59" s="29">
        <f t="shared" ref="D59:U59" si="20">C59+1</f>
        <v>2017</v>
      </c>
      <c r="E59" s="29">
        <f t="shared" si="20"/>
        <v>2018</v>
      </c>
      <c r="F59" s="29">
        <f t="shared" si="20"/>
        <v>2019</v>
      </c>
      <c r="G59" s="29">
        <f t="shared" si="20"/>
        <v>2020</v>
      </c>
      <c r="H59" s="29">
        <f t="shared" si="20"/>
        <v>2021</v>
      </c>
      <c r="I59" s="29">
        <f t="shared" si="20"/>
        <v>2022</v>
      </c>
      <c r="J59" s="29">
        <f t="shared" si="20"/>
        <v>2023</v>
      </c>
      <c r="K59" s="29">
        <f t="shared" si="20"/>
        <v>2024</v>
      </c>
      <c r="L59" s="29">
        <f t="shared" si="20"/>
        <v>2025</v>
      </c>
      <c r="M59" s="29">
        <f t="shared" si="20"/>
        <v>2026</v>
      </c>
      <c r="N59" s="29">
        <f t="shared" si="20"/>
        <v>2027</v>
      </c>
      <c r="O59" s="29">
        <f t="shared" si="20"/>
        <v>2028</v>
      </c>
      <c r="P59" s="29">
        <f t="shared" si="20"/>
        <v>2029</v>
      </c>
      <c r="Q59" s="29">
        <f t="shared" si="20"/>
        <v>2030</v>
      </c>
      <c r="R59" s="29">
        <f t="shared" si="20"/>
        <v>2031</v>
      </c>
      <c r="S59" s="29">
        <f t="shared" si="20"/>
        <v>2032</v>
      </c>
      <c r="T59" s="29">
        <f t="shared" si="20"/>
        <v>2033</v>
      </c>
      <c r="U59" s="29">
        <f t="shared" si="20"/>
        <v>2034</v>
      </c>
      <c r="V59" s="29" t="s">
        <v>14</v>
      </c>
    </row>
    <row r="60" spans="1:22">
      <c r="A60" s="34" t="s">
        <v>2</v>
      </c>
      <c r="B60" s="71">
        <v>789137.13036558428</v>
      </c>
      <c r="C60" s="71">
        <v>790209.94312090555</v>
      </c>
      <c r="D60" s="71">
        <v>802672.96723190229</v>
      </c>
      <c r="E60" s="71">
        <v>858945.44268544973</v>
      </c>
      <c r="F60" s="71">
        <v>839653.75312703685</v>
      </c>
      <c r="G60" s="71">
        <v>897345</v>
      </c>
      <c r="H60" s="71">
        <v>897345</v>
      </c>
      <c r="I60" s="71">
        <v>897345</v>
      </c>
      <c r="J60" s="71">
        <v>897345</v>
      </c>
      <c r="K60" s="71">
        <v>897345</v>
      </c>
      <c r="L60" s="71">
        <v>897345</v>
      </c>
      <c r="M60" s="71">
        <v>890667.99937455275</v>
      </c>
      <c r="N60" s="71">
        <v>871531.10920443945</v>
      </c>
      <c r="O60" s="71">
        <v>821618.94335119356</v>
      </c>
      <c r="P60" s="71">
        <v>792529.01940820459</v>
      </c>
      <c r="Q60" s="71">
        <v>790882.16737946239</v>
      </c>
      <c r="R60" s="71">
        <v>769336.37129642174</v>
      </c>
      <c r="S60" s="71">
        <v>747877.88162669307</v>
      </c>
      <c r="T60" s="71">
        <v>715326.03176815342</v>
      </c>
      <c r="U60" s="71">
        <v>696698.47143434093</v>
      </c>
      <c r="V60" s="71">
        <f>SUM(B60:U60)</f>
        <v>16561157.231374344</v>
      </c>
    </row>
    <row r="61" spans="1:22">
      <c r="A61" s="34" t="s">
        <v>3</v>
      </c>
      <c r="B61" s="36">
        <v>239357.93906941381</v>
      </c>
      <c r="C61" s="36">
        <v>484489.9517653918</v>
      </c>
      <c r="D61" s="36">
        <v>766511.98838440399</v>
      </c>
      <c r="E61" s="36">
        <v>1136285.913877605</v>
      </c>
      <c r="F61" s="36">
        <v>1354242.0582619018</v>
      </c>
      <c r="G61" s="36">
        <v>1551762.7567066511</v>
      </c>
      <c r="H61" s="36">
        <v>1631023.6337818354</v>
      </c>
      <c r="I61" s="36">
        <v>1711724.3663046663</v>
      </c>
      <c r="J61" s="36">
        <v>1796237.9347916292</v>
      </c>
      <c r="K61" s="36">
        <v>1886174.2336350428</v>
      </c>
      <c r="L61" s="36">
        <v>1985930.4785585986</v>
      </c>
      <c r="M61" s="36">
        <v>2097144.6780387163</v>
      </c>
      <c r="N61" s="36">
        <v>2218947.7603829592</v>
      </c>
      <c r="O61" s="36">
        <v>2353235.2552526044</v>
      </c>
      <c r="P61" s="36">
        <v>2498062.6249182634</v>
      </c>
      <c r="Q61" s="36">
        <v>2646145.9655819256</v>
      </c>
      <c r="R61" s="36">
        <v>2804698.0191572909</v>
      </c>
      <c r="S61" s="36">
        <v>2977752.9001112818</v>
      </c>
      <c r="T61" s="36">
        <v>3167111.4179987335</v>
      </c>
      <c r="U61" s="36">
        <v>3373453.0156994183</v>
      </c>
      <c r="V61" s="36">
        <f>SUM(B61:U61)</f>
        <v>38680292.892278329</v>
      </c>
    </row>
    <row r="62" spans="1:22">
      <c r="A62" s="34" t="s">
        <v>4</v>
      </c>
      <c r="B62" s="38">
        <f t="shared" ref="B62:U62" si="21">SUM(B60:B61)</f>
        <v>1028495.0694349981</v>
      </c>
      <c r="C62" s="38">
        <f t="shared" si="21"/>
        <v>1274699.8948862974</v>
      </c>
      <c r="D62" s="38">
        <f t="shared" si="21"/>
        <v>1569184.9556163063</v>
      </c>
      <c r="E62" s="38">
        <f t="shared" si="21"/>
        <v>1995231.3565630547</v>
      </c>
      <c r="F62" s="38">
        <f t="shared" si="21"/>
        <v>2193895.8113889387</v>
      </c>
      <c r="G62" s="38">
        <f t="shared" si="21"/>
        <v>2449107.7567066513</v>
      </c>
      <c r="H62" s="38">
        <f t="shared" si="21"/>
        <v>2528368.6337818354</v>
      </c>
      <c r="I62" s="38">
        <f t="shared" si="21"/>
        <v>2609069.3663046663</v>
      </c>
      <c r="J62" s="38">
        <f t="shared" si="21"/>
        <v>2693582.9347916292</v>
      </c>
      <c r="K62" s="38">
        <f t="shared" si="21"/>
        <v>2783519.2336350428</v>
      </c>
      <c r="L62" s="38">
        <f t="shared" si="21"/>
        <v>2883275.4785585986</v>
      </c>
      <c r="M62" s="38">
        <f t="shared" si="21"/>
        <v>2987812.6774132689</v>
      </c>
      <c r="N62" s="38">
        <f t="shared" si="21"/>
        <v>3090478.8695873986</v>
      </c>
      <c r="O62" s="38">
        <f t="shared" si="21"/>
        <v>3174854.1986037977</v>
      </c>
      <c r="P62" s="38">
        <f t="shared" si="21"/>
        <v>3290591.644326468</v>
      </c>
      <c r="Q62" s="38">
        <f t="shared" si="21"/>
        <v>3437028.1329613877</v>
      </c>
      <c r="R62" s="38">
        <f t="shared" si="21"/>
        <v>3574034.3904537125</v>
      </c>
      <c r="S62" s="38">
        <f t="shared" si="21"/>
        <v>3725630.7817379748</v>
      </c>
      <c r="T62" s="38">
        <f t="shared" si="21"/>
        <v>3882437.4497668869</v>
      </c>
      <c r="U62" s="38">
        <f t="shared" si="21"/>
        <v>4070151.4871337591</v>
      </c>
      <c r="V62" s="38">
        <f>SUM(V60:V61)</f>
        <v>55241450.123652674</v>
      </c>
    </row>
    <row r="63" spans="1:22">
      <c r="A63" s="1"/>
    </row>
    <row r="64" spans="1:22">
      <c r="A64" s="17" t="s">
        <v>1</v>
      </c>
      <c r="B64" s="18">
        <v>2015</v>
      </c>
      <c r="C64" s="18">
        <f>B64+1</f>
        <v>2016</v>
      </c>
      <c r="D64" s="18">
        <f t="shared" ref="D64:U64" si="22">C64+1</f>
        <v>2017</v>
      </c>
      <c r="E64" s="18">
        <f t="shared" si="22"/>
        <v>2018</v>
      </c>
      <c r="F64" s="18">
        <f t="shared" si="22"/>
        <v>2019</v>
      </c>
      <c r="G64" s="18">
        <f t="shared" si="22"/>
        <v>2020</v>
      </c>
      <c r="H64" s="18">
        <f t="shared" si="22"/>
        <v>2021</v>
      </c>
      <c r="I64" s="18">
        <f t="shared" si="22"/>
        <v>2022</v>
      </c>
      <c r="J64" s="18">
        <f t="shared" si="22"/>
        <v>2023</v>
      </c>
      <c r="K64" s="18">
        <f t="shared" si="22"/>
        <v>2024</v>
      </c>
      <c r="L64" s="18">
        <f t="shared" si="22"/>
        <v>2025</v>
      </c>
      <c r="M64" s="18">
        <f t="shared" si="22"/>
        <v>2026</v>
      </c>
      <c r="N64" s="18">
        <f t="shared" si="22"/>
        <v>2027</v>
      </c>
      <c r="O64" s="18">
        <f t="shared" si="22"/>
        <v>2028</v>
      </c>
      <c r="P64" s="18">
        <f t="shared" si="22"/>
        <v>2029</v>
      </c>
      <c r="Q64" s="18">
        <f t="shared" si="22"/>
        <v>2030</v>
      </c>
      <c r="R64" s="18">
        <f t="shared" si="22"/>
        <v>2031</v>
      </c>
      <c r="S64" s="18">
        <f t="shared" si="22"/>
        <v>2032</v>
      </c>
      <c r="T64" s="18">
        <f t="shared" si="22"/>
        <v>2033</v>
      </c>
      <c r="U64" s="18">
        <f t="shared" si="22"/>
        <v>2034</v>
      </c>
      <c r="V64" s="18" t="s">
        <v>14</v>
      </c>
    </row>
    <row r="65" spans="1:22">
      <c r="A65" s="23" t="s">
        <v>2</v>
      </c>
      <c r="B65" s="22">
        <v>789137.13036558428</v>
      </c>
      <c r="C65" s="22">
        <v>790209.94312090555</v>
      </c>
      <c r="D65" s="22">
        <v>802672.96723190229</v>
      </c>
      <c r="E65" s="22">
        <v>858945.44268544973</v>
      </c>
      <c r="F65" s="22">
        <v>839653.75312703685</v>
      </c>
      <c r="G65" s="22">
        <v>897345</v>
      </c>
      <c r="H65" s="22">
        <v>897345</v>
      </c>
      <c r="I65" s="22">
        <v>897345</v>
      </c>
      <c r="J65" s="22">
        <v>897345</v>
      </c>
      <c r="K65" s="22">
        <v>897345</v>
      </c>
      <c r="L65" s="22">
        <v>897345</v>
      </c>
      <c r="M65" s="22">
        <v>890667.99937455275</v>
      </c>
      <c r="N65" s="22">
        <v>871531.10920443945</v>
      </c>
      <c r="O65" s="22">
        <v>821618.94335119356</v>
      </c>
      <c r="P65" s="22">
        <v>792529.01940820459</v>
      </c>
      <c r="Q65" s="22">
        <v>790882.16737946239</v>
      </c>
      <c r="R65" s="22">
        <v>769336.37129642174</v>
      </c>
      <c r="S65" s="22">
        <v>747877.88162669307</v>
      </c>
      <c r="T65" s="22">
        <v>715326.03176815342</v>
      </c>
      <c r="U65" s="22">
        <v>696698.47143434093</v>
      </c>
      <c r="V65" s="22">
        <f>SUM(B65:U65)</f>
        <v>16561157.231374344</v>
      </c>
    </row>
    <row r="66" spans="1:22">
      <c r="A66" s="23" t="s">
        <v>3</v>
      </c>
      <c r="B66" s="25">
        <v>311165.32079023798</v>
      </c>
      <c r="C66" s="25">
        <v>629836.93729500938</v>
      </c>
      <c r="D66" s="25">
        <v>996465.58489972516</v>
      </c>
      <c r="E66" s="25">
        <v>1477171.6880408865</v>
      </c>
      <c r="F66" s="25">
        <v>1760514.6757404725</v>
      </c>
      <c r="G66" s="25">
        <v>2017291.5837186463</v>
      </c>
      <c r="H66" s="25">
        <v>2120330.7239163863</v>
      </c>
      <c r="I66" s="25">
        <v>2225241.6761960662</v>
      </c>
      <c r="J66" s="25">
        <v>2335109.3152291179</v>
      </c>
      <c r="K66" s="25">
        <v>2452026.5037255557</v>
      </c>
      <c r="L66" s="25">
        <v>2581709.6221261779</v>
      </c>
      <c r="M66" s="25">
        <v>2726288.081450331</v>
      </c>
      <c r="N66" s="25">
        <v>2884632.0884978469</v>
      </c>
      <c r="O66" s="25">
        <v>3059205.8318283856</v>
      </c>
      <c r="P66" s="25">
        <v>3247481.4123937422</v>
      </c>
      <c r="Q66" s="25">
        <v>3439989.7552565034</v>
      </c>
      <c r="R66" s="25">
        <v>3646107.4249044782</v>
      </c>
      <c r="S66" s="25">
        <v>3871078.7701446665</v>
      </c>
      <c r="T66" s="25">
        <v>4117244.8433983536</v>
      </c>
      <c r="U66" s="25">
        <v>4385488.9204092436</v>
      </c>
      <c r="V66" s="25">
        <f>SUM(B66:U66)</f>
        <v>50284380.759961829</v>
      </c>
    </row>
    <row r="67" spans="1:22">
      <c r="A67" s="23" t="s">
        <v>4</v>
      </c>
      <c r="B67" s="27">
        <f>SUM(B65:B66)</f>
        <v>1100302.4511558223</v>
      </c>
      <c r="C67" s="27">
        <f t="shared" ref="C67:V67" si="23">SUM(C65:C66)</f>
        <v>1420046.880415915</v>
      </c>
      <c r="D67" s="27">
        <f t="shared" si="23"/>
        <v>1799138.5521316275</v>
      </c>
      <c r="E67" s="27">
        <f t="shared" si="23"/>
        <v>2336117.1307263365</v>
      </c>
      <c r="F67" s="27">
        <f t="shared" si="23"/>
        <v>2600168.4288675096</v>
      </c>
      <c r="G67" s="27">
        <f t="shared" si="23"/>
        <v>2914636.5837186463</v>
      </c>
      <c r="H67" s="27">
        <f t="shared" si="23"/>
        <v>3017675.7239163863</v>
      </c>
      <c r="I67" s="27">
        <f t="shared" si="23"/>
        <v>3122586.6761960662</v>
      </c>
      <c r="J67" s="27">
        <f t="shared" si="23"/>
        <v>3232454.3152291179</v>
      </c>
      <c r="K67" s="27">
        <f t="shared" si="23"/>
        <v>3349371.5037255557</v>
      </c>
      <c r="L67" s="27">
        <f t="shared" si="23"/>
        <v>3479054.6221261779</v>
      </c>
      <c r="M67" s="27">
        <f t="shared" si="23"/>
        <v>3616956.0808248837</v>
      </c>
      <c r="N67" s="27">
        <f t="shared" si="23"/>
        <v>3756163.1977022863</v>
      </c>
      <c r="O67" s="27">
        <f t="shared" si="23"/>
        <v>3880824.7751795789</v>
      </c>
      <c r="P67" s="27">
        <f t="shared" si="23"/>
        <v>4040010.4318019468</v>
      </c>
      <c r="Q67" s="27">
        <f t="shared" si="23"/>
        <v>4230871.922635966</v>
      </c>
      <c r="R67" s="27">
        <f t="shared" si="23"/>
        <v>4415443.7962009003</v>
      </c>
      <c r="S67" s="27">
        <f t="shared" si="23"/>
        <v>4618956.6517713591</v>
      </c>
      <c r="T67" s="27">
        <f t="shared" si="23"/>
        <v>4832570.8751665074</v>
      </c>
      <c r="U67" s="27">
        <f t="shared" si="23"/>
        <v>5082187.3918435844</v>
      </c>
      <c r="V67" s="27">
        <f t="shared" si="23"/>
        <v>66845537.991336174</v>
      </c>
    </row>
    <row r="69" spans="1:22">
      <c r="A69" s="39" t="s">
        <v>20</v>
      </c>
      <c r="B69" s="40">
        <v>2015</v>
      </c>
      <c r="C69" s="40">
        <f>B69+1</f>
        <v>2016</v>
      </c>
      <c r="D69" s="40">
        <f t="shared" ref="D69:U69" si="24">C69+1</f>
        <v>2017</v>
      </c>
      <c r="E69" s="40">
        <f t="shared" si="24"/>
        <v>2018</v>
      </c>
      <c r="F69" s="40">
        <f t="shared" si="24"/>
        <v>2019</v>
      </c>
      <c r="G69" s="40">
        <f t="shared" si="24"/>
        <v>2020</v>
      </c>
      <c r="H69" s="40">
        <f t="shared" si="24"/>
        <v>2021</v>
      </c>
      <c r="I69" s="40">
        <f t="shared" si="24"/>
        <v>2022</v>
      </c>
      <c r="J69" s="40">
        <f t="shared" si="24"/>
        <v>2023</v>
      </c>
      <c r="K69" s="40">
        <f t="shared" si="24"/>
        <v>2024</v>
      </c>
      <c r="L69" s="40">
        <f t="shared" si="24"/>
        <v>2025</v>
      </c>
      <c r="M69" s="40">
        <f t="shared" si="24"/>
        <v>2026</v>
      </c>
      <c r="N69" s="40">
        <f t="shared" si="24"/>
        <v>2027</v>
      </c>
      <c r="O69" s="40">
        <f t="shared" si="24"/>
        <v>2028</v>
      </c>
      <c r="P69" s="40">
        <f t="shared" si="24"/>
        <v>2029</v>
      </c>
      <c r="Q69" s="40">
        <f t="shared" si="24"/>
        <v>2030</v>
      </c>
      <c r="R69" s="40">
        <f t="shared" si="24"/>
        <v>2031</v>
      </c>
      <c r="S69" s="40">
        <f t="shared" si="24"/>
        <v>2032</v>
      </c>
      <c r="T69" s="40">
        <f t="shared" si="24"/>
        <v>2033</v>
      </c>
      <c r="U69" s="40">
        <f t="shared" si="24"/>
        <v>2034</v>
      </c>
      <c r="V69" s="40" t="s">
        <v>14</v>
      </c>
    </row>
    <row r="70" spans="1:22">
      <c r="A70" s="45" t="s">
        <v>2</v>
      </c>
      <c r="B70" s="44">
        <f>B60+B65</f>
        <v>1578274.2607311686</v>
      </c>
      <c r="C70" s="44">
        <f t="shared" ref="C70:V70" si="25">C60+C65</f>
        <v>1580419.8862418111</v>
      </c>
      <c r="D70" s="44">
        <f t="shared" si="25"/>
        <v>1605345.9344638046</v>
      </c>
      <c r="E70" s="44">
        <f t="shared" si="25"/>
        <v>1717890.8853708995</v>
      </c>
      <c r="F70" s="44">
        <f t="shared" si="25"/>
        <v>1679307.5062540737</v>
      </c>
      <c r="G70" s="44">
        <f t="shared" si="25"/>
        <v>1794690</v>
      </c>
      <c r="H70" s="44">
        <f t="shared" si="25"/>
        <v>1794690</v>
      </c>
      <c r="I70" s="44">
        <f t="shared" si="25"/>
        <v>1794690</v>
      </c>
      <c r="J70" s="44">
        <f t="shared" si="25"/>
        <v>1794690</v>
      </c>
      <c r="K70" s="44">
        <f t="shared" si="25"/>
        <v>1794690</v>
      </c>
      <c r="L70" s="44">
        <f t="shared" si="25"/>
        <v>1794690</v>
      </c>
      <c r="M70" s="44">
        <f t="shared" si="25"/>
        <v>1781335.9987491055</v>
      </c>
      <c r="N70" s="44">
        <f t="shared" si="25"/>
        <v>1743062.2184088789</v>
      </c>
      <c r="O70" s="44">
        <f t="shared" si="25"/>
        <v>1643237.8867023871</v>
      </c>
      <c r="P70" s="44">
        <f t="shared" si="25"/>
        <v>1585058.0388164092</v>
      </c>
      <c r="Q70" s="44">
        <f t="shared" si="25"/>
        <v>1581764.3347589248</v>
      </c>
      <c r="R70" s="44">
        <f t="shared" si="25"/>
        <v>1538672.7425928435</v>
      </c>
      <c r="S70" s="44">
        <f t="shared" si="25"/>
        <v>1495755.7632533861</v>
      </c>
      <c r="T70" s="44">
        <f t="shared" si="25"/>
        <v>1430652.0635363068</v>
      </c>
      <c r="U70" s="44">
        <f t="shared" si="25"/>
        <v>1393396.9428686819</v>
      </c>
      <c r="V70" s="44">
        <f t="shared" si="25"/>
        <v>33122314.462748688</v>
      </c>
    </row>
    <row r="71" spans="1:22">
      <c r="A71" s="45" t="s">
        <v>3</v>
      </c>
      <c r="B71" s="47">
        <f>B61+B66</f>
        <v>550523.25985965179</v>
      </c>
      <c r="C71" s="47">
        <f t="shared" ref="C71:V71" si="26">C61+C66</f>
        <v>1114326.8890604011</v>
      </c>
      <c r="D71" s="47">
        <f t="shared" si="26"/>
        <v>1762977.5732841291</v>
      </c>
      <c r="E71" s="47">
        <f t="shared" si="26"/>
        <v>2613457.6019184915</v>
      </c>
      <c r="F71" s="47">
        <f t="shared" si="26"/>
        <v>3114756.7340023741</v>
      </c>
      <c r="G71" s="47">
        <f t="shared" si="26"/>
        <v>3569054.3404252976</v>
      </c>
      <c r="H71" s="47">
        <f t="shared" si="26"/>
        <v>3751354.3576982217</v>
      </c>
      <c r="I71" s="47">
        <f t="shared" si="26"/>
        <v>3936966.0425007325</v>
      </c>
      <c r="J71" s="47">
        <f t="shared" si="26"/>
        <v>4131347.2500207471</v>
      </c>
      <c r="K71" s="47">
        <f t="shared" si="26"/>
        <v>4338200.7373605985</v>
      </c>
      <c r="L71" s="47">
        <f t="shared" si="26"/>
        <v>4567640.1006847769</v>
      </c>
      <c r="M71" s="47">
        <f t="shared" si="26"/>
        <v>4823432.7594890473</v>
      </c>
      <c r="N71" s="47">
        <f t="shared" si="26"/>
        <v>5103579.848880806</v>
      </c>
      <c r="O71" s="47">
        <f t="shared" si="26"/>
        <v>5412441.08708099</v>
      </c>
      <c r="P71" s="47">
        <f t="shared" si="26"/>
        <v>5745544.0373120056</v>
      </c>
      <c r="Q71" s="47">
        <f t="shared" si="26"/>
        <v>6086135.7208384294</v>
      </c>
      <c r="R71" s="47">
        <f t="shared" si="26"/>
        <v>6450805.4440617692</v>
      </c>
      <c r="S71" s="47">
        <f t="shared" si="26"/>
        <v>6848831.6702559479</v>
      </c>
      <c r="T71" s="47">
        <f t="shared" si="26"/>
        <v>7284356.261397087</v>
      </c>
      <c r="U71" s="47">
        <f t="shared" si="26"/>
        <v>7758941.9361086618</v>
      </c>
      <c r="V71" s="47">
        <f t="shared" si="26"/>
        <v>88964673.652240157</v>
      </c>
    </row>
    <row r="72" spans="1:22">
      <c r="A72" s="45" t="s">
        <v>4</v>
      </c>
      <c r="B72" s="49">
        <f>SUM(B70:B71)</f>
        <v>2128797.5205908203</v>
      </c>
      <c r="C72" s="49">
        <f t="shared" ref="C72:V72" si="27">SUM(C70:C71)</f>
        <v>2694746.7753022122</v>
      </c>
      <c r="D72" s="49">
        <f t="shared" si="27"/>
        <v>3368323.5077479337</v>
      </c>
      <c r="E72" s="49">
        <f t="shared" si="27"/>
        <v>4331348.4872893915</v>
      </c>
      <c r="F72" s="49">
        <f t="shared" si="27"/>
        <v>4794064.2402564473</v>
      </c>
      <c r="G72" s="49">
        <f t="shared" si="27"/>
        <v>5363744.3404252976</v>
      </c>
      <c r="H72" s="49">
        <f t="shared" si="27"/>
        <v>5546044.3576982217</v>
      </c>
      <c r="I72" s="49">
        <f t="shared" si="27"/>
        <v>5731656.0425007325</v>
      </c>
      <c r="J72" s="49">
        <f t="shared" si="27"/>
        <v>5926037.2500207471</v>
      </c>
      <c r="K72" s="49">
        <f t="shared" si="27"/>
        <v>6132890.7373605985</v>
      </c>
      <c r="L72" s="49">
        <f t="shared" si="27"/>
        <v>6362330.1006847769</v>
      </c>
      <c r="M72" s="49">
        <f t="shared" si="27"/>
        <v>6604768.7582381526</v>
      </c>
      <c r="N72" s="49">
        <f t="shared" si="27"/>
        <v>6846642.0672896849</v>
      </c>
      <c r="O72" s="49">
        <f t="shared" si="27"/>
        <v>7055678.9737833776</v>
      </c>
      <c r="P72" s="49">
        <f t="shared" si="27"/>
        <v>7330602.0761284148</v>
      </c>
      <c r="Q72" s="49">
        <f t="shared" si="27"/>
        <v>7667900.0555973537</v>
      </c>
      <c r="R72" s="49">
        <f t="shared" si="27"/>
        <v>7989478.1866546124</v>
      </c>
      <c r="S72" s="49">
        <f t="shared" si="27"/>
        <v>8344587.433509334</v>
      </c>
      <c r="T72" s="49">
        <f t="shared" si="27"/>
        <v>8715008.3249333948</v>
      </c>
      <c r="U72" s="49">
        <f t="shared" si="27"/>
        <v>9152338.8789773434</v>
      </c>
      <c r="V72" s="49">
        <f t="shared" si="27"/>
        <v>122086988.11498885</v>
      </c>
    </row>
    <row r="74" spans="1:22">
      <c r="A74" s="58" t="s">
        <v>32</v>
      </c>
      <c r="B74" s="63">
        <f>B60/B12</f>
        <v>5.8949873100902619E-2</v>
      </c>
      <c r="C74" s="63">
        <f t="shared" ref="C74:V74" si="28">C60/C12</f>
        <v>5.4865674734212548E-2</v>
      </c>
      <c r="D74" s="63">
        <f t="shared" si="28"/>
        <v>5.1501447706505936E-2</v>
      </c>
      <c r="E74" s="63">
        <f t="shared" si="28"/>
        <v>4.711272965895897E-2</v>
      </c>
      <c r="F74" s="63">
        <f t="shared" si="28"/>
        <v>4.7536057131782279E-2</v>
      </c>
      <c r="G74" s="63">
        <f t="shared" si="28"/>
        <v>3.7906942322658864E-2</v>
      </c>
      <c r="H74" s="63">
        <f t="shared" si="28"/>
        <v>3.2380282369218721E-2</v>
      </c>
      <c r="I74" s="63">
        <f t="shared" si="28"/>
        <v>3.3196769309527564E-2</v>
      </c>
      <c r="J74" s="63">
        <f t="shared" si="28"/>
        <v>4.1400420672758405E-2</v>
      </c>
      <c r="K74" s="63">
        <f t="shared" si="28"/>
        <v>4.3569813253205705E-2</v>
      </c>
      <c r="L74" s="63">
        <f t="shared" si="28"/>
        <v>4.6809402821716951E-2</v>
      </c>
      <c r="M74" s="63">
        <f t="shared" si="28"/>
        <v>4.9125317624202386E-2</v>
      </c>
      <c r="N74" s="63">
        <f t="shared" si="28"/>
        <v>4.9936362930175948E-2</v>
      </c>
      <c r="O74" s="63">
        <f t="shared" si="28"/>
        <v>4.9430732970031976E-2</v>
      </c>
      <c r="P74" s="63">
        <f t="shared" si="28"/>
        <v>5.0994089589465899E-2</v>
      </c>
      <c r="Q74" s="63">
        <f t="shared" si="28"/>
        <v>5.1065456754351486E-2</v>
      </c>
      <c r="R74" s="63">
        <f t="shared" si="28"/>
        <v>5.1996286723479973E-2</v>
      </c>
      <c r="S74" s="63">
        <f t="shared" si="28"/>
        <v>5.2560535330718833E-2</v>
      </c>
      <c r="T74" s="63">
        <f t="shared" si="28"/>
        <v>5.3486704941131169E-2</v>
      </c>
      <c r="U74" s="63">
        <f t="shared" si="28"/>
        <v>5.4464251960395477E-2</v>
      </c>
      <c r="V74" s="63">
        <f t="shared" si="28"/>
        <v>4.6318265832921673E-2</v>
      </c>
    </row>
    <row r="75" spans="1:22">
      <c r="A75" s="58" t="s">
        <v>33</v>
      </c>
      <c r="B75" s="63">
        <f>B65/B30</f>
        <v>0.10516176764092811</v>
      </c>
      <c r="C75" s="63">
        <f t="shared" ref="C75:V75" si="29">C65/C30</f>
        <v>9.613954592828923E-2</v>
      </c>
      <c r="D75" s="63">
        <f t="shared" si="29"/>
        <v>8.9946834756347183E-2</v>
      </c>
      <c r="E75" s="63">
        <f t="shared" si="29"/>
        <v>7.9900785558193396E-2</v>
      </c>
      <c r="F75" s="63">
        <f t="shared" si="29"/>
        <v>7.5356459901447015E-2</v>
      </c>
      <c r="G75" s="63">
        <f t="shared" si="29"/>
        <v>6.9951827386301943E-2</v>
      </c>
      <c r="H75" s="63">
        <f t="shared" si="29"/>
        <v>6.324730222144502E-2</v>
      </c>
      <c r="I75" s="63">
        <f t="shared" si="29"/>
        <v>5.9474850616077109E-2</v>
      </c>
      <c r="J75" s="63">
        <f t="shared" si="29"/>
        <v>5.638105090834615E-2</v>
      </c>
      <c r="K75" s="63">
        <f t="shared" si="29"/>
        <v>5.6830583413209027E-2</v>
      </c>
      <c r="L75" s="63">
        <f t="shared" si="29"/>
        <v>5.7361393529347521E-2</v>
      </c>
      <c r="M75" s="63">
        <f t="shared" si="29"/>
        <v>5.7204296473111642E-2</v>
      </c>
      <c r="N75" s="63">
        <f t="shared" si="29"/>
        <v>5.6536124007078935E-2</v>
      </c>
      <c r="O75" s="63">
        <f t="shared" si="29"/>
        <v>5.1896853083145927E-2</v>
      </c>
      <c r="P75" s="63">
        <f t="shared" si="29"/>
        <v>5.1474719091716116E-2</v>
      </c>
      <c r="Q75" s="63">
        <f t="shared" si="29"/>
        <v>5.1272121494703657E-2</v>
      </c>
      <c r="R75" s="63">
        <f t="shared" si="29"/>
        <v>5.0916307277700974E-2</v>
      </c>
      <c r="S75" s="63">
        <f t="shared" si="29"/>
        <v>5.0326073109114966E-2</v>
      </c>
      <c r="T75" s="63">
        <f t="shared" si="29"/>
        <v>4.7812668442635327E-2</v>
      </c>
      <c r="U75" s="63">
        <f t="shared" si="29"/>
        <v>4.7394555756427072E-2</v>
      </c>
      <c r="V75" s="63">
        <f t="shared" si="29"/>
        <v>6.0605160112317626E-2</v>
      </c>
    </row>
    <row r="76" spans="1:22">
      <c r="A76" s="58" t="s">
        <v>34</v>
      </c>
      <c r="B76" s="63">
        <f>B70/B48</f>
        <v>7.5549459251968529E-2</v>
      </c>
      <c r="C76" s="63">
        <f t="shared" ref="C76:V76" si="30">C70/C48</f>
        <v>6.9861969445222702E-2</v>
      </c>
      <c r="D76" s="63">
        <f t="shared" si="30"/>
        <v>6.5499447938313374E-2</v>
      </c>
      <c r="E76" s="63">
        <f t="shared" si="30"/>
        <v>5.9274701642668466E-2</v>
      </c>
      <c r="F76" s="63">
        <f t="shared" si="30"/>
        <v>5.8297267719814992E-2</v>
      </c>
      <c r="G76" s="63">
        <f t="shared" si="30"/>
        <v>4.9169110555445893E-2</v>
      </c>
      <c r="H76" s="63">
        <f t="shared" si="30"/>
        <v>4.2832107781202923E-2</v>
      </c>
      <c r="I76" s="63">
        <f t="shared" si="30"/>
        <v>4.2610087040790286E-2</v>
      </c>
      <c r="J76" s="63">
        <f t="shared" si="30"/>
        <v>4.7743180539917385E-2</v>
      </c>
      <c r="K76" s="63">
        <f t="shared" si="30"/>
        <v>4.9324464615637019E-2</v>
      </c>
      <c r="L76" s="63">
        <f t="shared" si="30"/>
        <v>5.1550965725199994E-2</v>
      </c>
      <c r="M76" s="63">
        <f t="shared" si="30"/>
        <v>5.2857884561468331E-2</v>
      </c>
      <c r="N76" s="63">
        <f t="shared" si="30"/>
        <v>5.3031698390715087E-2</v>
      </c>
      <c r="O76" s="63">
        <f t="shared" si="30"/>
        <v>5.0633782697471305E-2</v>
      </c>
      <c r="P76" s="63">
        <f t="shared" si="30"/>
        <v>5.1233277145294187E-2</v>
      </c>
      <c r="Q76" s="63">
        <f t="shared" si="30"/>
        <v>5.1168580450863227E-2</v>
      </c>
      <c r="R76" s="63">
        <f t="shared" si="30"/>
        <v>5.1450630271388742E-2</v>
      </c>
      <c r="S76" s="63">
        <f t="shared" si="30"/>
        <v>5.1419040511084972E-2</v>
      </c>
      <c r="T76" s="63">
        <f t="shared" si="30"/>
        <v>5.0490778057452231E-2</v>
      </c>
      <c r="U76" s="63">
        <f t="shared" si="30"/>
        <v>5.0684061283052674E-2</v>
      </c>
      <c r="V76" s="63">
        <f t="shared" si="30"/>
        <v>5.2507219855951408E-2</v>
      </c>
    </row>
    <row r="78" spans="1:22">
      <c r="A78" s="58" t="s">
        <v>42</v>
      </c>
      <c r="B78" s="63">
        <f>B61/B18</f>
        <v>1.346522380916489E-2</v>
      </c>
      <c r="C78" s="63">
        <f t="shared" ref="C78:V78" si="31">C61/C18</f>
        <v>2.4310760890705409E-2</v>
      </c>
      <c r="D78" s="63">
        <f t="shared" si="31"/>
        <v>3.3955340588549911E-2</v>
      </c>
      <c r="E78" s="63">
        <f t="shared" si="31"/>
        <v>4.6359196115560247E-2</v>
      </c>
      <c r="F78" s="63">
        <f t="shared" si="31"/>
        <v>4.9652341342010561E-2</v>
      </c>
      <c r="G78" s="63">
        <f t="shared" si="31"/>
        <v>5.5707474227160138E-2</v>
      </c>
      <c r="H78" s="63">
        <f t="shared" si="31"/>
        <v>5.4415840469724516E-2</v>
      </c>
      <c r="I78" s="63">
        <f t="shared" si="31"/>
        <v>5.7299862268246141E-2</v>
      </c>
      <c r="J78" s="63">
        <f t="shared" si="31"/>
        <v>6.0442042141685227E-2</v>
      </c>
      <c r="K78" s="63">
        <f t="shared" si="31"/>
        <v>6.3861851956360322E-2</v>
      </c>
      <c r="L78" s="63">
        <f t="shared" si="31"/>
        <v>6.7612119020850958E-2</v>
      </c>
      <c r="M78" s="63">
        <f t="shared" si="31"/>
        <v>7.1723989909547203E-2</v>
      </c>
      <c r="N78" s="63">
        <f t="shared" si="31"/>
        <v>7.6312639889392034E-2</v>
      </c>
      <c r="O78" s="63">
        <f t="shared" si="31"/>
        <v>8.1316839338199345E-2</v>
      </c>
      <c r="P78" s="63">
        <f t="shared" si="31"/>
        <v>8.6904870771552276E-2</v>
      </c>
      <c r="Q78" s="63">
        <f t="shared" si="31"/>
        <v>9.3048951145239547E-2</v>
      </c>
      <c r="R78" s="63">
        <f t="shared" si="31"/>
        <v>9.98965563056467E-2</v>
      </c>
      <c r="S78" s="63">
        <f t="shared" si="31"/>
        <v>0.10753473272598518</v>
      </c>
      <c r="T78" s="63">
        <f t="shared" si="31"/>
        <v>0.11614021782134587</v>
      </c>
      <c r="U78" s="63">
        <f t="shared" si="31"/>
        <v>0.12572909190662718</v>
      </c>
      <c r="V78" s="63">
        <f t="shared" si="31"/>
        <v>7.1274026652019803E-2</v>
      </c>
    </row>
    <row r="79" spans="1:22">
      <c r="A79" s="58" t="s">
        <v>43</v>
      </c>
      <c r="B79" s="63">
        <f>B66/B36</f>
        <v>2.2511895810724984E-2</v>
      </c>
      <c r="C79" s="63">
        <f t="shared" ref="C79:V79" si="32">C66/C36</f>
        <v>4.089560410498766E-2</v>
      </c>
      <c r="D79" s="63">
        <f t="shared" si="32"/>
        <v>5.7056343582998846E-2</v>
      </c>
      <c r="E79" s="63">
        <f t="shared" si="32"/>
        <v>7.5886069458329153E-2</v>
      </c>
      <c r="F79" s="63">
        <f t="shared" si="32"/>
        <v>7.9506992459500145E-2</v>
      </c>
      <c r="G79" s="63">
        <f t="shared" si="32"/>
        <v>8.914470650875439E-2</v>
      </c>
      <c r="H79" s="63">
        <f t="shared" si="32"/>
        <v>8.7061232757685972E-2</v>
      </c>
      <c r="I79" s="63">
        <f t="shared" si="32"/>
        <v>9.0551148648062435E-2</v>
      </c>
      <c r="J79" s="63">
        <f t="shared" si="32"/>
        <v>9.4215426381426118E-2</v>
      </c>
      <c r="K79" s="63">
        <f t="shared" si="32"/>
        <v>9.8746090899887465E-2</v>
      </c>
      <c r="L79" s="63">
        <f t="shared" si="32"/>
        <v>0.10387960511347996</v>
      </c>
      <c r="M79" s="63">
        <f t="shared" si="32"/>
        <v>0.1095493208090027</v>
      </c>
      <c r="N79" s="63">
        <f t="shared" si="32"/>
        <v>0.11656544134099528</v>
      </c>
      <c r="O79" s="63">
        <f t="shared" si="32"/>
        <v>0.12371189254195214</v>
      </c>
      <c r="P79" s="63">
        <f t="shared" si="32"/>
        <v>0.13181006704855702</v>
      </c>
      <c r="Q79" s="63">
        <f t="shared" si="32"/>
        <v>0.14052975038264923</v>
      </c>
      <c r="R79" s="63">
        <f t="shared" si="32"/>
        <v>0.15004723363395156</v>
      </c>
      <c r="S79" s="63">
        <f t="shared" si="32"/>
        <v>0.16014900588528666</v>
      </c>
      <c r="T79" s="63">
        <f t="shared" si="32"/>
        <v>0.17136979426222201</v>
      </c>
      <c r="U79" s="63">
        <f t="shared" si="32"/>
        <v>0.18368077010837122</v>
      </c>
      <c r="V79" s="63">
        <f t="shared" si="32"/>
        <v>0.11071593570492184</v>
      </c>
    </row>
    <row r="80" spans="1:22">
      <c r="A80" s="58" t="s">
        <v>44</v>
      </c>
      <c r="B80" s="63">
        <f>B71/B54</f>
        <v>1.7422575479410996E-2</v>
      </c>
      <c r="C80" s="63">
        <f t="shared" ref="C80:V80" si="33">C71/C54</f>
        <v>3.1540418072770131E-2</v>
      </c>
      <c r="D80" s="63">
        <f t="shared" si="33"/>
        <v>4.4031826948110871E-2</v>
      </c>
      <c r="E80" s="63">
        <f t="shared" si="33"/>
        <v>5.9429010416783411E-2</v>
      </c>
      <c r="F80" s="63">
        <f t="shared" si="33"/>
        <v>6.3029585047544162E-2</v>
      </c>
      <c r="G80" s="63">
        <f t="shared" si="33"/>
        <v>7.0695395684100784E-2</v>
      </c>
      <c r="H80" s="63">
        <f t="shared" si="33"/>
        <v>6.9050363176080848E-2</v>
      </c>
      <c r="I80" s="63">
        <f t="shared" si="33"/>
        <v>7.230754414746976E-2</v>
      </c>
      <c r="J80" s="63">
        <f t="shared" si="33"/>
        <v>7.5800169122295327E-2</v>
      </c>
      <c r="K80" s="63">
        <f t="shared" si="33"/>
        <v>7.9794951612973244E-2</v>
      </c>
      <c r="L80" s="63">
        <f t="shared" si="33"/>
        <v>8.4234473763484682E-2</v>
      </c>
      <c r="M80" s="63">
        <f t="shared" si="33"/>
        <v>8.9115724796132834E-2</v>
      </c>
      <c r="N80" s="63">
        <f t="shared" si="33"/>
        <v>9.4819856539359662E-2</v>
      </c>
      <c r="O80" s="63">
        <f t="shared" si="33"/>
        <v>0.10085126239241378</v>
      </c>
      <c r="P80" s="63">
        <f t="shared" si="33"/>
        <v>0.10762997797892893</v>
      </c>
      <c r="Q80" s="63">
        <f t="shared" si="33"/>
        <v>0.11501298705401572</v>
      </c>
      <c r="R80" s="63">
        <f t="shared" si="33"/>
        <v>0.12316396299217623</v>
      </c>
      <c r="S80" s="63">
        <f t="shared" si="33"/>
        <v>0.13205669835054359</v>
      </c>
      <c r="T80" s="63">
        <f t="shared" si="33"/>
        <v>0.14200847843847417</v>
      </c>
      <c r="U80" s="63">
        <f t="shared" si="33"/>
        <v>0.15301602741508338</v>
      </c>
      <c r="V80" s="63">
        <f t="shared" si="33"/>
        <v>8.9243735948138475E-2</v>
      </c>
    </row>
  </sheetData>
  <pageMargins left="0.7" right="0.7" top="0.75" bottom="0.75" header="0.3" footer="0.3"/>
  <pageSetup orientation="portrait" r:id="rId1"/>
  <ignoredErrors>
    <ignoredError sqref="B62 B67" formulaRange="1"/>
  </ignoredErrors>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7030A0"/>
  </sheetPr>
  <dimension ref="A1:V96"/>
  <sheetViews>
    <sheetView workbookViewId="0">
      <pane ySplit="1" topLeftCell="A8" activePane="bottomLeft" state="frozen"/>
      <selection activeCell="I108" sqref="I108"/>
      <selection pane="bottomLeft" activeCell="B86" sqref="B86"/>
    </sheetView>
  </sheetViews>
  <sheetFormatPr defaultRowHeight="15"/>
  <cols>
    <col min="1" max="1" width="37.85546875" customWidth="1"/>
    <col min="2" max="2" width="9.85546875" bestFit="1" customWidth="1"/>
  </cols>
  <sheetData>
    <row r="1" spans="1:22" ht="15.75">
      <c r="A1" s="7" t="s">
        <v>41</v>
      </c>
    </row>
    <row r="2" spans="1:22" ht="15.75">
      <c r="A2" s="7"/>
    </row>
    <row r="3" spans="1:22" ht="15.75">
      <c r="A3" s="7" t="s">
        <v>26</v>
      </c>
    </row>
    <row r="4" spans="1:22">
      <c r="A4" s="62" t="s">
        <v>27</v>
      </c>
      <c r="B4" s="6">
        <v>2015</v>
      </c>
      <c r="C4" s="6">
        <f>B4+1</f>
        <v>2016</v>
      </c>
      <c r="D4" s="6">
        <f t="shared" ref="D4:U4" si="0">C4+1</f>
        <v>2017</v>
      </c>
      <c r="E4" s="6">
        <f t="shared" si="0"/>
        <v>2018</v>
      </c>
      <c r="F4" s="6">
        <f t="shared" si="0"/>
        <v>2019</v>
      </c>
      <c r="G4" s="6">
        <f t="shared" si="0"/>
        <v>2020</v>
      </c>
      <c r="H4" s="6">
        <f t="shared" si="0"/>
        <v>2021</v>
      </c>
      <c r="I4" s="6">
        <f t="shared" si="0"/>
        <v>2022</v>
      </c>
      <c r="J4" s="6">
        <f t="shared" si="0"/>
        <v>2023</v>
      </c>
      <c r="K4" s="6">
        <f t="shared" si="0"/>
        <v>2024</v>
      </c>
      <c r="L4" s="6">
        <f t="shared" si="0"/>
        <v>2025</v>
      </c>
      <c r="M4" s="6">
        <f t="shared" si="0"/>
        <v>2026</v>
      </c>
      <c r="N4" s="6">
        <f t="shared" si="0"/>
        <v>2027</v>
      </c>
      <c r="O4" s="6">
        <f t="shared" si="0"/>
        <v>2028</v>
      </c>
      <c r="P4" s="6">
        <f t="shared" si="0"/>
        <v>2029</v>
      </c>
      <c r="Q4" s="6">
        <f t="shared" si="0"/>
        <v>2030</v>
      </c>
      <c r="R4" s="6">
        <f t="shared" si="0"/>
        <v>2031</v>
      </c>
      <c r="S4" s="6">
        <f t="shared" si="0"/>
        <v>2032</v>
      </c>
      <c r="T4" s="6">
        <f t="shared" si="0"/>
        <v>2033</v>
      </c>
      <c r="U4" s="6">
        <f t="shared" si="0"/>
        <v>2034</v>
      </c>
      <c r="V4" s="6" t="s">
        <v>14</v>
      </c>
    </row>
    <row r="5" spans="1:22">
      <c r="A5" s="50" t="s">
        <v>2</v>
      </c>
    </row>
    <row r="6" spans="1:22">
      <c r="A6" s="9" t="s">
        <v>8</v>
      </c>
      <c r="B6" s="54">
        <f>'Scen 3 Budgets'!B6/'Scen 3 MWh Savings'!B6</f>
        <v>357.34247005899402</v>
      </c>
      <c r="C6" s="54">
        <f>'Scen 3 Budgets'!C6/'Scen 3 MWh Savings'!C6</f>
        <v>354.36336845934034</v>
      </c>
      <c r="D6" s="54">
        <f>'Scen 3 Budgets'!D6/'Scen 3 MWh Savings'!D6</f>
        <v>329.69237932785387</v>
      </c>
      <c r="E6" s="54">
        <f>'Scen 3 Budgets'!E6/'Scen 3 MWh Savings'!E6</f>
        <v>364.13342377225121</v>
      </c>
      <c r="F6" s="54">
        <f>'Scen 3 Budgets'!F6/'Scen 3 MWh Savings'!F6</f>
        <v>377.00362215678524</v>
      </c>
      <c r="G6" s="54">
        <f>'Scen 3 Budgets'!G6/'Scen 3 MWh Savings'!G6</f>
        <v>423.91725764472727</v>
      </c>
      <c r="H6" s="54">
        <f>'Scen 3 Budgets'!H6/'Scen 3 MWh Savings'!H6</f>
        <v>409.69584596002613</v>
      </c>
      <c r="I6" s="54">
        <f>'Scen 3 Budgets'!I6/'Scen 3 MWh Savings'!I6</f>
        <v>405.73600820075444</v>
      </c>
      <c r="J6" s="54">
        <f>'Scen 3 Budgets'!J6/'Scen 3 MWh Savings'!J6</f>
        <v>405.83484345549903</v>
      </c>
      <c r="K6" s="54">
        <f>'Scen 3 Budgets'!K6/'Scen 3 MWh Savings'!K6</f>
        <v>392.49091179518047</v>
      </c>
      <c r="L6" s="54">
        <f>'Scen 3 Budgets'!L6/'Scen 3 MWh Savings'!L6</f>
        <v>395.18451345078319</v>
      </c>
      <c r="M6" s="54">
        <f>'Scen 3 Budgets'!M6/'Scen 3 MWh Savings'!M6</f>
        <v>397.51279644484151</v>
      </c>
      <c r="N6" s="54">
        <f>'Scen 3 Budgets'!N6/'Scen 3 MWh Savings'!N6</f>
        <v>387.54010291797681</v>
      </c>
      <c r="O6" s="54">
        <f>'Scen 3 Budgets'!O6/'Scen 3 MWh Savings'!O6</f>
        <v>369.65784724150666</v>
      </c>
      <c r="P6" s="54">
        <f>'Scen 3 Budgets'!P6/'Scen 3 MWh Savings'!P6</f>
        <v>354.04691690037424</v>
      </c>
      <c r="Q6" s="54">
        <f>'Scen 3 Budgets'!Q6/'Scen 3 MWh Savings'!Q6</f>
        <v>342.07967323210937</v>
      </c>
      <c r="R6" s="54">
        <f>'Scen 3 Budgets'!R6/'Scen 3 MWh Savings'!R6</f>
        <v>329.38043735884003</v>
      </c>
      <c r="S6" s="54">
        <f>'Scen 3 Budgets'!S6/'Scen 3 MWh Savings'!S6</f>
        <v>319.2515393339151</v>
      </c>
      <c r="T6" s="54">
        <f>'Scen 3 Budgets'!T6/'Scen 3 MWh Savings'!T6</f>
        <v>293.23006412274765</v>
      </c>
      <c r="U6" s="54">
        <f>'Scen 3 Budgets'!U6/'Scen 3 MWh Savings'!U6</f>
        <v>283.80569045185024</v>
      </c>
      <c r="V6" s="54">
        <f>'Scen 3 Budgets'!V6/'Scen 3 MWh Savings'!V6</f>
        <v>362.99567712223853</v>
      </c>
    </row>
    <row r="7" spans="1:22">
      <c r="A7" s="10" t="s">
        <v>9</v>
      </c>
      <c r="B7" s="54">
        <f>'Scen 3 Budgets'!B7/'Scen 3 MWh Savings'!B7</f>
        <v>267.32416628875757</v>
      </c>
      <c r="C7" s="54">
        <f>'Scen 3 Budgets'!C7/'Scen 3 MWh Savings'!C7</f>
        <v>270.69020782592821</v>
      </c>
      <c r="D7" s="54">
        <f>'Scen 3 Budgets'!D7/'Scen 3 MWh Savings'!D7</f>
        <v>270.1533017442876</v>
      </c>
      <c r="E7" s="54">
        <f>'Scen 3 Budgets'!E7/'Scen 3 MWh Savings'!E7</f>
        <v>317.84288096646713</v>
      </c>
      <c r="F7" s="54">
        <f>'Scen 3 Budgets'!F7/'Scen 3 MWh Savings'!F7</f>
        <v>279.08129423393206</v>
      </c>
      <c r="G7" s="54">
        <f>'Scen 3 Budgets'!G7/'Scen 3 MWh Savings'!G7</f>
        <v>478.25398945976127</v>
      </c>
      <c r="H7" s="54">
        <f>'Scen 3 Budgets'!H7/'Scen 3 MWh Savings'!H7</f>
        <v>597.01997979558234</v>
      </c>
      <c r="I7" s="54">
        <f>'Scen 3 Budgets'!I7/'Scen 3 MWh Savings'!I7</f>
        <v>587.67990470617349</v>
      </c>
      <c r="J7" s="54">
        <f>'Scen 3 Budgets'!J7/'Scen 3 MWh Savings'!J7</f>
        <v>493.50754673415139</v>
      </c>
      <c r="K7" s="54">
        <f>'Scen 3 Budgets'!K7/'Scen 3 MWh Savings'!K7</f>
        <v>454.63280343125996</v>
      </c>
      <c r="L7" s="54">
        <f>'Scen 3 Budgets'!L7/'Scen 3 MWh Savings'!L7</f>
        <v>417.00634611691123</v>
      </c>
      <c r="M7" s="54">
        <f>'Scen 3 Budgets'!M7/'Scen 3 MWh Savings'!M7</f>
        <v>394.99232024849744</v>
      </c>
      <c r="N7" s="54">
        <f>'Scen 3 Budgets'!N7/'Scen 3 MWh Savings'!N7</f>
        <v>385.03360052227845</v>
      </c>
      <c r="O7" s="54">
        <f>'Scen 3 Budgets'!O7/'Scen 3 MWh Savings'!O7</f>
        <v>358.79997703524049</v>
      </c>
      <c r="P7" s="54">
        <f>'Scen 3 Budgets'!P7/'Scen 3 MWh Savings'!P7</f>
        <v>348.84031111434001</v>
      </c>
      <c r="Q7" s="54">
        <f>'Scen 3 Budgets'!Q7/'Scen 3 MWh Savings'!Q7</f>
        <v>343.4327098924889</v>
      </c>
      <c r="R7" s="54">
        <f>'Scen 3 Budgets'!R7/'Scen 3 MWh Savings'!R7</f>
        <v>329.82326451813788</v>
      </c>
      <c r="S7" s="54">
        <f>'Scen 3 Budgets'!S7/'Scen 3 MWh Savings'!S7</f>
        <v>300.38673157214976</v>
      </c>
      <c r="T7" s="54">
        <f>'Scen 3 Budgets'!T7/'Scen 3 MWh Savings'!T7</f>
        <v>282.41226727265541</v>
      </c>
      <c r="U7" s="54">
        <f>'Scen 3 Budgets'!U7/'Scen 3 MWh Savings'!U7</f>
        <v>268.87175315270895</v>
      </c>
      <c r="V7" s="54">
        <f>'Scen 3 Budgets'!V7/'Scen 3 MWh Savings'!V7</f>
        <v>366.56938990582438</v>
      </c>
    </row>
    <row r="8" spans="1:22">
      <c r="A8" s="10" t="s">
        <v>10</v>
      </c>
      <c r="B8" s="54">
        <f>'Scen 3 Budgets'!B8/'Scen 3 MWh Savings'!B8</f>
        <v>115.64846418740244</v>
      </c>
      <c r="C8" s="54">
        <f>'Scen 3 Budgets'!C8/'Scen 3 MWh Savings'!C8</f>
        <v>118.57545550547138</v>
      </c>
      <c r="D8" s="54">
        <f>'Scen 3 Budgets'!D8/'Scen 3 MWh Savings'!D8</f>
        <v>118.7636241290022</v>
      </c>
      <c r="E8" s="54">
        <f>'Scen 3 Budgets'!E8/'Scen 3 MWh Savings'!E8</f>
        <v>128.05162677399943</v>
      </c>
      <c r="F8" s="54">
        <f>'Scen 3 Budgets'!F8/'Scen 3 MWh Savings'!F8</f>
        <v>129.75298921810807</v>
      </c>
      <c r="G8" s="54">
        <f>'Scen 3 Budgets'!G8/'Scen 3 MWh Savings'!G8</f>
        <v>200.99239615084502</v>
      </c>
      <c r="H8" s="54">
        <f>'Scen 3 Budgets'!H8/'Scen 3 MWh Savings'!H8</f>
        <v>293.29288410141987</v>
      </c>
      <c r="I8" s="54">
        <f>'Scen 3 Budgets'!I8/'Scen 3 MWh Savings'!I8</f>
        <v>334.67217064069786</v>
      </c>
      <c r="J8" s="54">
        <f>'Scen 3 Budgets'!J8/'Scen 3 MWh Savings'!J8</f>
        <v>295.94835050750908</v>
      </c>
      <c r="K8" s="54">
        <f>'Scen 3 Budgets'!K8/'Scen 3 MWh Savings'!K8</f>
        <v>293.61332806638433</v>
      </c>
      <c r="L8" s="54">
        <f>'Scen 3 Budgets'!L8/'Scen 3 MWh Savings'!L8</f>
        <v>278.99829610241312</v>
      </c>
      <c r="M8" s="54">
        <f>'Scen 3 Budgets'!M8/'Scen 3 MWh Savings'!M8</f>
        <v>275.25368164093368</v>
      </c>
      <c r="N8" s="54">
        <f>'Scen 3 Budgets'!N8/'Scen 3 MWh Savings'!N8</f>
        <v>271.68382284244683</v>
      </c>
      <c r="O8" s="54">
        <f>'Scen 3 Budgets'!O8/'Scen 3 MWh Savings'!O8</f>
        <v>263.20565219621335</v>
      </c>
      <c r="P8" s="54">
        <f>'Scen 3 Budgets'!P8/'Scen 3 MWh Savings'!P8</f>
        <v>248.53567042228002</v>
      </c>
      <c r="Q8" s="54">
        <f>'Scen 3 Budgets'!Q8/'Scen 3 MWh Savings'!Q8</f>
        <v>248.66174666699445</v>
      </c>
      <c r="R8" s="54">
        <f>'Scen 3 Budgets'!R8/'Scen 3 MWh Savings'!R8</f>
        <v>244.04712337675946</v>
      </c>
      <c r="S8" s="54">
        <f>'Scen 3 Budgets'!S8/'Scen 3 MWh Savings'!S8</f>
        <v>236.59219287646553</v>
      </c>
      <c r="T8" s="54">
        <f>'Scen 3 Budgets'!T8/'Scen 3 MWh Savings'!T8</f>
        <v>223.42446238450938</v>
      </c>
      <c r="U8" s="54">
        <f>'Scen 3 Budgets'!U8/'Scen 3 MWh Savings'!U8</f>
        <v>218.64373950208474</v>
      </c>
      <c r="V8" s="54">
        <f>'Scen 3 Budgets'!V8/'Scen 3 MWh Savings'!V8</f>
        <v>240.6703826290846</v>
      </c>
    </row>
    <row r="9" spans="1:22">
      <c r="A9" s="10" t="s">
        <v>11</v>
      </c>
      <c r="B9" s="54">
        <f>'Scen 3 Budgets'!B9/'Scen 3 MWh Savings'!B9</f>
        <v>364.49454908085005</v>
      </c>
      <c r="C9" s="54">
        <f>'Scen 3 Budgets'!C9/'Scen 3 MWh Savings'!C9</f>
        <v>363.20270630867878</v>
      </c>
      <c r="D9" s="54">
        <f>'Scen 3 Budgets'!D9/'Scen 3 MWh Savings'!D9</f>
        <v>446.68769251306611</v>
      </c>
      <c r="E9" s="54">
        <f>'Scen 3 Budgets'!E9/'Scen 3 MWh Savings'!E9</f>
        <v>465.42676876990799</v>
      </c>
      <c r="F9" s="54">
        <f>'Scen 3 Budgets'!F9/'Scen 3 MWh Savings'!F9</f>
        <v>491.87353605608672</v>
      </c>
      <c r="G9" s="54">
        <f>'Scen 3 Budgets'!G9/'Scen 3 MWh Savings'!G9</f>
        <v>501.15947149204578</v>
      </c>
      <c r="H9" s="54">
        <f>'Scen 3 Budgets'!H9/'Scen 3 MWh Savings'!H9</f>
        <v>530.18591698935268</v>
      </c>
      <c r="I9" s="54">
        <f>'Scen 3 Budgets'!I9/'Scen 3 MWh Savings'!I9</f>
        <v>531.38397597245387</v>
      </c>
      <c r="J9" s="54">
        <f>'Scen 3 Budgets'!J9/'Scen 3 MWh Savings'!J9</f>
        <v>474.27194053616796</v>
      </c>
      <c r="K9" s="54">
        <f>'Scen 3 Budgets'!K9/'Scen 3 MWh Savings'!K9</f>
        <v>468.07399248461297</v>
      </c>
      <c r="L9" s="54">
        <f>'Scen 3 Budgets'!L9/'Scen 3 MWh Savings'!L9</f>
        <v>466.26960282861359</v>
      </c>
      <c r="M9" s="54">
        <f>'Scen 3 Budgets'!M9/'Scen 3 MWh Savings'!M9</f>
        <v>463.81659889923884</v>
      </c>
      <c r="N9" s="54">
        <f>'Scen 3 Budgets'!N9/'Scen 3 MWh Savings'!N9</f>
        <v>463.4038611959383</v>
      </c>
      <c r="O9" s="54">
        <f>'Scen 3 Budgets'!O9/'Scen 3 MWh Savings'!O9</f>
        <v>471.09282402652224</v>
      </c>
      <c r="P9" s="54">
        <f>'Scen 3 Budgets'!P9/'Scen 3 MWh Savings'!P9</f>
        <v>474.42897969234741</v>
      </c>
      <c r="Q9" s="54">
        <f>'Scen 3 Budgets'!Q9/'Scen 3 MWh Savings'!Q9</f>
        <v>484.21299646466116</v>
      </c>
      <c r="R9" s="54">
        <f>'Scen 3 Budgets'!R9/'Scen 3 MWh Savings'!R9</f>
        <v>486.78107516562307</v>
      </c>
      <c r="S9" s="54">
        <f>'Scen 3 Budgets'!S9/'Scen 3 MWh Savings'!S9</f>
        <v>528.3900562680933</v>
      </c>
      <c r="T9" s="54">
        <f>'Scen 3 Budgets'!T9/'Scen 3 MWh Savings'!T9</f>
        <v>535.00884826172478</v>
      </c>
      <c r="U9" s="54">
        <f>'Scen 3 Budgets'!U9/'Scen 3 MWh Savings'!U9</f>
        <v>533.44166644205086</v>
      </c>
      <c r="V9" s="54">
        <f>'Scen 3 Budgets'!V9/'Scen 3 MWh Savings'!V9</f>
        <v>480.95845895205622</v>
      </c>
    </row>
    <row r="10" spans="1:22">
      <c r="A10" s="2" t="s">
        <v>12</v>
      </c>
      <c r="B10" s="54">
        <f>'Scen 3 Budgets'!B10/'Scen 3 MWh Savings'!B10</f>
        <v>278.55638821654105</v>
      </c>
      <c r="C10" s="54">
        <f>'Scen 3 Budgets'!C10/'Scen 3 MWh Savings'!C10</f>
        <v>282.9122662656988</v>
      </c>
      <c r="D10" s="54">
        <f>'Scen 3 Budgets'!D10/'Scen 3 MWh Savings'!D10</f>
        <v>282.36365829689657</v>
      </c>
      <c r="E10" s="54">
        <f>'Scen 3 Budgets'!E10/'Scen 3 MWh Savings'!E10</f>
        <v>285.6789471853026</v>
      </c>
      <c r="F10" s="54">
        <f>'Scen 3 Budgets'!F10/'Scen 3 MWh Savings'!F10</f>
        <v>282.96153418050181</v>
      </c>
      <c r="G10" s="54">
        <f>'Scen 3 Budgets'!G10/'Scen 3 MWh Savings'!G10</f>
        <v>366.91714947178139</v>
      </c>
      <c r="H10" s="54">
        <f>'Scen 3 Budgets'!H10/'Scen 3 MWh Savings'!H10</f>
        <v>410.00608594663328</v>
      </c>
      <c r="I10" s="54">
        <f>'Scen 3 Budgets'!I10/'Scen 3 MWh Savings'!I10</f>
        <v>421.97254145015495</v>
      </c>
      <c r="J10" s="54">
        <f>'Scen 3 Budgets'!J10/'Scen 3 MWh Savings'!J10</f>
        <v>371.70801422200265</v>
      </c>
      <c r="K10" s="54">
        <f>'Scen 3 Budgets'!K10/'Scen 3 MWh Savings'!K10</f>
        <v>360.15671012528941</v>
      </c>
      <c r="L10" s="54">
        <f>'Scen 3 Budgets'!L10/'Scen 3 MWh Savings'!L10</f>
        <v>340.57837523024494</v>
      </c>
      <c r="M10" s="54">
        <f>'Scen 3 Budgets'!M10/'Scen 3 MWh Savings'!M10</f>
        <v>290.74968729802947</v>
      </c>
      <c r="N10" s="54">
        <f>'Scen 3 Budgets'!N10/'Scen 3 MWh Savings'!N10</f>
        <v>273.21874274514909</v>
      </c>
      <c r="O10" s="54">
        <f>'Scen 3 Budgets'!O10/'Scen 3 MWh Savings'!O10</f>
        <v>281.48096548994283</v>
      </c>
      <c r="P10" s="54">
        <f>'Scen 3 Budgets'!P10/'Scen 3 MWh Savings'!P10</f>
        <v>281.41571557973998</v>
      </c>
      <c r="Q10" s="54">
        <f>'Scen 3 Budgets'!Q10/'Scen 3 MWh Savings'!Q10</f>
        <v>279.85813927836932</v>
      </c>
      <c r="R10" s="54">
        <f>'Scen 3 Budgets'!R10/'Scen 3 MWh Savings'!R10</f>
        <v>276.38719182619741</v>
      </c>
      <c r="S10" s="54">
        <f>'Scen 3 Budgets'!S10/'Scen 3 MWh Savings'!S10</f>
        <v>273.84629686520884</v>
      </c>
      <c r="T10" s="54">
        <f>'Scen 3 Budgets'!T10/'Scen 3 MWh Savings'!T10</f>
        <v>270.81376575477634</v>
      </c>
      <c r="U10" s="54">
        <f>'Scen 3 Budgets'!U10/'Scen 3 MWh Savings'!U10</f>
        <v>268.07613178407132</v>
      </c>
      <c r="V10" s="54">
        <f>'Scen 3 Budgets'!V10/'Scen 3 MWh Savings'!V10</f>
        <v>311.0039991157426</v>
      </c>
    </row>
    <row r="11" spans="1:22">
      <c r="A11" s="2" t="s">
        <v>13</v>
      </c>
      <c r="B11" s="55">
        <f>'Scen 3 Budgets'!B11/'Scen 3 MWh Savings'!B11</f>
        <v>212.69515198996692</v>
      </c>
      <c r="C11" s="55">
        <f>'Scen 3 Budgets'!C11/'Scen 3 MWh Savings'!C11</f>
        <v>256.98961272690036</v>
      </c>
      <c r="D11" s="55">
        <f>'Scen 3 Budgets'!D11/'Scen 3 MWh Savings'!D11</f>
        <v>262.96169891066654</v>
      </c>
      <c r="E11" s="55">
        <f>'Scen 3 Budgets'!E11/'Scen 3 MWh Savings'!E11</f>
        <v>280.8729036819542</v>
      </c>
      <c r="F11" s="55">
        <f>'Scen 3 Budgets'!F11/'Scen 3 MWh Savings'!F11</f>
        <v>274.33882360915248</v>
      </c>
      <c r="G11" s="55">
        <f>'Scen 3 Budgets'!G11/'Scen 3 MWh Savings'!G11</f>
        <v>306.2135503840617</v>
      </c>
      <c r="H11" s="55">
        <f>'Scen 3 Budgets'!H11/'Scen 3 MWh Savings'!H11</f>
        <v>327.89029252544094</v>
      </c>
      <c r="I11" s="55">
        <f>'Scen 3 Budgets'!I11/'Scen 3 MWh Savings'!I11</f>
        <v>339.66919613436772</v>
      </c>
      <c r="J11" s="55">
        <f>'Scen 3 Budgets'!J11/'Scen 3 MWh Savings'!J11</f>
        <v>329.72601905729056</v>
      </c>
      <c r="K11" s="55">
        <f>'Scen 3 Budgets'!K11/'Scen 3 MWh Savings'!K11</f>
        <v>325.55361922400891</v>
      </c>
      <c r="L11" s="55">
        <f>'Scen 3 Budgets'!L11/'Scen 3 MWh Savings'!L11</f>
        <v>321.2735994689703</v>
      </c>
      <c r="M11" s="55">
        <f>'Scen 3 Budgets'!M11/'Scen 3 MWh Savings'!M11</f>
        <v>315.59633804249808</v>
      </c>
      <c r="N11" s="55">
        <f>'Scen 3 Budgets'!N11/'Scen 3 MWh Savings'!N11</f>
        <v>312.97519391360743</v>
      </c>
      <c r="O11" s="55">
        <f>'Scen 3 Budgets'!O11/'Scen 3 MWh Savings'!O11</f>
        <v>303.19445216866507</v>
      </c>
      <c r="P11" s="55">
        <f>'Scen 3 Budgets'!P11/'Scen 3 MWh Savings'!P11</f>
        <v>292.51530544460792</v>
      </c>
      <c r="Q11" s="55">
        <f>'Scen 3 Budgets'!Q11/'Scen 3 MWh Savings'!Q11</f>
        <v>290.556634973597</v>
      </c>
      <c r="R11" s="55">
        <f>'Scen 3 Budgets'!R11/'Scen 3 MWh Savings'!R11</f>
        <v>279.90699820492267</v>
      </c>
      <c r="S11" s="55">
        <f>'Scen 3 Budgets'!S11/'Scen 3 MWh Savings'!S11</f>
        <v>273.875464020881</v>
      </c>
      <c r="T11" s="55">
        <f>'Scen 3 Budgets'!T11/'Scen 3 MWh Savings'!T11</f>
        <v>260.88849495043149</v>
      </c>
      <c r="U11" s="55">
        <f>'Scen 3 Budgets'!U11/'Scen 3 MWh Savings'!U11</f>
        <v>251.99355011027163</v>
      </c>
      <c r="V11" s="55">
        <f>'Scen 3 Budgets'!V11/'Scen 3 MWh Savings'!V11</f>
        <v>294.48776855341958</v>
      </c>
    </row>
    <row r="12" spans="1:22">
      <c r="A12" s="8" t="s">
        <v>15</v>
      </c>
      <c r="B12" s="56">
        <f>'Scen 3 Budgets'!B12/'Scen 3 MWh Savings'!B12</f>
        <v>245.95069478097651</v>
      </c>
      <c r="C12" s="56">
        <f>'Scen 3 Budgets'!C12/'Scen 3 MWh Savings'!C12</f>
        <v>250.60391156326648</v>
      </c>
      <c r="D12" s="56">
        <f>'Scen 3 Budgets'!D12/'Scen 3 MWh Savings'!D12</f>
        <v>258.94563688509004</v>
      </c>
      <c r="E12" s="56">
        <f>'Scen 3 Budgets'!E12/'Scen 3 MWh Savings'!E12</f>
        <v>292.61721502581685</v>
      </c>
      <c r="F12" s="56">
        <f>'Scen 3 Budgets'!F12/'Scen 3 MWh Savings'!F12</f>
        <v>274.86726684980027</v>
      </c>
      <c r="G12" s="56">
        <f>'Scen 3 Budgets'!G12/'Scen 3 MWh Savings'!G12</f>
        <v>390.95833582495419</v>
      </c>
      <c r="H12" s="56">
        <f>'Scen 3 Budgets'!H12/'Scen 3 MWh Savings'!H12</f>
        <v>461.39720546253108</v>
      </c>
      <c r="I12" s="56">
        <f>'Scen 3 Budgets'!I12/'Scen 3 MWh Savings'!I12</f>
        <v>460.24735200636712</v>
      </c>
      <c r="J12" s="56">
        <f>'Scen 3 Budgets'!J12/'Scen 3 MWh Savings'!J12</f>
        <v>393.63737422005602</v>
      </c>
      <c r="K12" s="56">
        <f>'Scen 3 Budgets'!K12/'Scen 3 MWh Savings'!K12</f>
        <v>378.43844619953489</v>
      </c>
      <c r="L12" s="56">
        <f>'Scen 3 Budgets'!L12/'Scen 3 MWh Savings'!L12</f>
        <v>358.53747542189905</v>
      </c>
      <c r="M12" s="56">
        <f>'Scen 3 Budgets'!M12/'Scen 3 MWh Savings'!M12</f>
        <v>345.25863573479069</v>
      </c>
      <c r="N12" s="56">
        <f>'Scen 3 Budgets'!N12/'Scen 3 MWh Savings'!N12</f>
        <v>338.3896430107327</v>
      </c>
      <c r="O12" s="56">
        <f>'Scen 3 Budgets'!O12/'Scen 3 MWh Savings'!O12</f>
        <v>328.39438077157973</v>
      </c>
      <c r="P12" s="56">
        <f>'Scen 3 Budgets'!P12/'Scen 3 MWh Savings'!P12</f>
        <v>318.92777666828368</v>
      </c>
      <c r="Q12" s="56">
        <f>'Scen 3 Budgets'!Q12/'Scen 3 MWh Savings'!Q12</f>
        <v>318.18852119741484</v>
      </c>
      <c r="R12" s="56">
        <f>'Scen 3 Budgets'!R12/'Scen 3 MWh Savings'!R12</f>
        <v>311.50856872223903</v>
      </c>
      <c r="S12" s="56">
        <f>'Scen 3 Budgets'!S12/'Scen 3 MWh Savings'!S12</f>
        <v>306.5349424021332</v>
      </c>
      <c r="T12" s="56">
        <f>'Scen 3 Budgets'!T12/'Scen 3 MWh Savings'!T12</f>
        <v>295.98420344202765</v>
      </c>
      <c r="U12" s="56">
        <f>'Scen 3 Budgets'!U12/'Scen 3 MWh Savings'!U12</f>
        <v>289.81618486441101</v>
      </c>
      <c r="V12" s="56">
        <f>'Scen 3 Budgets'!V12/'Scen 3 MWh Savings'!V12</f>
        <v>332.20426755723804</v>
      </c>
    </row>
    <row r="14" spans="1:22">
      <c r="A14" s="50" t="s">
        <v>3</v>
      </c>
    </row>
    <row r="15" spans="1:22">
      <c r="A15" s="2" t="s">
        <v>7</v>
      </c>
      <c r="B15" s="54">
        <f>'Scen 3 Budgets'!B15/'Scen 3 MWh Savings'!B15</f>
        <v>165.32075544467298</v>
      </c>
      <c r="C15" s="54">
        <f>'Scen 3 Budgets'!C15/'Scen 3 MWh Savings'!C15</f>
        <v>168.00949395472091</v>
      </c>
      <c r="D15" s="54">
        <f>'Scen 3 Budgets'!D15/'Scen 3 MWh Savings'!D15</f>
        <v>176.04818635469869</v>
      </c>
      <c r="E15" s="54">
        <f>'Scen 3 Budgets'!E15/'Scen 3 MWh Savings'!E15</f>
        <v>188.01201199205613</v>
      </c>
      <c r="F15" s="54">
        <f>'Scen 3 Budgets'!F15/'Scen 3 MWh Savings'!F15</f>
        <v>193.31936360737299</v>
      </c>
      <c r="G15" s="54">
        <f>'Scen 3 Budgets'!G15/'Scen 3 MWh Savings'!G15</f>
        <v>200.01237295937074</v>
      </c>
      <c r="H15" s="54">
        <f>'Scen 3 Budgets'!H15/'Scen 3 MWh Savings'!H15</f>
        <v>219.82306158534087</v>
      </c>
      <c r="I15" s="54">
        <f>'Scen 3 Budgets'!I15/'Scen 3 MWh Savings'!I15</f>
        <v>222.72853279375229</v>
      </c>
      <c r="J15" s="54">
        <f>'Scen 3 Budgets'!J15/'Scen 3 MWh Savings'!J15</f>
        <v>225.38154631486842</v>
      </c>
      <c r="K15" s="54">
        <f>'Scen 3 Budgets'!K15/'Scen 3 MWh Savings'!K15</f>
        <v>228.0333249042753</v>
      </c>
      <c r="L15" s="54">
        <f>'Scen 3 Budgets'!L15/'Scen 3 MWh Savings'!L15</f>
        <v>230.74294971576586</v>
      </c>
      <c r="M15" s="54">
        <f>'Scen 3 Budgets'!M15/'Scen 3 MWh Savings'!M15</f>
        <v>233.62841311734465</v>
      </c>
      <c r="N15" s="54">
        <f>'Scen 3 Budgets'!N15/'Scen 3 MWh Savings'!N15</f>
        <v>236.6701577827759</v>
      </c>
      <c r="O15" s="54">
        <f>'Scen 3 Budgets'!O15/'Scen 3 MWh Savings'!O15</f>
        <v>239.77976886204328</v>
      </c>
      <c r="P15" s="54">
        <f>'Scen 3 Budgets'!P15/'Scen 3 MWh Savings'!P15</f>
        <v>243.0094627862911</v>
      </c>
      <c r="Q15" s="54">
        <f>'Scen 3 Budgets'!Q15/'Scen 3 MWh Savings'!Q15</f>
        <v>246.18638563899464</v>
      </c>
      <c r="R15" s="54">
        <f>'Scen 3 Budgets'!R15/'Scen 3 MWh Savings'!R15</f>
        <v>249.13012309599438</v>
      </c>
      <c r="S15" s="54">
        <f>'Scen 3 Budgets'!S15/'Scen 3 MWh Savings'!S15</f>
        <v>252.12515393476164</v>
      </c>
      <c r="T15" s="54">
        <f>'Scen 3 Budgets'!T15/'Scen 3 MWh Savings'!T15</f>
        <v>255.19123883903399</v>
      </c>
      <c r="U15" s="54">
        <f>'Scen 3 Budgets'!U15/'Scen 3 MWh Savings'!U15</f>
        <v>258.32379776472004</v>
      </c>
      <c r="V15" s="54">
        <f>'Scen 3 Budgets'!V15/'Scen 3 MWh Savings'!V15</f>
        <v>216.41686105582448</v>
      </c>
    </row>
    <row r="16" spans="1:22">
      <c r="A16" s="2" t="s">
        <v>6</v>
      </c>
      <c r="B16" s="54">
        <f>'Scen 3 Budgets'!B16/'Scen 3 MWh Savings'!B16</f>
        <v>301.84722877248549</v>
      </c>
      <c r="C16" s="54">
        <f>'Scen 3 Budgets'!C16/'Scen 3 MWh Savings'!C16</f>
        <v>326.33500093289706</v>
      </c>
      <c r="D16" s="54">
        <f>'Scen 3 Budgets'!D16/'Scen 3 MWh Savings'!D16</f>
        <v>358.70797558842406</v>
      </c>
      <c r="E16" s="54">
        <f>'Scen 3 Budgets'!E16/'Scen 3 MWh Savings'!E16</f>
        <v>402.0009471714755</v>
      </c>
      <c r="F16" s="54">
        <f>'Scen 3 Budgets'!F16/'Scen 3 MWh Savings'!F16</f>
        <v>421.47860249231547</v>
      </c>
      <c r="G16" s="54">
        <f>'Scen 3 Budgets'!G16/'Scen 3 MWh Savings'!G16</f>
        <v>444.60860925844929</v>
      </c>
      <c r="H16" s="54">
        <f>'Scen 3 Budgets'!H16/'Scen 3 MWh Savings'!H16</f>
        <v>491.06493690349026</v>
      </c>
      <c r="I16" s="54">
        <f>'Scen 3 Budgets'!I16/'Scen 3 MWh Savings'!I16</f>
        <v>500.01864264747218</v>
      </c>
      <c r="J16" s="54">
        <f>'Scen 3 Budgets'!J16/'Scen 3 MWh Savings'!J16</f>
        <v>508.47939874119254</v>
      </c>
      <c r="K16" s="54">
        <f>'Scen 3 Budgets'!K16/'Scen 3 MWh Savings'!K16</f>
        <v>517.00889403404631</v>
      </c>
      <c r="L16" s="54">
        <f>'Scen 3 Budgets'!L16/'Scen 3 MWh Savings'!L16</f>
        <v>525.74213506735225</v>
      </c>
      <c r="M16" s="54">
        <f>'Scen 3 Budgets'!M16/'Scen 3 MWh Savings'!M16</f>
        <v>534.95183816397139</v>
      </c>
      <c r="N16" s="54">
        <f>'Scen 3 Budgets'!N16/'Scen 3 MWh Savings'!N16</f>
        <v>544.59943180188452</v>
      </c>
      <c r="O16" s="54">
        <f>'Scen 3 Budgets'!O16/'Scen 3 MWh Savings'!O16</f>
        <v>554.48639364618657</v>
      </c>
      <c r="P16" s="54">
        <f>'Scen 3 Budgets'!P16/'Scen 3 MWh Savings'!P16</f>
        <v>564.73694631117496</v>
      </c>
      <c r="Q16" s="54">
        <f>'Scen 3 Budgets'!Q16/'Scen 3 MWh Savings'!Q16</f>
        <v>574.95218486797523</v>
      </c>
      <c r="R16" s="54">
        <f>'Scen 3 Budgets'!R16/'Scen 3 MWh Savings'!R16</f>
        <v>584.70743211726813</v>
      </c>
      <c r="S16" s="54">
        <f>'Scen 3 Budgets'!S16/'Scen 3 MWh Savings'!S16</f>
        <v>594.66611669972599</v>
      </c>
      <c r="T16" s="54">
        <f>'Scen 3 Budgets'!T16/'Scen 3 MWh Savings'!T16</f>
        <v>604.87755675879612</v>
      </c>
      <c r="U16" s="54">
        <f>'Scen 3 Budgets'!U16/'Scen 3 MWh Savings'!U16</f>
        <v>615.33383195382885</v>
      </c>
      <c r="V16" s="54">
        <f>'Scen 3 Budgets'!V16/'Scen 3 MWh Savings'!V16</f>
        <v>477.8367409181007</v>
      </c>
    </row>
    <row r="17" spans="1:22">
      <c r="A17" s="2" t="s">
        <v>5</v>
      </c>
      <c r="B17" s="55">
        <f>'Scen 3 Budgets'!B17/'Scen 3 MWh Savings'!B17</f>
        <v>248.11884084856152</v>
      </c>
      <c r="C17" s="55">
        <f>'Scen 3 Budgets'!C17/'Scen 3 MWh Savings'!C17</f>
        <v>262.01197999231681</v>
      </c>
      <c r="D17" s="55">
        <f>'Scen 3 Budgets'!D17/'Scen 3 MWh Savings'!D17</f>
        <v>281.19346146130255</v>
      </c>
      <c r="E17" s="55">
        <f>'Scen 3 Budgets'!E17/'Scen 3 MWh Savings'!E17</f>
        <v>279.46036858599444</v>
      </c>
      <c r="F17" s="55">
        <f>'Scen 3 Budgets'!F17/'Scen 3 MWh Savings'!F17</f>
        <v>306.60990433978407</v>
      </c>
      <c r="G17" s="55">
        <f>'Scen 3 Budgets'!G17/'Scen 3 MWh Savings'!G17</f>
        <v>316.22091572995436</v>
      </c>
      <c r="H17" s="55">
        <f>'Scen 3 Budgets'!H17/'Scen 3 MWh Savings'!H17</f>
        <v>346.28078641890795</v>
      </c>
      <c r="I17" s="55">
        <f>'Scen 3 Budgets'!I17/'Scen 3 MWh Savings'!I17</f>
        <v>352.25166144870377</v>
      </c>
      <c r="J17" s="55">
        <f>'Scen 3 Budgets'!J17/'Scen 3 MWh Savings'!J17</f>
        <v>357.83543805419134</v>
      </c>
      <c r="K17" s="55">
        <f>'Scen 3 Budgets'!K17/'Scen 3 MWh Savings'!K17</f>
        <v>362.61033209286575</v>
      </c>
      <c r="L17" s="55">
        <f>'Scen 3 Budgets'!L17/'Scen 3 MWh Savings'!L17</f>
        <v>366.9954328255908</v>
      </c>
      <c r="M17" s="55">
        <f>'Scen 3 Budgets'!M17/'Scen 3 MWh Savings'!M17</f>
        <v>371.27443643665077</v>
      </c>
      <c r="N17" s="55">
        <f>'Scen 3 Budgets'!N17/'Scen 3 MWh Savings'!N17</f>
        <v>374.51085192425251</v>
      </c>
      <c r="O17" s="55">
        <f>'Scen 3 Budgets'!O17/'Scen 3 MWh Savings'!O17</f>
        <v>378.04549043784851</v>
      </c>
      <c r="P17" s="55">
        <f>'Scen 3 Budgets'!P17/'Scen 3 MWh Savings'!P17</f>
        <v>381.00562244543141</v>
      </c>
      <c r="Q17" s="55">
        <f>'Scen 3 Budgets'!Q17/'Scen 3 MWh Savings'!Q17</f>
        <v>383.44154623418285</v>
      </c>
      <c r="R17" s="55">
        <f>'Scen 3 Budgets'!R17/'Scen 3 MWh Savings'!R17</f>
        <v>384.98518030446519</v>
      </c>
      <c r="S17" s="55">
        <f>'Scen 3 Budgets'!S17/'Scen 3 MWh Savings'!S17</f>
        <v>386.38936291145274</v>
      </c>
      <c r="T17" s="55">
        <f>'Scen 3 Budgets'!T17/'Scen 3 MWh Savings'!T17</f>
        <v>387.17587094812541</v>
      </c>
      <c r="U17" s="55">
        <f>'Scen 3 Budgets'!U17/'Scen 3 MWh Savings'!U17</f>
        <v>387.3808148648518</v>
      </c>
      <c r="V17" s="55">
        <f>'Scen 3 Budgets'!V17/'Scen 3 MWh Savings'!V17</f>
        <v>348.02665879091018</v>
      </c>
    </row>
    <row r="18" spans="1:22">
      <c r="A18" s="8" t="s">
        <v>16</v>
      </c>
      <c r="B18" s="56">
        <f>'Scen 3 Budgets'!B18/'Scen 3 MWh Savings'!B18</f>
        <v>250.97833006710511</v>
      </c>
      <c r="C18" s="56">
        <f>'Scen 3 Budgets'!C18/'Scen 3 MWh Savings'!C18</f>
        <v>265.4011979288087</v>
      </c>
      <c r="D18" s="56">
        <f>'Scen 3 Budgets'!D18/'Scen 3 MWh Savings'!D18</f>
        <v>285.9980593391839</v>
      </c>
      <c r="E18" s="56">
        <f>'Scen 3 Budgets'!E18/'Scen 3 MWh Savings'!E18</f>
        <v>296.76597992977878</v>
      </c>
      <c r="F18" s="56">
        <f>'Scen 3 Budgets'!F18/'Scen 3 MWh Savings'!F18</f>
        <v>317.42248862268423</v>
      </c>
      <c r="G18" s="56">
        <f>'Scen 3 Budgets'!G18/'Scen 3 MWh Savings'!G18</f>
        <v>329.04342143693844</v>
      </c>
      <c r="H18" s="56">
        <f>'Scen 3 Budgets'!H18/'Scen 3 MWh Savings'!H18</f>
        <v>360.95614141367719</v>
      </c>
      <c r="I18" s="56">
        <f>'Scen 3 Budgets'!I18/'Scen 3 MWh Savings'!I18</f>
        <v>366.54036897989039</v>
      </c>
      <c r="J18" s="56">
        <f>'Scen 3 Budgets'!J18/'Scen 3 MWh Savings'!J18</f>
        <v>371.7272678422845</v>
      </c>
      <c r="K18" s="56">
        <f>'Scen 3 Budgets'!K18/'Scen 3 MWh Savings'!K18</f>
        <v>376.59227667543502</v>
      </c>
      <c r="L18" s="56">
        <f>'Scen 3 Budgets'!L18/'Scen 3 MWh Savings'!L18</f>
        <v>381.26476478558442</v>
      </c>
      <c r="M18" s="56">
        <f>'Scen 3 Budgets'!M18/'Scen 3 MWh Savings'!M18</f>
        <v>385.96027803286267</v>
      </c>
      <c r="N18" s="56">
        <f>'Scen 3 Budgets'!N18/'Scen 3 MWh Savings'!N18</f>
        <v>390.28015071252145</v>
      </c>
      <c r="O18" s="56">
        <f>'Scen 3 Budgets'!O18/'Scen 3 MWh Savings'!O18</f>
        <v>394.75608454119845</v>
      </c>
      <c r="P18" s="56">
        <f>'Scen 3 Budgets'!P18/'Scen 3 MWh Savings'!P18</f>
        <v>398.94938824608408</v>
      </c>
      <c r="Q18" s="56">
        <f>'Scen 3 Budgets'!Q18/'Scen 3 MWh Savings'!Q18</f>
        <v>402.67714962668299</v>
      </c>
      <c r="R18" s="56">
        <f>'Scen 3 Budgets'!R18/'Scen 3 MWh Savings'!R18</f>
        <v>405.54957948374528</v>
      </c>
      <c r="S18" s="56">
        <f>'Scen 3 Budgets'!S18/'Scen 3 MWh Savings'!S18</f>
        <v>408.07795391799999</v>
      </c>
      <c r="T18" s="56">
        <f>'Scen 3 Budgets'!T18/'Scen 3 MWh Savings'!T18</f>
        <v>410.06678693586184</v>
      </c>
      <c r="U18" s="56">
        <f>'Scen 3 Budgets'!U18/'Scen 3 MWh Savings'!U18</f>
        <v>411.51052059891174</v>
      </c>
      <c r="V18" s="56">
        <f>'Scen 3 Budgets'!V18/'Scen 3 MWh Savings'!V18</f>
        <v>358.68893560367042</v>
      </c>
    </row>
    <row r="19" spans="1:22">
      <c r="A19" s="8"/>
    </row>
    <row r="20" spans="1:22" s="4" customFormat="1">
      <c r="A20" s="3" t="s">
        <v>4</v>
      </c>
      <c r="B20" s="56">
        <f>'Scen 3 Budgets'!B20/'Scen 3 MWh Savings'!B20</f>
        <v>248.79363382177414</v>
      </c>
      <c r="C20" s="56">
        <f>'Scen 3 Budgets'!C20/'Scen 3 MWh Savings'!C20</f>
        <v>258.98589327358678</v>
      </c>
      <c r="D20" s="56">
        <f>'Scen 3 Budgets'!D20/'Scen 3 MWh Savings'!D20</f>
        <v>274.29417770492097</v>
      </c>
      <c r="E20" s="56">
        <f>'Scen 3 Budgets'!E20/'Scen 3 MWh Savings'!E20</f>
        <v>294.98201985508945</v>
      </c>
      <c r="F20" s="56">
        <f>'Scen 3 Budgets'!F20/'Scen 3 MWh Savings'!F20</f>
        <v>299.2139525806088</v>
      </c>
      <c r="G20" s="56">
        <f>'Scen 3 Budgets'!G20/'Scen 3 MWh Savings'!G20</f>
        <v>354.8613886661376</v>
      </c>
      <c r="H20" s="56">
        <f>'Scen 3 Budgets'!H20/'Scen 3 MWh Savings'!H20</f>
        <v>403.11333898391945</v>
      </c>
      <c r="I20" s="56">
        <f>'Scen 3 Budgets'!I20/'Scen 3 MWh Savings'!I20</f>
        <v>405.78657710601794</v>
      </c>
      <c r="J20" s="56">
        <f>'Scen 3 Budgets'!J20/'Scen 3 MWh Savings'!J20</f>
        <v>380.66317459105943</v>
      </c>
      <c r="K20" s="56">
        <f>'Scen 3 Budgets'!K20/'Scen 3 MWh Savings'!K20</f>
        <v>377.3485664117008</v>
      </c>
      <c r="L20" s="56">
        <f>'Scen 3 Budgets'!L20/'Scen 3 MWh Savings'!L20</f>
        <v>371.95357421341629</v>
      </c>
      <c r="M20" s="56">
        <f>'Scen 3 Budgets'!M20/'Scen 3 MWh Savings'!M20</f>
        <v>369.29724796451831</v>
      </c>
      <c r="N20" s="56">
        <f>'Scen 3 Budgets'!N20/'Scen 3 MWh Savings'!N20</f>
        <v>369.05291961675658</v>
      </c>
      <c r="O20" s="56">
        <f>'Scen 3 Budgets'!O20/'Scen 3 MWh Savings'!O20</f>
        <v>367.65159876329636</v>
      </c>
      <c r="P20" s="56">
        <f>'Scen 3 Budgets'!P20/'Scen 3 MWh Savings'!P20</f>
        <v>366.66383907938859</v>
      </c>
      <c r="Q20" s="56">
        <f>'Scen 3 Budgets'!Q20/'Scen 3 MWh Savings'!Q20</f>
        <v>368.20502476682321</v>
      </c>
      <c r="R20" s="56">
        <f>'Scen 3 Budgets'!R20/'Scen 3 MWh Savings'!R20</f>
        <v>367.2831145003571</v>
      </c>
      <c r="S20" s="56">
        <f>'Scen 3 Budgets'!S20/'Scen 3 MWh Savings'!S20</f>
        <v>366.83149661298751</v>
      </c>
      <c r="T20" s="56">
        <f>'Scen 3 Budgets'!T20/'Scen 3 MWh Savings'!T20</f>
        <v>363.91235950464875</v>
      </c>
      <c r="U20" s="56">
        <f>'Scen 3 Budgets'!U20/'Scen 3 MWh Savings'!U20</f>
        <v>362.38529668505703</v>
      </c>
      <c r="V20" s="56">
        <f>'Scen 3 Budgets'!V20/'Scen 3 MWh Savings'!V20</f>
        <v>347.68002095845856</v>
      </c>
    </row>
    <row r="21" spans="1:22">
      <c r="A21" s="1"/>
    </row>
    <row r="22" spans="1:22">
      <c r="A22" s="62" t="s">
        <v>28</v>
      </c>
      <c r="B22" s="6">
        <v>2015</v>
      </c>
      <c r="C22" s="6">
        <f>B22+1</f>
        <v>2016</v>
      </c>
      <c r="D22" s="6">
        <f t="shared" ref="D22:U22" si="1">C22+1</f>
        <v>2017</v>
      </c>
      <c r="E22" s="6">
        <f t="shared" si="1"/>
        <v>2018</v>
      </c>
      <c r="F22" s="6">
        <f t="shared" si="1"/>
        <v>2019</v>
      </c>
      <c r="G22" s="6">
        <f t="shared" si="1"/>
        <v>2020</v>
      </c>
      <c r="H22" s="6">
        <f t="shared" si="1"/>
        <v>2021</v>
      </c>
      <c r="I22" s="6">
        <f t="shared" si="1"/>
        <v>2022</v>
      </c>
      <c r="J22" s="6">
        <f t="shared" si="1"/>
        <v>2023</v>
      </c>
      <c r="K22" s="6">
        <f t="shared" si="1"/>
        <v>2024</v>
      </c>
      <c r="L22" s="6">
        <f t="shared" si="1"/>
        <v>2025</v>
      </c>
      <c r="M22" s="6">
        <f t="shared" si="1"/>
        <v>2026</v>
      </c>
      <c r="N22" s="6">
        <f t="shared" si="1"/>
        <v>2027</v>
      </c>
      <c r="O22" s="6">
        <f t="shared" si="1"/>
        <v>2028</v>
      </c>
      <c r="P22" s="6">
        <f t="shared" si="1"/>
        <v>2029</v>
      </c>
      <c r="Q22" s="6">
        <f t="shared" si="1"/>
        <v>2030</v>
      </c>
      <c r="R22" s="6">
        <f t="shared" si="1"/>
        <v>2031</v>
      </c>
      <c r="S22" s="6">
        <f t="shared" si="1"/>
        <v>2032</v>
      </c>
      <c r="T22" s="6">
        <f t="shared" si="1"/>
        <v>2033</v>
      </c>
      <c r="U22" s="6">
        <f t="shared" si="1"/>
        <v>2034</v>
      </c>
      <c r="V22" s="6" t="s">
        <v>14</v>
      </c>
    </row>
    <row r="23" spans="1:22">
      <c r="A23" s="50" t="s">
        <v>2</v>
      </c>
    </row>
    <row r="24" spans="1:22">
      <c r="A24" s="9" t="s">
        <v>8</v>
      </c>
      <c r="B24" s="54">
        <f>'Scen 3 Budgets'!B42/'Scen 3 MWh Savings'!B6</f>
        <v>2356.0019351683477</v>
      </c>
      <c r="C24" s="54">
        <f>'Scen 3 Budgets'!C42/'Scen 3 MWh Savings'!C6</f>
        <v>2341.7111198818543</v>
      </c>
      <c r="D24" s="54">
        <f>'Scen 3 Budgets'!D42/'Scen 3 MWh Savings'!D6</f>
        <v>2202.2541978035697</v>
      </c>
      <c r="E24" s="54">
        <f>'Scen 3 Budgets'!E42/'Scen 3 MWh Savings'!E6</f>
        <v>2416.2487297942907</v>
      </c>
      <c r="F24" s="54">
        <f>'Scen 3 Budgets'!F42/'Scen 3 MWh Savings'!F6</f>
        <v>2504.9872646300578</v>
      </c>
      <c r="G24" s="54">
        <f>'Scen 3 Budgets'!G42/'Scen 3 MWh Savings'!G6</f>
        <v>2824.3840574747392</v>
      </c>
      <c r="H24" s="54">
        <f>'Scen 3 Budgets'!H42/'Scen 3 MWh Savings'!H6</f>
        <v>2735.3977034441796</v>
      </c>
      <c r="I24" s="54">
        <f>'Scen 3 Budgets'!I42/'Scen 3 MWh Savings'!I6</f>
        <v>2713.7862502431431</v>
      </c>
      <c r="J24" s="54">
        <f>'Scen 3 Budgets'!J42/'Scen 3 MWh Savings'!J6</f>
        <v>2718.5169298854194</v>
      </c>
      <c r="K24" s="54">
        <f>'Scen 3 Budgets'!K42/'Scen 3 MWh Savings'!K6</f>
        <v>2630.0675408306392</v>
      </c>
      <c r="L24" s="54">
        <f>'Scen 3 Budgets'!L42/'Scen 3 MWh Savings'!L6</f>
        <v>2649.0460564566611</v>
      </c>
      <c r="M24" s="54">
        <f>'Scen 3 Budgets'!M42/'Scen 3 MWh Savings'!M6</f>
        <v>2665.2407144489853</v>
      </c>
      <c r="N24" s="54">
        <f>'Scen 3 Budgets'!N42/'Scen 3 MWh Savings'!N6</f>
        <v>2598.8390545155562</v>
      </c>
      <c r="O24" s="54">
        <f>'Scen 3 Budgets'!O42/'Scen 3 MWh Savings'!O6</f>
        <v>2616.0310785651322</v>
      </c>
      <c r="P24" s="54">
        <f>'Scen 3 Budgets'!P42/'Scen 3 MWh Savings'!P6</f>
        <v>2613.2789105887969</v>
      </c>
      <c r="Q24" s="54">
        <f>'Scen 3 Budgets'!Q42/'Scen 3 MWh Savings'!Q6</f>
        <v>2552.9268313853104</v>
      </c>
      <c r="R24" s="54">
        <f>'Scen 3 Budgets'!R42/'Scen 3 MWh Savings'!R6</f>
        <v>2559.4301000108426</v>
      </c>
      <c r="S24" s="54">
        <f>'Scen 3 Budgets'!S42/'Scen 3 MWh Savings'!S6</f>
        <v>2565.4737940076607</v>
      </c>
      <c r="T24" s="54">
        <f>'Scen 3 Budgets'!T42/'Scen 3 MWh Savings'!T6</f>
        <v>2497.4607186907338</v>
      </c>
      <c r="U24" s="54">
        <f>'Scen 3 Budgets'!U42/'Scen 3 MWh Savings'!U6</f>
        <v>2504.024123892254</v>
      </c>
      <c r="V24" s="54">
        <f>'Scen 3 Budgets'!V42/'Scen 3 MWh Savings'!V6</f>
        <v>2567.9954155165628</v>
      </c>
    </row>
    <row r="25" spans="1:22">
      <c r="A25" s="10" t="s">
        <v>9</v>
      </c>
      <c r="B25" s="54">
        <f>'Scen 3 Budgets'!B43/'Scen 3 MWh Savings'!B7</f>
        <v>325.187151474404</v>
      </c>
      <c r="C25" s="54">
        <f>'Scen 3 Budgets'!C43/'Scen 3 MWh Savings'!C7</f>
        <v>329.91369758660721</v>
      </c>
      <c r="D25" s="54">
        <f>'Scen 3 Budgets'!D43/'Scen 3 MWh Savings'!D7</f>
        <v>330.78733232109414</v>
      </c>
      <c r="E25" s="54">
        <f>'Scen 3 Budgets'!E43/'Scen 3 MWh Savings'!E7</f>
        <v>399.32589150930954</v>
      </c>
      <c r="F25" s="54">
        <f>'Scen 3 Budgets'!F43/'Scen 3 MWh Savings'!F7</f>
        <v>360.89481060926403</v>
      </c>
      <c r="G25" s="54">
        <f>'Scen 3 Budgets'!G43/'Scen 3 MWh Savings'!G7</f>
        <v>614.42691011470401</v>
      </c>
      <c r="H25" s="54">
        <f>'Scen 3 Budgets'!H43/'Scen 3 MWh Savings'!H7</f>
        <v>780.66123179046701</v>
      </c>
      <c r="I25" s="54">
        <f>'Scen 3 Budgets'!I43/'Scen 3 MWh Savings'!I7</f>
        <v>815.41222391284998</v>
      </c>
      <c r="J25" s="54">
        <f>'Scen 3 Budgets'!J43/'Scen 3 MWh Savings'!J7</f>
        <v>774.28560192381315</v>
      </c>
      <c r="K25" s="54">
        <f>'Scen 3 Budgets'!K43/'Scen 3 MWh Savings'!K7</f>
        <v>734.1631097115303</v>
      </c>
      <c r="L25" s="54">
        <f>'Scen 3 Budgets'!L43/'Scen 3 MWh Savings'!L7</f>
        <v>695.92210593155505</v>
      </c>
      <c r="M25" s="54">
        <f>'Scen 3 Budgets'!M43/'Scen 3 MWh Savings'!M7</f>
        <v>677.68488914667626</v>
      </c>
      <c r="N25" s="54">
        <f>'Scen 3 Budgets'!N43/'Scen 3 MWh Savings'!N7</f>
        <v>669.63369555322038</v>
      </c>
      <c r="O25" s="54">
        <f>'Scen 3 Budgets'!O43/'Scen 3 MWh Savings'!O7</f>
        <v>649.13352802637701</v>
      </c>
      <c r="P25" s="54">
        <f>'Scen 3 Budgets'!P43/'Scen 3 MWh Savings'!P7</f>
        <v>645.47668750868752</v>
      </c>
      <c r="Q25" s="54">
        <f>'Scen 3 Budgets'!Q43/'Scen 3 MWh Savings'!Q7</f>
        <v>641.14607851253004</v>
      </c>
      <c r="R25" s="54">
        <f>'Scen 3 Budgets'!R43/'Scen 3 MWh Savings'!R7</f>
        <v>631.61478130852583</v>
      </c>
      <c r="S25" s="54">
        <f>'Scen 3 Budgets'!S43/'Scen 3 MWh Savings'!S7</f>
        <v>603.46337968920579</v>
      </c>
      <c r="T25" s="54">
        <f>'Scen 3 Budgets'!T43/'Scen 3 MWh Savings'!T7</f>
        <v>597.50399490177733</v>
      </c>
      <c r="U25" s="54">
        <f>'Scen 3 Budgets'!U43/'Scen 3 MWh Savings'!U7</f>
        <v>585.6920266428956</v>
      </c>
      <c r="V25" s="54">
        <f>'Scen 3 Budgets'!V43/'Scen 3 MWh Savings'!V7</f>
        <v>543.90293355643473</v>
      </c>
    </row>
    <row r="26" spans="1:22">
      <c r="A26" s="10" t="s">
        <v>10</v>
      </c>
      <c r="B26" s="54">
        <f>'Scen 3 Budgets'!B44/'Scen 3 MWh Savings'!B8</f>
        <v>188.77785320425127</v>
      </c>
      <c r="C26" s="54">
        <f>'Scen 3 Budgets'!C44/'Scen 3 MWh Savings'!C8</f>
        <v>201.34207669099652</v>
      </c>
      <c r="D26" s="54">
        <f>'Scen 3 Budgets'!D44/'Scen 3 MWh Savings'!D8</f>
        <v>204.76874674679019</v>
      </c>
      <c r="E26" s="54">
        <f>'Scen 3 Budgets'!E44/'Scen 3 MWh Savings'!E8</f>
        <v>223.64235158093055</v>
      </c>
      <c r="F26" s="54">
        <f>'Scen 3 Budgets'!F44/'Scen 3 MWh Savings'!F8</f>
        <v>224.43969698480575</v>
      </c>
      <c r="G26" s="54">
        <f>'Scen 3 Budgets'!G44/'Scen 3 MWh Savings'!G8</f>
        <v>312.56594593079114</v>
      </c>
      <c r="H26" s="54">
        <f>'Scen 3 Budgets'!H44/'Scen 3 MWh Savings'!H8</f>
        <v>418.15180848452769</v>
      </c>
      <c r="I26" s="54">
        <f>'Scen 3 Budgets'!I44/'Scen 3 MWh Savings'!I8</f>
        <v>471.33810327921179</v>
      </c>
      <c r="J26" s="54">
        <f>'Scen 3 Budgets'!J44/'Scen 3 MWh Savings'!J8</f>
        <v>451.71580726301391</v>
      </c>
      <c r="K26" s="54">
        <f>'Scen 3 Budgets'!K44/'Scen 3 MWh Savings'!K8</f>
        <v>448.68775418990577</v>
      </c>
      <c r="L26" s="54">
        <f>'Scen 3 Budgets'!L44/'Scen 3 MWh Savings'!L8</f>
        <v>435.41613463155329</v>
      </c>
      <c r="M26" s="54">
        <f>'Scen 3 Budgets'!M44/'Scen 3 MWh Savings'!M8</f>
        <v>428.88791677276447</v>
      </c>
      <c r="N26" s="54">
        <f>'Scen 3 Budgets'!N44/'Scen 3 MWh Savings'!N8</f>
        <v>426.41789209083777</v>
      </c>
      <c r="O26" s="54">
        <f>'Scen 3 Budgets'!O44/'Scen 3 MWh Savings'!O8</f>
        <v>429.90808502053426</v>
      </c>
      <c r="P26" s="54">
        <f>'Scen 3 Budgets'!P44/'Scen 3 MWh Savings'!P8</f>
        <v>418.4498011130392</v>
      </c>
      <c r="Q26" s="54">
        <f>'Scen 3 Budgets'!Q44/'Scen 3 MWh Savings'!Q8</f>
        <v>421.77957974491454</v>
      </c>
      <c r="R26" s="54">
        <f>'Scen 3 Budgets'!R44/'Scen 3 MWh Savings'!R8</f>
        <v>418.34302057826113</v>
      </c>
      <c r="S26" s="54">
        <f>'Scen 3 Budgets'!S44/'Scen 3 MWh Savings'!S8</f>
        <v>413.96493961964268</v>
      </c>
      <c r="T26" s="54">
        <f>'Scen 3 Budgets'!T44/'Scen 3 MWh Savings'!T8</f>
        <v>409.93363772319509</v>
      </c>
      <c r="U26" s="54">
        <f>'Scen 3 Budgets'!U44/'Scen 3 MWh Savings'!U8</f>
        <v>408.3435976883834</v>
      </c>
      <c r="V26" s="54">
        <f>'Scen 3 Budgets'!V44/'Scen 3 MWh Savings'!V8</f>
        <v>387.91746354812375</v>
      </c>
    </row>
    <row r="27" spans="1:22">
      <c r="A27" s="10" t="s">
        <v>11</v>
      </c>
      <c r="B27" s="54">
        <f>'Scen 3 Budgets'!B45/'Scen 3 MWh Savings'!B9</f>
        <v>631.00831880417741</v>
      </c>
      <c r="C27" s="54">
        <f>'Scen 3 Budgets'!C45/'Scen 3 MWh Savings'!C9</f>
        <v>633.56584098121948</v>
      </c>
      <c r="D27" s="54">
        <f>'Scen 3 Budgets'!D45/'Scen 3 MWh Savings'!D9</f>
        <v>721.71910881851761</v>
      </c>
      <c r="E27" s="54">
        <f>'Scen 3 Budgets'!E45/'Scen 3 MWh Savings'!E9</f>
        <v>760.22333910427994</v>
      </c>
      <c r="F27" s="54">
        <f>'Scen 3 Budgets'!F45/'Scen 3 MWh Savings'!F9</f>
        <v>791.54657949037608</v>
      </c>
      <c r="G27" s="54">
        <f>'Scen 3 Budgets'!G45/'Scen 3 MWh Savings'!G9</f>
        <v>781.57457476636012</v>
      </c>
      <c r="H27" s="54">
        <f>'Scen 3 Budgets'!H45/'Scen 3 MWh Savings'!H9</f>
        <v>806.56768512218923</v>
      </c>
      <c r="I27" s="54">
        <f>'Scen 3 Budgets'!I45/'Scen 3 MWh Savings'!I9</f>
        <v>805.1181920984601</v>
      </c>
      <c r="J27" s="54">
        <f>'Scen 3 Budgets'!J45/'Scen 3 MWh Savings'!J9</f>
        <v>739.60718036185472</v>
      </c>
      <c r="K27" s="54">
        <f>'Scen 3 Budgets'!K45/'Scen 3 MWh Savings'!K9</f>
        <v>732.82456589002925</v>
      </c>
      <c r="L27" s="54">
        <f>'Scen 3 Budgets'!L45/'Scen 3 MWh Savings'!L9</f>
        <v>729.50101464789509</v>
      </c>
      <c r="M27" s="54">
        <f>'Scen 3 Budgets'!M45/'Scen 3 MWh Savings'!M9</f>
        <v>737.46768385802613</v>
      </c>
      <c r="N27" s="54">
        <f>'Scen 3 Budgets'!N45/'Scen 3 MWh Savings'!N9</f>
        <v>738.72614835434183</v>
      </c>
      <c r="O27" s="54">
        <f>'Scen 3 Budgets'!O45/'Scen 3 MWh Savings'!O9</f>
        <v>755.63868932057846</v>
      </c>
      <c r="P27" s="54">
        <f>'Scen 3 Budgets'!P45/'Scen 3 MWh Savings'!P9</f>
        <v>756.4190292946771</v>
      </c>
      <c r="Q27" s="54">
        <f>'Scen 3 Budgets'!Q45/'Scen 3 MWh Savings'!Q9</f>
        <v>763.63118543841995</v>
      </c>
      <c r="R27" s="54">
        <f>'Scen 3 Budgets'!R45/'Scen 3 MWh Savings'!R9</f>
        <v>764.75618576242573</v>
      </c>
      <c r="S27" s="54">
        <f>'Scen 3 Budgets'!S45/'Scen 3 MWh Savings'!S9</f>
        <v>805.33242590404961</v>
      </c>
      <c r="T27" s="54">
        <f>'Scen 3 Budgets'!T45/'Scen 3 MWh Savings'!T9</f>
        <v>815.26084716366188</v>
      </c>
      <c r="U27" s="54">
        <f>'Scen 3 Budgets'!U45/'Scen 3 MWh Savings'!U9</f>
        <v>812.0875323562899</v>
      </c>
      <c r="V27" s="54">
        <f>'Scen 3 Budgets'!V45/'Scen 3 MWh Savings'!V9</f>
        <v>757.89635529840859</v>
      </c>
    </row>
    <row r="28" spans="1:22">
      <c r="A28" s="2" t="s">
        <v>12</v>
      </c>
      <c r="B28" s="54">
        <f>'Scen 3 Budgets'!B46/'Scen 3 MWh Savings'!B10</f>
        <v>566.46932808969689</v>
      </c>
      <c r="C28" s="54">
        <f>'Scen 3 Budgets'!C46/'Scen 3 MWh Savings'!C10</f>
        <v>572.52303821038413</v>
      </c>
      <c r="D28" s="54">
        <f>'Scen 3 Budgets'!D46/'Scen 3 MWh Savings'!D10</f>
        <v>581.02819744605961</v>
      </c>
      <c r="E28" s="54">
        <f>'Scen 3 Budgets'!E46/'Scen 3 MWh Savings'!E10</f>
        <v>599.12719088186986</v>
      </c>
      <c r="F28" s="54">
        <f>'Scen 3 Budgets'!F46/'Scen 3 MWh Savings'!F10</f>
        <v>607.03200461742654</v>
      </c>
      <c r="G28" s="54">
        <f>'Scen 3 Budgets'!G46/'Scen 3 MWh Savings'!G10</f>
        <v>680.96283975436688</v>
      </c>
      <c r="H28" s="54">
        <f>'Scen 3 Budgets'!H46/'Scen 3 MWh Savings'!H10</f>
        <v>717.89620393528401</v>
      </c>
      <c r="I28" s="54">
        <f>'Scen 3 Budgets'!I46/'Scen 3 MWh Savings'!I10</f>
        <v>726.02227958026265</v>
      </c>
      <c r="J28" s="54">
        <f>'Scen 3 Budgets'!J46/'Scen 3 MWh Savings'!J10</f>
        <v>676.27576973245516</v>
      </c>
      <c r="K28" s="54">
        <f>'Scen 3 Budgets'!K46/'Scen 3 MWh Savings'!K10</f>
        <v>666.27121384532245</v>
      </c>
      <c r="L28" s="54">
        <f>'Scen 3 Budgets'!L46/'Scen 3 MWh Savings'!L10</f>
        <v>652.21904135014859</v>
      </c>
      <c r="M28" s="54">
        <f>'Scen 3 Budgets'!M46/'Scen 3 MWh Savings'!M10</f>
        <v>611.991745836154</v>
      </c>
      <c r="N28" s="54">
        <f>'Scen 3 Budgets'!N46/'Scen 3 MWh Savings'!N10</f>
        <v>598.41307371528558</v>
      </c>
      <c r="O28" s="54">
        <f>'Scen 3 Budgets'!O46/'Scen 3 MWh Savings'!O10</f>
        <v>612.02254048860857</v>
      </c>
      <c r="P28" s="54">
        <f>'Scen 3 Budgets'!P46/'Scen 3 MWh Savings'!P10</f>
        <v>612.41726689601785</v>
      </c>
      <c r="Q28" s="54">
        <f>'Scen 3 Budgets'!Q46/'Scen 3 MWh Savings'!Q10</f>
        <v>610.89293884640085</v>
      </c>
      <c r="R28" s="54">
        <f>'Scen 3 Budgets'!R46/'Scen 3 MWh Savings'!R10</f>
        <v>609.62534662617657</v>
      </c>
      <c r="S28" s="54">
        <f>'Scen 3 Budgets'!S46/'Scen 3 MWh Savings'!S10</f>
        <v>609.44556745259877</v>
      </c>
      <c r="T28" s="54">
        <f>'Scen 3 Budgets'!T46/'Scen 3 MWh Savings'!T10</f>
        <v>613.12802008128756</v>
      </c>
      <c r="U28" s="54">
        <f>'Scen 3 Budgets'!U46/'Scen 3 MWh Savings'!U10</f>
        <v>612.07121121843454</v>
      </c>
      <c r="V28" s="54">
        <f>'Scen 3 Budgets'!V46/'Scen 3 MWh Savings'!V10</f>
        <v>629.08208875533467</v>
      </c>
    </row>
    <row r="29" spans="1:22">
      <c r="A29" s="2" t="s">
        <v>13</v>
      </c>
      <c r="B29" s="55">
        <f>'Scen 3 Budgets'!B47/'Scen 3 MWh Savings'!B11</f>
        <v>341.36929905861302</v>
      </c>
      <c r="C29" s="55">
        <f>'Scen 3 Budgets'!C47/'Scen 3 MWh Savings'!C11</f>
        <v>398.19907034325843</v>
      </c>
      <c r="D29" s="55">
        <f>'Scen 3 Budgets'!D47/'Scen 3 MWh Savings'!D11</f>
        <v>409.81003220640605</v>
      </c>
      <c r="E29" s="55">
        <f>'Scen 3 Budgets'!E47/'Scen 3 MWh Savings'!E11</f>
        <v>431.59744221242164</v>
      </c>
      <c r="F29" s="55">
        <f>'Scen 3 Budgets'!F47/'Scen 3 MWh Savings'!F11</f>
        <v>425.15007620964667</v>
      </c>
      <c r="G29" s="55">
        <f>'Scen 3 Budgets'!G47/'Scen 3 MWh Savings'!G11</f>
        <v>454.89035688414009</v>
      </c>
      <c r="H29" s="55">
        <f>'Scen 3 Budgets'!H47/'Scen 3 MWh Savings'!H11</f>
        <v>476.36707221054809</v>
      </c>
      <c r="I29" s="55">
        <f>'Scen 3 Budgets'!I47/'Scen 3 MWh Savings'!I11</f>
        <v>491.65166873536225</v>
      </c>
      <c r="J29" s="55">
        <f>'Scen 3 Budgets'!J47/'Scen 3 MWh Savings'!J11</f>
        <v>488.17148328162779</v>
      </c>
      <c r="K29" s="55">
        <f>'Scen 3 Budgets'!K47/'Scen 3 MWh Savings'!K11</f>
        <v>486.09662930831456</v>
      </c>
      <c r="L29" s="55">
        <f>'Scen 3 Budgets'!L47/'Scen 3 MWh Savings'!L11</f>
        <v>482.38355306396244</v>
      </c>
      <c r="M29" s="55">
        <f>'Scen 3 Budgets'!M47/'Scen 3 MWh Savings'!M11</f>
        <v>478.43965705720939</v>
      </c>
      <c r="N29" s="55">
        <f>'Scen 3 Budgets'!N47/'Scen 3 MWh Savings'!N11</f>
        <v>475.92501737523486</v>
      </c>
      <c r="O29" s="55">
        <f>'Scen 3 Budgets'!O47/'Scen 3 MWh Savings'!O11</f>
        <v>471.22432468609844</v>
      </c>
      <c r="P29" s="55">
        <f>'Scen 3 Budgets'!P47/'Scen 3 MWh Savings'!P11</f>
        <v>461.11692627931689</v>
      </c>
      <c r="Q29" s="55">
        <f>'Scen 3 Budgets'!Q47/'Scen 3 MWh Savings'!Q11</f>
        <v>458.4992040079859</v>
      </c>
      <c r="R29" s="55">
        <f>'Scen 3 Budgets'!R47/'Scen 3 MWh Savings'!R11</f>
        <v>447.83893608101795</v>
      </c>
      <c r="S29" s="55">
        <f>'Scen 3 Budgets'!S47/'Scen 3 MWh Savings'!S11</f>
        <v>443.37183321044967</v>
      </c>
      <c r="T29" s="55">
        <f>'Scen 3 Budgets'!T47/'Scen 3 MWh Savings'!T11</f>
        <v>432.52091552979982</v>
      </c>
      <c r="U29" s="55">
        <f>'Scen 3 Budgets'!U47/'Scen 3 MWh Savings'!U11</f>
        <v>423.17799291004008</v>
      </c>
      <c r="V29" s="55">
        <f>'Scen 3 Budgets'!V47/'Scen 3 MWh Savings'!V11</f>
        <v>454.17449351721342</v>
      </c>
    </row>
    <row r="30" spans="1:22">
      <c r="A30" s="8" t="s">
        <v>15</v>
      </c>
      <c r="B30" s="56">
        <f>'Scen 3 Budgets'!B48/'Scen 3 MWh Savings'!B12</f>
        <v>383.82173452921478</v>
      </c>
      <c r="C30" s="56">
        <f>'Scen 3 Budgets'!C48/'Scen 3 MWh Savings'!C12</f>
        <v>393.62052939925434</v>
      </c>
      <c r="D30" s="56">
        <f>'Scen 3 Budgets'!D48/'Scen 3 MWh Savings'!D12</f>
        <v>407.21183450050154</v>
      </c>
      <c r="E30" s="56">
        <f>'Scen 3 Budgets'!E48/'Scen 3 MWh Savings'!E12</f>
        <v>465.15614125487309</v>
      </c>
      <c r="F30" s="56">
        <f>'Scen 3 Budgets'!F48/'Scen 3 MWh Savings'!F12</f>
        <v>448.25792397086343</v>
      </c>
      <c r="G30" s="56">
        <f>'Scen 3 Budgets'!G48/'Scen 3 MWh Savings'!G12</f>
        <v>602.81892103650387</v>
      </c>
      <c r="H30" s="56">
        <f>'Scen 3 Budgets'!H48/'Scen 3 MWh Savings'!H12</f>
        <v>697.6155305530749</v>
      </c>
      <c r="I30" s="56">
        <f>'Scen 3 Budgets'!I48/'Scen 3 MWh Savings'!I12</f>
        <v>717.14123255604238</v>
      </c>
      <c r="J30" s="56">
        <f>'Scen 3 Budgets'!J48/'Scen 3 MWh Savings'!J12</f>
        <v>682.68400642495374</v>
      </c>
      <c r="K30" s="56">
        <f>'Scen 3 Budgets'!K48/'Scen 3 MWh Savings'!K12</f>
        <v>668.57258592604501</v>
      </c>
      <c r="L30" s="56">
        <f>'Scen 3 Budgets'!L48/'Scen 3 MWh Savings'!L12</f>
        <v>651.11971725879835</v>
      </c>
      <c r="M30" s="56">
        <f>'Scen 3 Budgets'!M48/'Scen 3 MWh Savings'!M12</f>
        <v>641.75629742603644</v>
      </c>
      <c r="N30" s="56">
        <f>'Scen 3 Budgets'!N48/'Scen 3 MWh Savings'!N12</f>
        <v>637.27727144243806</v>
      </c>
      <c r="O30" s="56">
        <f>'Scen 3 Budgets'!O48/'Scen 3 MWh Savings'!O12</f>
        <v>641.18357665541907</v>
      </c>
      <c r="P30" s="56">
        <f>'Scen 3 Budgets'!P48/'Scen 3 MWh Savings'!P12</f>
        <v>634.87766241732356</v>
      </c>
      <c r="Q30" s="56">
        <f>'Scen 3 Budgets'!Q48/'Scen 3 MWh Savings'!Q12</f>
        <v>635.09450626799719</v>
      </c>
      <c r="R30" s="56">
        <f>'Scen 3 Budgets'!R48/'Scen 3 MWh Savings'!R12</f>
        <v>629.62450685894044</v>
      </c>
      <c r="S30" s="56">
        <f>'Scen 3 Budgets'!S48/'Scen 3 MWh Savings'!S12</f>
        <v>626.67994229701037</v>
      </c>
      <c r="T30" s="56">
        <f>'Scen 3 Budgets'!T48/'Scen 3 MWh Savings'!T12</f>
        <v>627.09351552180522</v>
      </c>
      <c r="U30" s="56">
        <f>'Scen 3 Budgets'!U48/'Scen 3 MWh Savings'!U12</f>
        <v>622.86333474755577</v>
      </c>
      <c r="V30" s="56">
        <f>'Scen 3 Budgets'!V48/'Scen 3 MWh Savings'!V12</f>
        <v>586.09561190862189</v>
      </c>
    </row>
    <row r="32" spans="1:22">
      <c r="A32" s="50" t="s">
        <v>3</v>
      </c>
    </row>
    <row r="33" spans="1:22">
      <c r="A33" s="2" t="s">
        <v>7</v>
      </c>
      <c r="B33" s="54">
        <f>'Scen 3 Budgets'!B51/'Scen 3 MWh Savings'!B15</f>
        <v>378.58452996830113</v>
      </c>
      <c r="C33" s="54">
        <f>'Scen 3 Budgets'!C51/'Scen 3 MWh Savings'!C15</f>
        <v>384.74174115631087</v>
      </c>
      <c r="D33" s="54">
        <f>'Scen 3 Budgets'!D51/'Scen 3 MWh Savings'!D15</f>
        <v>403.15034675225996</v>
      </c>
      <c r="E33" s="54">
        <f>'Scen 3 Budgets'!E51/'Scen 3 MWh Savings'!E15</f>
        <v>430.54750746180855</v>
      </c>
      <c r="F33" s="54">
        <f>'Scen 3 Budgets'!F51/'Scen 3 MWh Savings'!F15</f>
        <v>442.70134266088411</v>
      </c>
      <c r="G33" s="54">
        <f>'Scen 3 Budgets'!G51/'Scen 3 MWh Savings'!G15</f>
        <v>458.02833407695897</v>
      </c>
      <c r="H33" s="54">
        <f>'Scen 3 Budgets'!H51/'Scen 3 MWh Savings'!H15</f>
        <v>503.3948110304305</v>
      </c>
      <c r="I33" s="54">
        <f>'Scen 3 Budgets'!I51/'Scen 3 MWh Savings'!I15</f>
        <v>510.0483400976928</v>
      </c>
      <c r="J33" s="54">
        <f>'Scen 3 Budgets'!J51/'Scen 3 MWh Savings'!J15</f>
        <v>516.12374106104869</v>
      </c>
      <c r="K33" s="54">
        <f>'Scen 3 Budgets'!K51/'Scen 3 MWh Savings'!K15</f>
        <v>522.19631403079052</v>
      </c>
      <c r="L33" s="54">
        <f>'Scen 3 Budgets'!L51/'Scen 3 MWh Savings'!L15</f>
        <v>528.40135484910377</v>
      </c>
      <c r="M33" s="54">
        <f>'Scen 3 Budgets'!M51/'Scen 3 MWh Savings'!M15</f>
        <v>535.00906603871931</v>
      </c>
      <c r="N33" s="54">
        <f>'Scen 3 Budgets'!N51/'Scen 3 MWh Savings'!N15</f>
        <v>541.97466132255681</v>
      </c>
      <c r="O33" s="54">
        <f>'Scen 3 Budgets'!O51/'Scen 3 MWh Savings'!O15</f>
        <v>549.0956706940791</v>
      </c>
      <c r="P33" s="54">
        <f>'Scen 3 Budgets'!P51/'Scen 3 MWh Savings'!P15</f>
        <v>556.49166978060657</v>
      </c>
      <c r="Q33" s="54">
        <f>'Scen 3 Budgets'!Q51/'Scen 3 MWh Savings'!Q15</f>
        <v>563.76682311329773</v>
      </c>
      <c r="R33" s="54">
        <f>'Scen 3 Budgets'!R51/'Scen 3 MWh Savings'!R15</f>
        <v>570.50798188982708</v>
      </c>
      <c r="S33" s="54">
        <f>'Scen 3 Budgets'!S51/'Scen 3 MWh Savings'!S15</f>
        <v>577.36660251060414</v>
      </c>
      <c r="T33" s="54">
        <f>'Scen 3 Budgets'!T51/'Scen 3 MWh Savings'!T15</f>
        <v>584.38793694138781</v>
      </c>
      <c r="U33" s="54">
        <f>'Scen 3 Budgets'!U51/'Scen 3 MWh Savings'!U15</f>
        <v>591.56149688120888</v>
      </c>
      <c r="V33" s="54">
        <f>'Scen 3 Budgets'!V51/'Scen 3 MWh Savings'!V15</f>
        <v>495.59461181783809</v>
      </c>
    </row>
    <row r="34" spans="1:22">
      <c r="A34" s="2" t="s">
        <v>6</v>
      </c>
      <c r="B34" s="54">
        <f>'Scen 3 Budgets'!B52/'Scen 3 MWh Savings'!B16</f>
        <v>359.19820223925768</v>
      </c>
      <c r="C34" s="54">
        <f>'Scen 3 Budgets'!C52/'Scen 3 MWh Savings'!C16</f>
        <v>382.53998552232622</v>
      </c>
      <c r="D34" s="54">
        <f>'Scen 3 Budgets'!D52/'Scen 3 MWh Savings'!D16</f>
        <v>415.1312111983388</v>
      </c>
      <c r="E34" s="54">
        <f>'Scen 3 Budgets'!E52/'Scen 3 MWh Savings'!E16</f>
        <v>465.17502207704069</v>
      </c>
      <c r="F34" s="54">
        <f>'Scen 3 Budgets'!F52/'Scen 3 MWh Savings'!F16</f>
        <v>486.24120709170506</v>
      </c>
      <c r="G34" s="54">
        <f>'Scen 3 Budgets'!G52/'Scen 3 MWh Savings'!G16</f>
        <v>511.53036931572558</v>
      </c>
      <c r="H34" s="54">
        <f>'Scen 3 Budgets'!H52/'Scen 3 MWh Savings'!H16</f>
        <v>561.28769789817579</v>
      </c>
      <c r="I34" s="54">
        <f>'Scen 3 Budgets'!I52/'Scen 3 MWh Savings'!I16</f>
        <v>574.16834405972361</v>
      </c>
      <c r="J34" s="54">
        <f>'Scen 3 Budgets'!J52/'Scen 3 MWh Savings'!J16</f>
        <v>587.25960608930393</v>
      </c>
      <c r="K34" s="54">
        <f>'Scen 3 Budgets'!K52/'Scen 3 MWh Savings'!K16</f>
        <v>599.30914243040047</v>
      </c>
      <c r="L34" s="54">
        <f>'Scen 3 Budgets'!L52/'Scen 3 MWh Savings'!L16</f>
        <v>611.20544825023637</v>
      </c>
      <c r="M34" s="54">
        <f>'Scen 3 Budgets'!M52/'Scen 3 MWh Savings'!M16</f>
        <v>623.53212320591354</v>
      </c>
      <c r="N34" s="54">
        <f>'Scen 3 Budgets'!N52/'Scen 3 MWh Savings'!N16</f>
        <v>634.57461503674256</v>
      </c>
      <c r="O34" s="54">
        <f>'Scen 3 Budgets'!O52/'Scen 3 MWh Savings'!O16</f>
        <v>647.16072448982709</v>
      </c>
      <c r="P34" s="54">
        <f>'Scen 3 Budgets'!P52/'Scen 3 MWh Savings'!P16</f>
        <v>659.97152135191948</v>
      </c>
      <c r="Q34" s="54">
        <f>'Scen 3 Budgets'!Q52/'Scen 3 MWh Savings'!Q16</f>
        <v>673.39952905173834</v>
      </c>
      <c r="R34" s="54">
        <f>'Scen 3 Budgets'!R52/'Scen 3 MWh Savings'!R16</f>
        <v>686.87101638740182</v>
      </c>
      <c r="S34" s="54">
        <f>'Scen 3 Budgets'!S52/'Scen 3 MWh Savings'!S16</f>
        <v>701.85469425963743</v>
      </c>
      <c r="T34" s="54">
        <f>'Scen 3 Budgets'!T52/'Scen 3 MWh Savings'!T16</f>
        <v>717.69835099526358</v>
      </c>
      <c r="U34" s="54">
        <f>'Scen 3 Budgets'!U52/'Scen 3 MWh Savings'!U16</f>
        <v>734.40060805149676</v>
      </c>
      <c r="V34" s="54">
        <f>'Scen 3 Budgets'!V52/'Scen 3 MWh Savings'!V16</f>
        <v>556.67984990316506</v>
      </c>
    </row>
    <row r="35" spans="1:22">
      <c r="A35" s="2" t="s">
        <v>5</v>
      </c>
      <c r="B35" s="55">
        <f>'Scen 3 Budgets'!B53/'Scen 3 MWh Savings'!B17</f>
        <v>522.36842352620283</v>
      </c>
      <c r="C35" s="55">
        <f>'Scen 3 Budgets'!C53/'Scen 3 MWh Savings'!C17</f>
        <v>550.05663343947583</v>
      </c>
      <c r="D35" s="55">
        <f>'Scen 3 Budgets'!D53/'Scen 3 MWh Savings'!D17</f>
        <v>588.15738597154098</v>
      </c>
      <c r="E35" s="55">
        <f>'Scen 3 Budgets'!E53/'Scen 3 MWh Savings'!E17</f>
        <v>582.98993887571487</v>
      </c>
      <c r="F35" s="55">
        <f>'Scen 3 Budgets'!F53/'Scen 3 MWh Savings'!F17</f>
        <v>636.91959038803714</v>
      </c>
      <c r="G35" s="55">
        <f>'Scen 3 Budgets'!G53/'Scen 3 MWh Savings'!G17</f>
        <v>657.50687747228994</v>
      </c>
      <c r="H35" s="55">
        <f>'Scen 3 Budgets'!H53/'Scen 3 MWh Savings'!H17</f>
        <v>718.14482071847101</v>
      </c>
      <c r="I35" s="55">
        <f>'Scen 3 Budgets'!I53/'Scen 3 MWh Savings'!I17</f>
        <v>730.55626374617191</v>
      </c>
      <c r="J35" s="55">
        <f>'Scen 3 Budgets'!J53/'Scen 3 MWh Savings'!J17</f>
        <v>742.15906385001472</v>
      </c>
      <c r="K35" s="55">
        <f>'Scen 3 Budgets'!K53/'Scen 3 MWh Savings'!K17</f>
        <v>752.42699479090243</v>
      </c>
      <c r="L35" s="55">
        <f>'Scen 3 Budgets'!L53/'Scen 3 MWh Savings'!L17</f>
        <v>762.02301805392005</v>
      </c>
      <c r="M35" s="55">
        <f>'Scen 3 Budgets'!M53/'Scen 3 MWh Savings'!M17</f>
        <v>771.47526959018001</v>
      </c>
      <c r="N35" s="55">
        <f>'Scen 3 Budgets'!N53/'Scen 3 MWh Savings'!N17</f>
        <v>779.20735992348034</v>
      </c>
      <c r="O35" s="55">
        <f>'Scen 3 Budgets'!O53/'Scen 3 MWh Savings'!O17</f>
        <v>787.37893047749037</v>
      </c>
      <c r="P35" s="55">
        <f>'Scen 3 Budgets'!P53/'Scen 3 MWh Savings'!P17</f>
        <v>794.57439664092703</v>
      </c>
      <c r="Q35" s="55">
        <f>'Scen 3 Budgets'!Q53/'Scen 3 MWh Savings'!Q17</f>
        <v>800.81606745737031</v>
      </c>
      <c r="R35" s="55">
        <f>'Scen 3 Budgets'!R53/'Scen 3 MWh Savings'!R17</f>
        <v>805.31110377097343</v>
      </c>
      <c r="S35" s="55">
        <f>'Scen 3 Budgets'!S53/'Scen 3 MWh Savings'!S17</f>
        <v>809.49387178979657</v>
      </c>
      <c r="T35" s="55">
        <f>'Scen 3 Budgets'!T53/'Scen 3 MWh Savings'!T17</f>
        <v>812.54293128753045</v>
      </c>
      <c r="U35" s="55">
        <f>'Scen 3 Budgets'!U53/'Scen 3 MWh Savings'!U17</f>
        <v>814.51278091124607</v>
      </c>
      <c r="V35" s="55">
        <f>'Scen 3 Budgets'!V53/'Scen 3 MWh Savings'!V17</f>
        <v>725.55725171972949</v>
      </c>
    </row>
    <row r="36" spans="1:22">
      <c r="A36" s="8" t="s">
        <v>16</v>
      </c>
      <c r="B36" s="56">
        <f>'Scen 3 Budgets'!B54/'Scen 3 MWh Savings'!B18</f>
        <v>446.13395970502279</v>
      </c>
      <c r="C36" s="56">
        <f>'Scen 3 Budgets'!C54/'Scen 3 MWh Savings'!C18</f>
        <v>470.50237604827532</v>
      </c>
      <c r="D36" s="56">
        <f>'Scen 3 Budgets'!D54/'Scen 3 MWh Savings'!D18</f>
        <v>507.26197450611949</v>
      </c>
      <c r="E36" s="56">
        <f>'Scen 3 Budgets'!E54/'Scen 3 MWh Savings'!E18</f>
        <v>532.45063286874176</v>
      </c>
      <c r="F36" s="56">
        <f>'Scen 3 Budgets'!F54/'Scen 3 MWh Savings'!F18</f>
        <v>575.12310145341121</v>
      </c>
      <c r="G36" s="56">
        <f>'Scen 3 Budgets'!G54/'Scen 3 MWh Savings'!G18</f>
        <v>596.35297046517098</v>
      </c>
      <c r="H36" s="56">
        <f>'Scen 3 Budgets'!H54/'Scen 3 MWh Savings'!H18</f>
        <v>654.24685808802792</v>
      </c>
      <c r="I36" s="56">
        <f>'Scen 3 Budgets'!I54/'Scen 3 MWh Savings'!I18</f>
        <v>668.06637790892262</v>
      </c>
      <c r="J36" s="56">
        <f>'Scen 3 Budgets'!J54/'Scen 3 MWh Savings'!J18</f>
        <v>681.74382103740061</v>
      </c>
      <c r="K36" s="56">
        <f>'Scen 3 Budgets'!K54/'Scen 3 MWh Savings'!K18</f>
        <v>693.21082838032623</v>
      </c>
      <c r="L36" s="56">
        <f>'Scen 3 Budgets'!L54/'Scen 3 MWh Savings'!L18</f>
        <v>703.86470358081726</v>
      </c>
      <c r="M36" s="56">
        <f>'Scen 3 Budgets'!M54/'Scen 3 MWh Savings'!M18</f>
        <v>714.46431756034622</v>
      </c>
      <c r="N36" s="56">
        <f>'Scen 3 Budgets'!N54/'Scen 3 MWh Savings'!N18</f>
        <v>722.43950026817754</v>
      </c>
      <c r="O36" s="56">
        <f>'Scen 3 Budgets'!O54/'Scen 3 MWh Savings'!O18</f>
        <v>732.07541074571827</v>
      </c>
      <c r="P36" s="56">
        <f>'Scen 3 Budgets'!P54/'Scen 3 MWh Savings'!P18</f>
        <v>740.89473087523743</v>
      </c>
      <c r="Q36" s="56">
        <f>'Scen 3 Budgets'!Q54/'Scen 3 MWh Savings'!Q18</f>
        <v>749.28911056137486</v>
      </c>
      <c r="R36" s="56">
        <f>'Scen 3 Budgets'!R54/'Scen 3 MWh Savings'!R18</f>
        <v>756.55177423664486</v>
      </c>
      <c r="S36" s="56">
        <f>'Scen 3 Budgets'!S54/'Scen 3 MWh Savings'!S18</f>
        <v>764.2919653779478</v>
      </c>
      <c r="T36" s="56">
        <f>'Scen 3 Budgets'!T54/'Scen 3 MWh Savings'!T18</f>
        <v>771.34877370246488</v>
      </c>
      <c r="U36" s="56">
        <f>'Scen 3 Budgets'!U54/'Scen 3 MWh Savings'!U18</f>
        <v>777.6920062531716</v>
      </c>
      <c r="V36" s="56">
        <f>'Scen 3 Budgets'!V54/'Scen 3 MWh Savings'!V18</f>
        <v>658.86944684802745</v>
      </c>
    </row>
    <row r="37" spans="1:22">
      <c r="A37" s="8"/>
    </row>
    <row r="38" spans="1:22">
      <c r="A38" s="3" t="s">
        <v>4</v>
      </c>
      <c r="B38" s="56">
        <f>'Scen 3 Budgets'!B56/'Scen 3 MWh Savings'!B20</f>
        <v>419.05695896167089</v>
      </c>
      <c r="C38" s="56">
        <f>'Scen 3 Budgets'!C56/'Scen 3 MWh Savings'!C20</f>
        <v>437.17055719140285</v>
      </c>
      <c r="D38" s="56">
        <f>'Scen 3 Budgets'!D56/'Scen 3 MWh Savings'!D20</f>
        <v>463.97657194728208</v>
      </c>
      <c r="E38" s="56">
        <f>'Scen 3 Budgets'!E56/'Scen 3 MWh Savings'!E20</f>
        <v>503.51414476573672</v>
      </c>
      <c r="F38" s="56">
        <f>'Scen 3 Budgets'!F56/'Scen 3 MWh Savings'!F20</f>
        <v>520.84000620827715</v>
      </c>
      <c r="G38" s="56">
        <f>'Scen 3 Budgets'!G56/'Scen 3 MWh Savings'!G20</f>
        <v>599.04921419911386</v>
      </c>
      <c r="H38" s="56">
        <f>'Scen 3 Budgets'!H56/'Scen 3 MWh Savings'!H20</f>
        <v>672.4495893193382</v>
      </c>
      <c r="I38" s="56">
        <f>'Scen 3 Budgets'!I56/'Scen 3 MWh Savings'!I20</f>
        <v>688.61982971193436</v>
      </c>
      <c r="J38" s="56">
        <f>'Scen 3 Budgets'!J56/'Scen 3 MWh Savings'!J20</f>
        <v>682.12727006338332</v>
      </c>
      <c r="K38" s="56">
        <f>'Scen 3 Budgets'!K56/'Scen 3 MWh Savings'!K20</f>
        <v>683.11768707095257</v>
      </c>
      <c r="L38" s="56">
        <f>'Scen 3 Budgets'!L56/'Scen 3 MWh Savings'!L20</f>
        <v>682.25550014648923</v>
      </c>
      <c r="M38" s="56">
        <f>'Scen 3 Budgets'!M56/'Scen 3 MWh Savings'!M20</f>
        <v>684.69805120590047</v>
      </c>
      <c r="N38" s="56">
        <f>'Scen 3 Budgets'!N56/'Scen 3 MWh Savings'!N20</f>
        <v>687.60156184785126</v>
      </c>
      <c r="O38" s="56">
        <f>'Scen 3 Budgets'!O56/'Scen 3 MWh Savings'!O20</f>
        <v>694.95194518521214</v>
      </c>
      <c r="P38" s="56">
        <f>'Scen 3 Budgets'!P56/'Scen 3 MWh Savings'!P20</f>
        <v>698.1210450081503</v>
      </c>
      <c r="Q38" s="56">
        <f>'Scen 3 Budgets'!Q56/'Scen 3 MWh Savings'!Q20</f>
        <v>702.69667876661367</v>
      </c>
      <c r="R38" s="56">
        <f>'Scen 3 Budgets'!R56/'Scen 3 MWh Savings'!R20</f>
        <v>704.90347959140911</v>
      </c>
      <c r="S38" s="56">
        <f>'Scen 3 Budgets'!S56/'Scen 3 MWh Savings'!S20</f>
        <v>708.39438710120567</v>
      </c>
      <c r="T38" s="56">
        <f>'Scen 3 Budgets'!T56/'Scen 3 MWh Savings'!T20</f>
        <v>712.98737758602772</v>
      </c>
      <c r="U38" s="56">
        <f>'Scen 3 Budgets'!U56/'Scen 3 MWh Savings'!U20</f>
        <v>715.19120775592717</v>
      </c>
      <c r="V38" s="56">
        <f>'Scen 3 Budgets'!V56/'Scen 3 MWh Savings'!V20</f>
        <v>628.61945708609903</v>
      </c>
    </row>
    <row r="39" spans="1:22">
      <c r="A39" s="1"/>
    </row>
    <row r="40" spans="1:22">
      <c r="A40" s="62" t="s">
        <v>29</v>
      </c>
      <c r="B40" s="6">
        <v>2015</v>
      </c>
      <c r="C40" s="6">
        <f>B40+1</f>
        <v>2016</v>
      </c>
      <c r="D40" s="6">
        <f t="shared" ref="D40:U40" si="2">C40+1</f>
        <v>2017</v>
      </c>
      <c r="E40" s="6">
        <f t="shared" si="2"/>
        <v>2018</v>
      </c>
      <c r="F40" s="6">
        <f t="shared" si="2"/>
        <v>2019</v>
      </c>
      <c r="G40" s="6">
        <f t="shared" si="2"/>
        <v>2020</v>
      </c>
      <c r="H40" s="6">
        <f t="shared" si="2"/>
        <v>2021</v>
      </c>
      <c r="I40" s="6">
        <f t="shared" si="2"/>
        <v>2022</v>
      </c>
      <c r="J40" s="6">
        <f t="shared" si="2"/>
        <v>2023</v>
      </c>
      <c r="K40" s="6">
        <f t="shared" si="2"/>
        <v>2024</v>
      </c>
      <c r="L40" s="6">
        <f t="shared" si="2"/>
        <v>2025</v>
      </c>
      <c r="M40" s="6">
        <f t="shared" si="2"/>
        <v>2026</v>
      </c>
      <c r="N40" s="6">
        <f t="shared" si="2"/>
        <v>2027</v>
      </c>
      <c r="O40" s="6">
        <f t="shared" si="2"/>
        <v>2028</v>
      </c>
      <c r="P40" s="6">
        <f t="shared" si="2"/>
        <v>2029</v>
      </c>
      <c r="Q40" s="6">
        <f t="shared" si="2"/>
        <v>2030</v>
      </c>
      <c r="R40" s="6">
        <f t="shared" si="2"/>
        <v>2031</v>
      </c>
      <c r="S40" s="6">
        <f t="shared" si="2"/>
        <v>2032</v>
      </c>
      <c r="T40" s="6">
        <f t="shared" si="2"/>
        <v>2033</v>
      </c>
      <c r="U40" s="6">
        <f t="shared" si="2"/>
        <v>2034</v>
      </c>
      <c r="V40" s="6" t="s">
        <v>14</v>
      </c>
    </row>
    <row r="41" spans="1:22">
      <c r="A41" s="50" t="s">
        <v>2</v>
      </c>
    </row>
    <row r="42" spans="1:22">
      <c r="A42" s="9" t="s">
        <v>8</v>
      </c>
      <c r="B42" s="59">
        <f>'Scen 3 MWh Savings'!B6/('Scen 3 Summer &amp; Winter MW'!B6*1000)</f>
        <v>7.9431383982287125</v>
      </c>
      <c r="C42" s="59">
        <f>'Scen 3 MWh Savings'!C6/('Scen 3 Summer &amp; Winter MW'!C6*1000)</f>
        <v>7.9130447829010864</v>
      </c>
      <c r="D42" s="59">
        <f>'Scen 3 MWh Savings'!D6/('Scen 3 Summer &amp; Winter MW'!D6*1000)</f>
        <v>7.9999879497913797</v>
      </c>
      <c r="E42" s="59">
        <f>'Scen 3 MWh Savings'!E6/('Scen 3 Summer &amp; Winter MW'!E6*1000)</f>
        <v>7.8932143850764334</v>
      </c>
      <c r="F42" s="59">
        <f>'Scen 3 MWh Savings'!F6/('Scen 3 Summer &amp; Winter MW'!F6*1000)</f>
        <v>7.8923866159189204</v>
      </c>
      <c r="G42" s="59">
        <f>'Scen 3 MWh Savings'!G6/('Scen 3 Summer &amp; Winter MW'!G6*1000)</f>
        <v>7.7232597525274684</v>
      </c>
      <c r="H42" s="59">
        <f>'Scen 3 MWh Savings'!H6/('Scen 3 Summer &amp; Winter MW'!H6*1000)</f>
        <v>7.9647238147590151</v>
      </c>
      <c r="I42" s="59">
        <f>'Scen 3 MWh Savings'!I6/('Scen 3 Summer &amp; Winter MW'!I6*1000)</f>
        <v>7.9673405771391694</v>
      </c>
      <c r="J42" s="59">
        <f>'Scen 3 MWh Savings'!J6/('Scen 3 Summer &amp; Winter MW'!J6*1000)</f>
        <v>7.9973059538433668</v>
      </c>
      <c r="K42" s="59">
        <f>'Scen 3 MWh Savings'!K6/('Scen 3 Summer &amp; Winter MW'!K6*1000)</f>
        <v>8.2409146053433986</v>
      </c>
      <c r="L42" s="59">
        <f>'Scen 3 MWh Savings'!L6/('Scen 3 Summer &amp; Winter MW'!L6*1000)</f>
        <v>8.2413217792229965</v>
      </c>
      <c r="M42" s="59">
        <f>'Scen 3 MWh Savings'!M6/('Scen 3 Summer &amp; Winter MW'!M6*1000)</f>
        <v>8.2417245340727856</v>
      </c>
      <c r="N42" s="59">
        <f>'Scen 3 MWh Savings'!N6/('Scen 3 Summer &amp; Winter MW'!N6*1000)</f>
        <v>8.4750636368044372</v>
      </c>
      <c r="O42" s="59">
        <f>'Scen 3 MWh Savings'!O6/('Scen 3 Summer &amp; Winter MW'!O6*1000)</f>
        <v>8.4849803172062686</v>
      </c>
      <c r="P42" s="59">
        <f>'Scen 3 MWh Savings'!P6/('Scen 3 Summer &amp; Winter MW'!P6*1000)</f>
        <v>8.485476748340476</v>
      </c>
      <c r="Q42" s="59">
        <f>'Scen 3 MWh Savings'!Q6/('Scen 3 Summer &amp; Winter MW'!Q6*1000)</f>
        <v>9.0291811745436146</v>
      </c>
      <c r="R42" s="59">
        <f>'Scen 3 MWh Savings'!R6/('Scen 3 Summer &amp; Winter MW'!R6*1000)</f>
        <v>9.0299827745087438</v>
      </c>
      <c r="S42" s="59">
        <f>'Scen 3 MWh Savings'!S6/('Scen 3 Summer &amp; Winter MW'!S6*1000)</f>
        <v>9.030778428114969</v>
      </c>
      <c r="T42" s="59">
        <f>'Scen 3 MWh Savings'!T6/('Scen 3 Summer &amp; Winter MW'!T6*1000)</f>
        <v>9.6256008383160552</v>
      </c>
      <c r="U42" s="59">
        <f>'Scen 3 MWh Savings'!U6/('Scen 3 Summer &amp; Winter MW'!U6*1000)</f>
        <v>9.6266845411611346</v>
      </c>
      <c r="V42" s="59">
        <f>'Scen 3 MWh Savings'!V6/('Scen 3 Summer &amp; Winter MW'!V6*1000)</f>
        <v>8.4047522349735306</v>
      </c>
    </row>
    <row r="43" spans="1:22">
      <c r="A43" s="10" t="s">
        <v>9</v>
      </c>
      <c r="B43" s="59">
        <f>'Scen 3 MWh Savings'!B7/('Scen 3 Summer &amp; Winter MW'!B7*1000)</f>
        <v>10.55044992917351</v>
      </c>
      <c r="C43" s="59">
        <f>'Scen 3 MWh Savings'!C7/('Scen 3 Summer &amp; Winter MW'!C7*1000)</f>
        <v>10.841477463394757</v>
      </c>
      <c r="D43" s="59">
        <f>'Scen 3 MWh Savings'!D7/('Scen 3 Summer &amp; Winter MW'!D7*1000)</f>
        <v>11.377476147497982</v>
      </c>
      <c r="E43" s="59">
        <f>'Scen 3 MWh Savings'!E7/('Scen 3 Summer &amp; Winter MW'!E7*1000)</f>
        <v>8.6893854763625349</v>
      </c>
      <c r="F43" s="59">
        <f>'Scen 3 MWh Savings'!F7/('Scen 3 Summer &amp; Winter MW'!F7*1000)</f>
        <v>8.5129140769425415</v>
      </c>
      <c r="G43" s="59">
        <f>'Scen 3 MWh Savings'!G7/('Scen 3 Summer &amp; Winter MW'!G7*1000)</f>
        <v>10.261545057219166</v>
      </c>
      <c r="H43" s="59">
        <f>'Scen 3 MWh Savings'!H7/('Scen 3 Summer &amp; Winter MW'!H7*1000)</f>
        <v>8.8073682440102541</v>
      </c>
      <c r="I43" s="59">
        <f>'Scen 3 MWh Savings'!I7/('Scen 3 Summer &amp; Winter MW'!I7*1000)</f>
        <v>8.7804222662671254</v>
      </c>
      <c r="J43" s="59">
        <f>'Scen 3 MWh Savings'!J7/('Scen 3 Summer &amp; Winter MW'!J7*1000)</f>
        <v>8.9608477604547527</v>
      </c>
      <c r="K43" s="59">
        <f>'Scen 3 MWh Savings'!K7/('Scen 3 Summer &amp; Winter MW'!K7*1000)</f>
        <v>9.4028668175960775</v>
      </c>
      <c r="L43" s="59">
        <f>'Scen 3 MWh Savings'!L7/('Scen 3 Summer &amp; Winter MW'!L7*1000)</f>
        <v>9.5593251883010169</v>
      </c>
      <c r="M43" s="59">
        <f>'Scen 3 MWh Savings'!M7/('Scen 3 Summer &amp; Winter MW'!M7*1000)</f>
        <v>9.5862523951212069</v>
      </c>
      <c r="N43" s="59">
        <f>'Scen 3 MWh Savings'!N7/('Scen 3 Summer &amp; Winter MW'!N7*1000)</f>
        <v>9.5206772994111049</v>
      </c>
      <c r="O43" s="59">
        <f>'Scen 3 MWh Savings'!O7/('Scen 3 Summer &amp; Winter MW'!O7*1000)</f>
        <v>9.6407774558748685</v>
      </c>
      <c r="P43" s="59">
        <f>'Scen 3 MWh Savings'!P7/('Scen 3 Summer &amp; Winter MW'!P7*1000)</f>
        <v>9.5522329763726166</v>
      </c>
      <c r="Q43" s="59">
        <f>'Scen 3 MWh Savings'!Q7/('Scen 3 Summer &amp; Winter MW'!Q7*1000)</f>
        <v>9.6261641973174648</v>
      </c>
      <c r="R43" s="59">
        <f>'Scen 3 MWh Savings'!R7/('Scen 3 Summer &amp; Winter MW'!R7*1000)</f>
        <v>9.7063144299243227</v>
      </c>
      <c r="S43" s="59">
        <f>'Scen 3 MWh Savings'!S7/('Scen 3 Summer &amp; Winter MW'!S7*1000)</f>
        <v>9.7057319689773038</v>
      </c>
      <c r="T43" s="59">
        <f>'Scen 3 MWh Savings'!T7/('Scen 3 Summer &amp; Winter MW'!T7*1000)</f>
        <v>9.7096082880836541</v>
      </c>
      <c r="U43" s="59">
        <f>'Scen 3 MWh Savings'!U7/('Scen 3 Summer &amp; Winter MW'!U7*1000)</f>
        <v>9.6617379342371983</v>
      </c>
      <c r="V43" s="59">
        <f>'Scen 3 MWh Savings'!V7/('Scen 3 Summer &amp; Winter MW'!V7*1000)</f>
        <v>9.6044995545759093</v>
      </c>
    </row>
    <row r="44" spans="1:22">
      <c r="A44" s="10" t="s">
        <v>10</v>
      </c>
      <c r="B44" s="59">
        <f>'Scen 3 MWh Savings'!B8/('Scen 3 Summer &amp; Winter MW'!B8*1000)</f>
        <v>8.8849977746281485</v>
      </c>
      <c r="C44" s="59">
        <f>'Scen 3 MWh Savings'!C8/('Scen 3 Summer &amp; Winter MW'!C8*1000)</f>
        <v>8.7798666352546597</v>
      </c>
      <c r="D44" s="59">
        <f>'Scen 3 MWh Savings'!D8/('Scen 3 Summer &amp; Winter MW'!D8*1000)</f>
        <v>8.6959277755888138</v>
      </c>
      <c r="E44" s="59">
        <f>'Scen 3 MWh Savings'!E8/('Scen 3 Summer &amp; Winter MW'!E8*1000)</f>
        <v>8.3435686453871334</v>
      </c>
      <c r="F44" s="59">
        <f>'Scen 3 MWh Savings'!F8/('Scen 3 Summer &amp; Winter MW'!F8*1000)</f>
        <v>8.06069628474844</v>
      </c>
      <c r="G44" s="59">
        <f>'Scen 3 MWh Savings'!G8/('Scen 3 Summer &amp; Winter MW'!G8*1000)</f>
        <v>7.7280261125809142</v>
      </c>
      <c r="H44" s="59">
        <f>'Scen 3 MWh Savings'!H8/('Scen 3 Summer &amp; Winter MW'!H8*1000)</f>
        <v>7.1366604469092669</v>
      </c>
      <c r="I44" s="59">
        <f>'Scen 3 MWh Savings'!I8/('Scen 3 Summer &amp; Winter MW'!I8*1000)</f>
        <v>6.8667109642203252</v>
      </c>
      <c r="J44" s="59">
        <f>'Scen 3 MWh Savings'!J8/('Scen 3 Summer &amp; Winter MW'!J8*1000)</f>
        <v>6.7908022711903566</v>
      </c>
      <c r="K44" s="59">
        <f>'Scen 3 MWh Savings'!K8/('Scen 3 Summer &amp; Winter MW'!K8*1000)</f>
        <v>6.6048078706151001</v>
      </c>
      <c r="L44" s="59">
        <f>'Scen 3 MWh Savings'!L8/('Scen 3 Summer &amp; Winter MW'!L8*1000)</f>
        <v>6.6802864747833928</v>
      </c>
      <c r="M44" s="59">
        <f>'Scen 3 MWh Savings'!M8/('Scen 3 Summer &amp; Winter MW'!M8*1000)</f>
        <v>6.4345953573194397</v>
      </c>
      <c r="N44" s="59">
        <f>'Scen 3 MWh Savings'!N8/('Scen 3 Summer &amp; Winter MW'!N8*1000)</f>
        <v>6.3034726627512745</v>
      </c>
      <c r="O44" s="59">
        <f>'Scen 3 MWh Savings'!O8/('Scen 3 Summer &amp; Winter MW'!O8*1000)</f>
        <v>6.1075500930016844</v>
      </c>
      <c r="P44" s="59">
        <f>'Scen 3 MWh Savings'!P8/('Scen 3 Summer &amp; Winter MW'!P8*1000)</f>
        <v>6.2043146033756091</v>
      </c>
      <c r="Q44" s="59">
        <f>'Scen 3 MWh Savings'!Q8/('Scen 3 Summer &amp; Winter MW'!Q8*1000)</f>
        <v>6.1606164294684174</v>
      </c>
      <c r="R44" s="59">
        <f>'Scen 3 MWh Savings'!R8/('Scen 3 Summer &amp; Winter MW'!R8*1000)</f>
        <v>6.0832866312536789</v>
      </c>
      <c r="S44" s="59">
        <f>'Scen 3 MWh Savings'!S8/('Scen 3 Summer &amp; Winter MW'!S8*1000)</f>
        <v>6.1048414329785317</v>
      </c>
      <c r="T44" s="59">
        <f>'Scen 3 MWh Savings'!T8/('Scen 3 Summer &amp; Winter MW'!T8*1000)</f>
        <v>6.1057180155303143</v>
      </c>
      <c r="U44" s="59">
        <f>'Scen 3 MWh Savings'!U8/('Scen 3 Summer &amp; Winter MW'!U8*1000)</f>
        <v>6.0621321770559975</v>
      </c>
      <c r="V44" s="59">
        <f>'Scen 3 MWh Savings'!V8/('Scen 3 Summer &amp; Winter MW'!V8*1000)</f>
        <v>6.7261258333862806</v>
      </c>
    </row>
    <row r="45" spans="1:22">
      <c r="A45" s="10" t="s">
        <v>11</v>
      </c>
      <c r="B45" s="59">
        <f>'Scen 3 MWh Savings'!B9/('Scen 3 Summer &amp; Winter MW'!B9*1000)</f>
        <v>9.3157885321202372</v>
      </c>
      <c r="C45" s="59">
        <f>'Scen 3 MWh Savings'!C9/('Scen 3 Summer &amp; Winter MW'!C9*1000)</f>
        <v>9.3201001400584857</v>
      </c>
      <c r="D45" s="59">
        <f>'Scen 3 MWh Savings'!D9/('Scen 3 Summer &amp; Winter MW'!D9*1000)</f>
        <v>9.3917995984050613</v>
      </c>
      <c r="E45" s="59">
        <f>'Scen 3 MWh Savings'!E9/('Scen 3 Summer &amp; Winter MW'!E9*1000)</f>
        <v>9.6694087916603273</v>
      </c>
      <c r="F45" s="59">
        <f>'Scen 3 MWh Savings'!F9/('Scen 3 Summer &amp; Winter MW'!F9*1000)</f>
        <v>9.7920769711709159</v>
      </c>
      <c r="G45" s="59">
        <f>'Scen 3 MWh Savings'!G9/('Scen 3 Summer &amp; Winter MW'!G9*1000)</f>
        <v>9.9759986065174786</v>
      </c>
      <c r="H45" s="59">
        <f>'Scen 3 MWh Savings'!H9/('Scen 3 Summer &amp; Winter MW'!H9*1000)</f>
        <v>9.7927775334029707</v>
      </c>
      <c r="I45" s="59">
        <f>'Scen 3 MWh Savings'!I9/('Scen 3 Summer &amp; Winter MW'!I9*1000)</f>
        <v>9.8943178600849269</v>
      </c>
      <c r="J45" s="59">
        <f>'Scen 3 MWh Savings'!J9/('Scen 3 Summer &amp; Winter MW'!J9*1000)</f>
        <v>9.8424999085455269</v>
      </c>
      <c r="K45" s="59">
        <f>'Scen 3 MWh Savings'!K9/('Scen 3 Summer &amp; Winter MW'!K9*1000)</f>
        <v>9.8235894439728639</v>
      </c>
      <c r="L45" s="59">
        <f>'Scen 3 MWh Savings'!L9/('Scen 3 Summer &amp; Winter MW'!L9*1000)</f>
        <v>9.8216108970375497</v>
      </c>
      <c r="M45" s="59">
        <f>'Scen 3 MWh Savings'!M9/('Scen 3 Summer &amp; Winter MW'!M9*1000)</f>
        <v>9.8080772353310159</v>
      </c>
      <c r="N45" s="59">
        <f>'Scen 3 MWh Savings'!N9/('Scen 3 Summer &amp; Winter MW'!N9*1000)</f>
        <v>9.8742501186308456</v>
      </c>
      <c r="O45" s="59">
        <f>'Scen 3 MWh Savings'!O9/('Scen 3 Summer &amp; Winter MW'!O9*1000)</f>
        <v>9.9184152281542897</v>
      </c>
      <c r="P45" s="59">
        <f>'Scen 3 MWh Savings'!P9/('Scen 3 Summer &amp; Winter MW'!P9*1000)</f>
        <v>9.9424875689073051</v>
      </c>
      <c r="Q45" s="59">
        <f>'Scen 3 MWh Savings'!Q9/('Scen 3 Summer &amp; Winter MW'!Q9*1000)</f>
        <v>9.9209530608210148</v>
      </c>
      <c r="R45" s="59">
        <f>'Scen 3 MWh Savings'!R9/('Scen 3 Summer &amp; Winter MW'!R9*1000)</f>
        <v>9.9388627418167577</v>
      </c>
      <c r="S45" s="59">
        <f>'Scen 3 MWh Savings'!S9/('Scen 3 Summer &amp; Winter MW'!S9*1000)</f>
        <v>9.9524648649772054</v>
      </c>
      <c r="T45" s="59">
        <f>'Scen 3 MWh Savings'!T9/('Scen 3 Summer &amp; Winter MW'!T9*1000)</f>
        <v>10.013538439610675</v>
      </c>
      <c r="U45" s="59">
        <f>'Scen 3 MWh Savings'!U9/('Scen 3 Summer &amp; Winter MW'!U9*1000)</f>
        <v>10.02857024461413</v>
      </c>
      <c r="V45" s="59">
        <f>'Scen 3 MWh Savings'!V9/('Scen 3 Summer &amp; Winter MW'!V9*1000)</f>
        <v>9.8194371191254621</v>
      </c>
    </row>
    <row r="46" spans="1:22">
      <c r="A46" s="2" t="s">
        <v>12</v>
      </c>
      <c r="B46" s="59">
        <f>'Scen 3 MWh Savings'!B10/('Scen 3 Summer &amp; Winter MW'!B10*1000)</f>
        <v>8.7437040275347648</v>
      </c>
      <c r="C46" s="59">
        <f>'Scen 3 MWh Savings'!C10/('Scen 3 Summer &amp; Winter MW'!C10*1000)</f>
        <v>8.7514174180268274</v>
      </c>
      <c r="D46" s="59">
        <f>'Scen 3 MWh Savings'!D10/('Scen 3 Summer &amp; Winter MW'!D10*1000)</f>
        <v>8.9235393800816851</v>
      </c>
      <c r="E46" s="59">
        <f>'Scen 3 MWh Savings'!E10/('Scen 3 Summer &amp; Winter MW'!E10*1000)</f>
        <v>8.9962620362960877</v>
      </c>
      <c r="F46" s="59">
        <f>'Scen 3 MWh Savings'!F10/('Scen 3 Summer &amp; Winter MW'!F10*1000)</f>
        <v>9.1006112066128662</v>
      </c>
      <c r="G46" s="59">
        <f>'Scen 3 MWh Savings'!G10/('Scen 3 Summer &amp; Winter MW'!G10*1000)</f>
        <v>9.0396456507924494</v>
      </c>
      <c r="H46" s="59">
        <f>'Scen 3 MWh Savings'!H10/('Scen 3 Summer &amp; Winter MW'!H10*1000)</f>
        <v>9.0313846126033894</v>
      </c>
      <c r="I46" s="59">
        <f>'Scen 3 MWh Savings'!I10/('Scen 3 Summer &amp; Winter MW'!I10*1000)</f>
        <v>9.0543523777467314</v>
      </c>
      <c r="J46" s="59">
        <f>'Scen 3 MWh Savings'!J10/('Scen 3 Summer &amp; Winter MW'!J10*1000)</f>
        <v>9.0112867702339923</v>
      </c>
      <c r="K46" s="59">
        <f>'Scen 3 MWh Savings'!K10/('Scen 3 Summer &amp; Winter MW'!K10*1000)</f>
        <v>8.9854496586515449</v>
      </c>
      <c r="L46" s="59">
        <f>'Scen 3 MWh Savings'!L10/('Scen 3 Summer &amp; Winter MW'!L10*1000)</f>
        <v>8.9997751666771943</v>
      </c>
      <c r="M46" s="59">
        <f>'Scen 3 MWh Savings'!M10/('Scen 3 Summer &amp; Winter MW'!M10*1000)</f>
        <v>9.0777380039255018</v>
      </c>
      <c r="N46" s="59">
        <f>'Scen 3 MWh Savings'!N10/('Scen 3 Summer &amp; Winter MW'!N10*1000)</f>
        <v>9.0818329751129543</v>
      </c>
      <c r="O46" s="59">
        <f>'Scen 3 MWh Savings'!O10/('Scen 3 Summer &amp; Winter MW'!O10*1000)</f>
        <v>9.1454664521010667</v>
      </c>
      <c r="P46" s="59">
        <f>'Scen 3 MWh Savings'!P10/('Scen 3 Summer &amp; Winter MW'!P10*1000)</f>
        <v>9.1480654260646119</v>
      </c>
      <c r="Q46" s="59">
        <f>'Scen 3 MWh Savings'!Q10/('Scen 3 Summer &amp; Winter MW'!Q10*1000)</f>
        <v>9.1535484596034387</v>
      </c>
      <c r="R46" s="59">
        <f>'Scen 3 MWh Savings'!R10/('Scen 3 Summer &amp; Winter MW'!R10*1000)</f>
        <v>9.169006665693356</v>
      </c>
      <c r="S46" s="59">
        <f>'Scen 3 MWh Savings'!S10/('Scen 3 Summer &amp; Winter MW'!S10*1000)</f>
        <v>9.1772340130370491</v>
      </c>
      <c r="T46" s="59">
        <f>'Scen 3 MWh Savings'!T10/('Scen 3 Summer &amp; Winter MW'!T10*1000)</f>
        <v>9.2304381032474705</v>
      </c>
      <c r="U46" s="59">
        <f>'Scen 3 MWh Savings'!U10/('Scen 3 Summer &amp; Winter MW'!U10*1000)</f>
        <v>9.2436004556928424</v>
      </c>
      <c r="V46" s="59">
        <f>'Scen 3 MWh Savings'!V10/('Scen 3 Summer &amp; Winter MW'!V10*1000)</f>
        <v>9.0557203608956609</v>
      </c>
    </row>
    <row r="47" spans="1:22">
      <c r="A47" s="2" t="s">
        <v>13</v>
      </c>
      <c r="B47" s="61">
        <f>'Scen 3 MWh Savings'!B11/('Scen 3 Summer &amp; Winter MW'!B11*1000)</f>
        <v>7.4598844306592422</v>
      </c>
      <c r="C47" s="61">
        <f>'Scen 3 MWh Savings'!C11/('Scen 3 Summer &amp; Winter MW'!C11*1000)</f>
        <v>7.3876147127373315</v>
      </c>
      <c r="D47" s="61">
        <f>'Scen 3 MWh Savings'!D11/('Scen 3 Summer &amp; Winter MW'!D11*1000)</f>
        <v>7.3619485982762338</v>
      </c>
      <c r="E47" s="61">
        <f>'Scen 3 MWh Savings'!E11/('Scen 3 Summer &amp; Winter MW'!E11*1000)</f>
        <v>7.3154731097350458</v>
      </c>
      <c r="F47" s="61">
        <f>'Scen 3 MWh Savings'!F11/('Scen 3 Summer &amp; Winter MW'!F11*1000)</f>
        <v>7.2973630770070148</v>
      </c>
      <c r="G47" s="61">
        <f>'Scen 3 MWh Savings'!G11/('Scen 3 Summer &amp; Winter MW'!G11*1000)</f>
        <v>7.4864527719651903</v>
      </c>
      <c r="H47" s="61">
        <f>'Scen 3 MWh Savings'!H11/('Scen 3 Summer &amp; Winter MW'!H11*1000)</f>
        <v>7.6130134589014071</v>
      </c>
      <c r="I47" s="61">
        <f>'Scen 3 MWh Savings'!I11/('Scen 3 Summer &amp; Winter MW'!I11*1000)</f>
        <v>7.6019106522461932</v>
      </c>
      <c r="J47" s="61">
        <f>'Scen 3 MWh Savings'!J11/('Scen 3 Summer &amp; Winter MW'!J11*1000)</f>
        <v>7.4348018622735852</v>
      </c>
      <c r="K47" s="61">
        <f>'Scen 3 MWh Savings'!K11/('Scen 3 Summer &amp; Winter MW'!K11*1000)</f>
        <v>7.3878957026959347</v>
      </c>
      <c r="L47" s="61">
        <f>'Scen 3 MWh Savings'!L11/('Scen 3 Summer &amp; Winter MW'!L11*1000)</f>
        <v>7.3923414592232968</v>
      </c>
      <c r="M47" s="61">
        <f>'Scen 3 MWh Savings'!M11/('Scen 3 Summer &amp; Winter MW'!M11*1000)</f>
        <v>7.3579328912927515</v>
      </c>
      <c r="N47" s="61">
        <f>'Scen 3 MWh Savings'!N11/('Scen 3 Summer &amp; Winter MW'!N11*1000)</f>
        <v>7.3727736412718494</v>
      </c>
      <c r="O47" s="61">
        <f>'Scen 3 MWh Savings'!O11/('Scen 3 Summer &amp; Winter MW'!O11*1000)</f>
        <v>7.3509421732219851</v>
      </c>
      <c r="P47" s="61">
        <f>'Scen 3 MWh Savings'!P11/('Scen 3 Summer &amp; Winter MW'!P11*1000)</f>
        <v>7.3774795242564393</v>
      </c>
      <c r="Q47" s="61">
        <f>'Scen 3 MWh Savings'!Q11/('Scen 3 Summer &amp; Winter MW'!Q11*1000)</f>
        <v>7.4243195306241834</v>
      </c>
      <c r="R47" s="61">
        <f>'Scen 3 MWh Savings'!R11/('Scen 3 Summer &amp; Winter MW'!R11*1000)</f>
        <v>7.4751907552272963</v>
      </c>
      <c r="S47" s="61">
        <f>'Scen 3 MWh Savings'!S11/('Scen 3 Summer &amp; Winter MW'!S11*1000)</f>
        <v>7.4917847225988092</v>
      </c>
      <c r="T47" s="61">
        <f>'Scen 3 MWh Savings'!T11/('Scen 3 Summer &amp; Winter MW'!T11*1000)</f>
        <v>7.5167018813536925</v>
      </c>
      <c r="U47" s="61">
        <f>'Scen 3 MWh Savings'!U11/('Scen 3 Summer &amp; Winter MW'!U11*1000)</f>
        <v>7.556840375350391</v>
      </c>
      <c r="V47" s="61">
        <f>'Scen 3 MWh Savings'!V11/('Scen 3 Summer &amp; Winter MW'!V11*1000)</f>
        <v>7.435736411409879</v>
      </c>
    </row>
    <row r="48" spans="1:22">
      <c r="A48" s="8" t="s">
        <v>15</v>
      </c>
      <c r="B48" s="60">
        <f>'Scen 3 MWh Savings'!B12/('Scen 3 Summer &amp; Winter MW'!B12*1000)</f>
        <v>9.7731279400359519</v>
      </c>
      <c r="C48" s="60">
        <f>'Scen 3 MWh Savings'!C12/('Scen 3 Summer &amp; Winter MW'!C12*1000)</f>
        <v>9.916061038723301</v>
      </c>
      <c r="D48" s="60">
        <f>'Scen 3 MWh Savings'!D12/('Scen 3 Summer &amp; Winter MW'!D12*1000)</f>
        <v>10.175065459327277</v>
      </c>
      <c r="E48" s="60">
        <f>'Scen 3 MWh Savings'!E12/('Scen 3 Summer &amp; Winter MW'!E12*1000)</f>
        <v>8.6702536347752108</v>
      </c>
      <c r="F48" s="60">
        <f>'Scen 3 MWh Savings'!F12/('Scen 3 Summer &amp; Winter MW'!F12*1000)</f>
        <v>8.5282223888901516</v>
      </c>
      <c r="G48" s="60">
        <f>'Scen 3 MWh Savings'!G12/('Scen 3 Summer &amp; Winter MW'!G12*1000)</f>
        <v>9.1609723134957228</v>
      </c>
      <c r="H48" s="60">
        <f>'Scen 3 MWh Savings'!H12/('Scen 3 Summer &amp; Winter MW'!H12*1000)</f>
        <v>8.219445447728944</v>
      </c>
      <c r="I48" s="60">
        <f>'Scen 3 MWh Savings'!I12/('Scen 3 Summer &amp; Winter MW'!I12*1000)</f>
        <v>8.0115300707370292</v>
      </c>
      <c r="J48" s="60">
        <f>'Scen 3 MWh Savings'!J12/('Scen 3 Summer &amp; Winter MW'!J12*1000)</f>
        <v>7.9540172944711207</v>
      </c>
      <c r="K48" s="60">
        <f>'Scen 3 MWh Savings'!K12/('Scen 3 Summer &amp; Winter MW'!K12*1000)</f>
        <v>7.9645691825971676</v>
      </c>
      <c r="L48" s="60">
        <f>'Scen 3 MWh Savings'!L12/('Scen 3 Summer &amp; Winter MW'!L12*1000)</f>
        <v>8.0356306543247165</v>
      </c>
      <c r="M48" s="60">
        <f>'Scen 3 MWh Savings'!M12/('Scen 3 Summer &amp; Winter MW'!M12*1000)</f>
        <v>7.8783242001867908</v>
      </c>
      <c r="N48" s="60">
        <f>'Scen 3 MWh Savings'!N12/('Scen 3 Summer &amp; Winter MW'!N12*1000)</f>
        <v>7.7793337469971009</v>
      </c>
      <c r="O48" s="60">
        <f>'Scen 3 MWh Savings'!O12/('Scen 3 Summer &amp; Winter MW'!O12*1000)</f>
        <v>7.6931296195729235</v>
      </c>
      <c r="P48" s="60">
        <f>'Scen 3 MWh Savings'!P12/('Scen 3 Summer &amp; Winter MW'!P12*1000)</f>
        <v>7.7280280783106274</v>
      </c>
      <c r="Q48" s="60">
        <f>'Scen 3 MWh Savings'!Q12/('Scen 3 Summer &amp; Winter MW'!Q12*1000)</f>
        <v>7.7170204437372067</v>
      </c>
      <c r="R48" s="60">
        <f>'Scen 3 MWh Savings'!R12/('Scen 3 Summer &amp; Winter MW'!R12*1000)</f>
        <v>7.6615809479579848</v>
      </c>
      <c r="S48" s="60">
        <f>'Scen 3 MWh Savings'!S12/('Scen 3 Summer &amp; Winter MW'!S12*1000)</f>
        <v>7.6675694888249311</v>
      </c>
      <c r="T48" s="60">
        <f>'Scen 3 MWh Savings'!T12/('Scen 3 Summer &amp; Winter MW'!T12*1000)</f>
        <v>7.691218957257183</v>
      </c>
      <c r="U48" s="60">
        <f>'Scen 3 MWh Savings'!U12/('Scen 3 Summer &amp; Winter MW'!U12*1000)</f>
        <v>7.6484149010550553</v>
      </c>
      <c r="V48" s="60">
        <f>'Scen 3 MWh Savings'!V12/('Scen 3 Summer &amp; Winter MW'!V12*1000)</f>
        <v>8.2763236509014728</v>
      </c>
    </row>
    <row r="50" spans="1:22">
      <c r="A50" s="50" t="s">
        <v>3</v>
      </c>
    </row>
    <row r="51" spans="1:22">
      <c r="A51" s="2" t="s">
        <v>7</v>
      </c>
      <c r="B51" s="59">
        <f>'Scen 3 MWh Savings'!B15/('Scen 3 Summer &amp; Winter MW'!B15*1000)</f>
        <v>4.912588940079651</v>
      </c>
      <c r="C51" s="59">
        <f>'Scen 3 MWh Savings'!C15/('Scen 3 Summer &amp; Winter MW'!C15*1000)</f>
        <v>5.1037407525376919</v>
      </c>
      <c r="D51" s="59">
        <f>'Scen 3 MWh Savings'!D15/('Scen 3 Summer &amp; Winter MW'!D15*1000)</f>
        <v>5.2867153898536277</v>
      </c>
      <c r="E51" s="59">
        <f>'Scen 3 MWh Savings'!E15/('Scen 3 Summer &amp; Winter MW'!E15*1000)</f>
        <v>5.2739111867218451</v>
      </c>
      <c r="F51" s="59">
        <f>'Scen 3 MWh Savings'!F15/('Scen 3 Summer &amp; Winter MW'!F15*1000)</f>
        <v>5.4064584746602558</v>
      </c>
      <c r="G51" s="59">
        <f>'Scen 3 MWh Savings'!G15/('Scen 3 Summer &amp; Winter MW'!G15*1000)</f>
        <v>5.4927139139926542</v>
      </c>
      <c r="H51" s="59">
        <f>'Scen 3 MWh Savings'!H15/('Scen 3 Summer &amp; Winter MW'!H15*1000)</f>
        <v>5.4927139276451564</v>
      </c>
      <c r="I51" s="59">
        <f>'Scen 3 MWh Savings'!I15/('Scen 3 Summer &amp; Winter MW'!I15*1000)</f>
        <v>5.4927139113094148</v>
      </c>
      <c r="J51" s="59">
        <f>'Scen 3 MWh Savings'!J15/('Scen 3 Summer &amp; Winter MW'!J15*1000)</f>
        <v>5.4927139242316994</v>
      </c>
      <c r="K51" s="59">
        <f>'Scen 3 MWh Savings'!K15/('Scen 3 Summer &amp; Winter MW'!K15*1000)</f>
        <v>5.4927139232253088</v>
      </c>
      <c r="L51" s="59">
        <f>'Scen 3 MWh Savings'!L15/('Scen 3 Summer &amp; Winter MW'!L15*1000)</f>
        <v>5.4927139300425329</v>
      </c>
      <c r="M51" s="59">
        <f>'Scen 3 MWh Savings'!M15/('Scen 3 Summer &amp; Winter MW'!M15*1000)</f>
        <v>5.492713926528686</v>
      </c>
      <c r="N51" s="59">
        <f>'Scen 3 MWh Savings'!N15/('Scen 3 Summer &amp; Winter MW'!N15*1000)</f>
        <v>5.492713925491417</v>
      </c>
      <c r="O51" s="59">
        <f>'Scen 3 MWh Savings'!O15/('Scen 3 Summer &amp; Winter MW'!O15*1000)</f>
        <v>5.4927139274734698</v>
      </c>
      <c r="P51" s="59">
        <f>'Scen 3 MWh Savings'!P15/('Scen 3 Summer &amp; Winter MW'!P15*1000)</f>
        <v>5.4927139437409878</v>
      </c>
      <c r="Q51" s="59">
        <f>'Scen 3 MWh Savings'!Q15/('Scen 3 Summer &amp; Winter MW'!Q15*1000)</f>
        <v>5.4927139321253575</v>
      </c>
      <c r="R51" s="59">
        <f>'Scen 3 MWh Savings'!R15/('Scen 3 Summer &amp; Winter MW'!R15*1000)</f>
        <v>5.4927139302185797</v>
      </c>
      <c r="S51" s="59">
        <f>'Scen 3 MWh Savings'!S15/('Scen 3 Summer &amp; Winter MW'!S15*1000)</f>
        <v>5.4927139264329403</v>
      </c>
      <c r="T51" s="59">
        <f>'Scen 3 MWh Savings'!T15/('Scen 3 Summer &amp; Winter MW'!T15*1000)</f>
        <v>5.492713926232236</v>
      </c>
      <c r="U51" s="59">
        <f>'Scen 3 MWh Savings'!U15/('Scen 3 Summer &amp; Winter MW'!U15*1000)</f>
        <v>5.4927138989772484</v>
      </c>
      <c r="V51" s="59">
        <f>'Scen 3 MWh Savings'!V15/('Scen 3 Summer &amp; Winter MW'!V15*1000)</f>
        <v>5.3950918966759911</v>
      </c>
    </row>
    <row r="52" spans="1:22">
      <c r="A52" s="2" t="s">
        <v>6</v>
      </c>
      <c r="B52" s="59">
        <f>'Scen 3 MWh Savings'!B16/('Scen 3 Summer &amp; Winter MW'!B16*1000)</f>
        <v>5.0008104291867941</v>
      </c>
      <c r="C52" s="59">
        <f>'Scen 3 MWh Savings'!C16/('Scen 3 Summer &amp; Winter MW'!C16*1000)</f>
        <v>5.0728657518964262</v>
      </c>
      <c r="D52" s="59">
        <f>'Scen 3 MWh Savings'!D16/('Scen 3 Summer &amp; Winter MW'!D16*1000)</f>
        <v>5.1622933785727785</v>
      </c>
      <c r="E52" s="59">
        <f>'Scen 3 MWh Savings'!E16/('Scen 3 Summer &amp; Winter MW'!E16*1000)</f>
        <v>5.0078229724994028</v>
      </c>
      <c r="F52" s="59">
        <f>'Scen 3 MWh Savings'!F16/('Scen 3 Summer &amp; Winter MW'!F16*1000)</f>
        <v>5.0303227066672678</v>
      </c>
      <c r="G52" s="59">
        <f>'Scen 3 MWh Savings'!G16/('Scen 3 Summer &amp; Winter MW'!G16*1000)</f>
        <v>5.0557545315459649</v>
      </c>
      <c r="H52" s="59">
        <f>'Scen 3 MWh Savings'!H16/('Scen 3 Summer &amp; Winter MW'!H16*1000)</f>
        <v>5.055754501070993</v>
      </c>
      <c r="I52" s="59">
        <f>'Scen 3 MWh Savings'!I16/('Scen 3 Summer &amp; Winter MW'!I16*1000)</f>
        <v>5.0557545243257929</v>
      </c>
      <c r="J52" s="59">
        <f>'Scen 3 MWh Savings'!J16/('Scen 3 Summer &amp; Winter MW'!J16*1000)</f>
        <v>5.0557544999878257</v>
      </c>
      <c r="K52" s="59">
        <f>'Scen 3 MWh Savings'!K16/('Scen 3 Summer &amp; Winter MW'!K16*1000)</f>
        <v>5.0557545462231905</v>
      </c>
      <c r="L52" s="59">
        <f>'Scen 3 MWh Savings'!L16/('Scen 3 Summer &amp; Winter MW'!L16*1000)</f>
        <v>5.0557545207223393</v>
      </c>
      <c r="M52" s="59">
        <f>'Scen 3 MWh Savings'!M16/('Scen 3 Summer &amp; Winter MW'!M16*1000)</f>
        <v>5.055754535265284</v>
      </c>
      <c r="N52" s="59">
        <f>'Scen 3 MWh Savings'!N16/('Scen 3 Summer &amp; Winter MW'!N16*1000)</f>
        <v>5.0557545057108717</v>
      </c>
      <c r="O52" s="59">
        <f>'Scen 3 MWh Savings'!O16/('Scen 3 Summer &amp; Winter MW'!O16*1000)</f>
        <v>5.0557545168196931</v>
      </c>
      <c r="P52" s="59">
        <f>'Scen 3 MWh Savings'!P16/('Scen 3 Summer &amp; Winter MW'!P16*1000)</f>
        <v>5.0557544839871698</v>
      </c>
      <c r="Q52" s="59">
        <f>'Scen 3 MWh Savings'!Q16/('Scen 3 Summer &amp; Winter MW'!Q16*1000)</f>
        <v>5.0557545034245885</v>
      </c>
      <c r="R52" s="59">
        <f>'Scen 3 MWh Savings'!R16/('Scen 3 Summer &amp; Winter MW'!R16*1000)</f>
        <v>5.0557545360827536</v>
      </c>
      <c r="S52" s="59">
        <f>'Scen 3 MWh Savings'!S16/('Scen 3 Summer &amp; Winter MW'!S16*1000)</f>
        <v>5.0557544884832861</v>
      </c>
      <c r="T52" s="59">
        <f>'Scen 3 MWh Savings'!T16/('Scen 3 Summer &amp; Winter MW'!T16*1000)</f>
        <v>5.0557545266330299</v>
      </c>
      <c r="U52" s="59">
        <f>'Scen 3 MWh Savings'!U16/('Scen 3 Summer &amp; Winter MW'!U16*1000)</f>
        <v>5.0557544892175255</v>
      </c>
      <c r="V52" s="59">
        <f>'Scen 3 MWh Savings'!V16/('Scen 3 Summer &amp; Winter MW'!V16*1000)</f>
        <v>5.055846908087811</v>
      </c>
    </row>
    <row r="53" spans="1:22">
      <c r="A53" s="2" t="s">
        <v>5</v>
      </c>
      <c r="B53" s="61">
        <f>'Scen 3 MWh Savings'!B17/('Scen 3 Summer &amp; Winter MW'!B17*1000)</f>
        <v>5.6615213470164809</v>
      </c>
      <c r="C53" s="61">
        <f>'Scen 3 MWh Savings'!C17/('Scen 3 Summer &amp; Winter MW'!C17*1000)</f>
        <v>5.3106003704878431</v>
      </c>
      <c r="D53" s="61">
        <f>'Scen 3 MWh Savings'!D17/('Scen 3 Summer &amp; Winter MW'!D17*1000)</f>
        <v>5.255858668450843</v>
      </c>
      <c r="E53" s="61">
        <f>'Scen 3 MWh Savings'!E17/('Scen 3 Summer &amp; Winter MW'!E17*1000)</f>
        <v>5.4722603883731171</v>
      </c>
      <c r="F53" s="61">
        <f>'Scen 3 MWh Savings'!F17/('Scen 3 Summer &amp; Winter MW'!F17*1000)</f>
        <v>5.2777235289916931</v>
      </c>
      <c r="G53" s="61">
        <f>'Scen 3 MWh Savings'!G17/('Scen 3 Summer &amp; Winter MW'!G17*1000)</f>
        <v>5.3494099886736368</v>
      </c>
      <c r="H53" s="61">
        <f>'Scen 3 MWh Savings'!H17/('Scen 3 Summer &amp; Winter MW'!H17*1000)</f>
        <v>5.3613227735955595</v>
      </c>
      <c r="I53" s="61">
        <f>'Scen 3 MWh Savings'!I17/('Scen 3 Summer &amp; Winter MW'!I17*1000)</f>
        <v>5.3728050371476437</v>
      </c>
      <c r="J53" s="61">
        <f>'Scen 3 MWh Savings'!J17/('Scen 3 Summer &amp; Winter MW'!J17*1000)</f>
        <v>5.3845866833744029</v>
      </c>
      <c r="K53" s="61">
        <f>'Scen 3 MWh Savings'!K17/('Scen 3 Summer &amp; Winter MW'!K17*1000)</f>
        <v>5.4000773627891769</v>
      </c>
      <c r="L53" s="61">
        <f>'Scen 3 MWh Savings'!L17/('Scen 3 Summer &amp; Winter MW'!L17*1000)</f>
        <v>5.4178773826942175</v>
      </c>
      <c r="M53" s="61">
        <f>'Scen 3 MWh Savings'!M17/('Scen 3 Summer &amp; Winter MW'!M17*1000)</f>
        <v>5.4375378981657434</v>
      </c>
      <c r="N53" s="61">
        <f>'Scen 3 MWh Savings'!N17/('Scen 3 Summer &amp; Winter MW'!N17*1000)</f>
        <v>5.4627560912551276</v>
      </c>
      <c r="O53" s="61">
        <f>'Scen 3 MWh Savings'!O17/('Scen 3 Summer &amp; Winter MW'!O17*1000)</f>
        <v>5.4873250932070992</v>
      </c>
      <c r="P53" s="61">
        <f>'Scen 3 MWh Savings'!P17/('Scen 3 Summer &amp; Winter MW'!P17*1000)</f>
        <v>5.5151404271047229</v>
      </c>
      <c r="Q53" s="61">
        <f>'Scen 3 MWh Savings'!Q17/('Scen 3 Summer &amp; Winter MW'!Q17*1000)</f>
        <v>5.5448008831623747</v>
      </c>
      <c r="R53" s="61">
        <f>'Scen 3 MWh Savings'!R17/('Scen 3 Summer &amp; Winter MW'!R17*1000)</f>
        <v>5.5766654051180042</v>
      </c>
      <c r="S53" s="61">
        <f>'Scen 3 MWh Savings'!S17/('Scen 3 Summer &amp; Winter MW'!S17*1000)</f>
        <v>5.6094493977741786</v>
      </c>
      <c r="T53" s="61">
        <f>'Scen 3 MWh Savings'!T17/('Scen 3 Summer &amp; Winter MW'!T17*1000)</f>
        <v>5.6451619217222424</v>
      </c>
      <c r="U53" s="61">
        <f>'Scen 3 MWh Savings'!U17/('Scen 3 Summer &amp; Winter MW'!U17*1000)</f>
        <v>5.6835872760018207</v>
      </c>
      <c r="V53" s="61">
        <f>'Scen 3 MWh Savings'!V17/('Scen 3 Summer &amp; Winter MW'!V17*1000)</f>
        <v>5.4551212305344148</v>
      </c>
    </row>
    <row r="54" spans="1:22">
      <c r="A54" s="8" t="s">
        <v>16</v>
      </c>
      <c r="B54" s="60">
        <f>'Scen 3 MWh Savings'!B18/('Scen 3 Summer &amp; Winter MW'!B18*1000)</f>
        <v>5.3016182211322631</v>
      </c>
      <c r="C54" s="60">
        <f>'Scen 3 MWh Savings'!C18/('Scen 3 Summer &amp; Winter MW'!C18*1000)</f>
        <v>5.1999967322552667</v>
      </c>
      <c r="D54" s="60">
        <f>'Scen 3 MWh Savings'!D18/('Scen 3 Summer &amp; Winter MW'!D18*1000)</f>
        <v>5.2335740042277594</v>
      </c>
      <c r="E54" s="60">
        <f>'Scen 3 MWh Savings'!E18/('Scen 3 Summer &amp; Winter MW'!E18*1000)</f>
        <v>5.322364527636843</v>
      </c>
      <c r="F54" s="60">
        <f>'Scen 3 MWh Savings'!F18/('Scen 3 Summer &amp; Winter MW'!F18*1000)</f>
        <v>5.2355292778235976</v>
      </c>
      <c r="G54" s="60">
        <f>'Scen 3 MWh Savings'!G18/('Scen 3 Summer &amp; Winter MW'!G18*1000)</f>
        <v>5.2989604271760351</v>
      </c>
      <c r="H54" s="60">
        <f>'Scen 3 MWh Savings'!H18/('Scen 3 Summer &amp; Winter MW'!H18*1000)</f>
        <v>5.307896357222706</v>
      </c>
      <c r="I54" s="60">
        <f>'Scen 3 MWh Savings'!I18/('Scen 3 Summer &amp; Winter MW'!I18*1000)</f>
        <v>5.3172211844587522</v>
      </c>
      <c r="J54" s="60">
        <f>'Scen 3 MWh Savings'!J18/('Scen 3 Summer &amp; Winter MW'!J18*1000)</f>
        <v>5.327192460589206</v>
      </c>
      <c r="K54" s="60">
        <f>'Scen 3 MWh Savings'!K18/('Scen 3 Summer &amp; Winter MW'!K18*1000)</f>
        <v>5.3388593600592049</v>
      </c>
      <c r="L54" s="60">
        <f>'Scen 3 MWh Savings'!L18/('Scen 3 Summer &amp; Winter MW'!L18*1000)</f>
        <v>5.3519588929767474</v>
      </c>
      <c r="M54" s="60">
        <f>'Scen 3 MWh Savings'!M18/('Scen 3 Summer &amp; Winter MW'!M18*1000)</f>
        <v>5.3664088164979438</v>
      </c>
      <c r="N54" s="60">
        <f>'Scen 3 MWh Savings'!N18/('Scen 3 Summer &amp; Winter MW'!N18*1000)</f>
        <v>5.3832079902843786</v>
      </c>
      <c r="O54" s="60">
        <f>'Scen 3 MWh Savings'!O18/('Scen 3 Summer &amp; Winter MW'!O18*1000)</f>
        <v>5.4006967545847049</v>
      </c>
      <c r="P54" s="60">
        <f>'Scen 3 MWh Savings'!P18/('Scen 3 Summer &amp; Winter MW'!P18*1000)</f>
        <v>5.4201908708088018</v>
      </c>
      <c r="Q54" s="60">
        <f>'Scen 3 MWh Savings'!Q18/('Scen 3 Summer &amp; Winter MW'!Q18*1000)</f>
        <v>5.4413559780869196</v>
      </c>
      <c r="R54" s="60">
        <f>'Scen 3 MWh Savings'!R18/('Scen 3 Summer &amp; Winter MW'!R18*1000)</f>
        <v>5.4646047251397984</v>
      </c>
      <c r="S54" s="60">
        <f>'Scen 3 MWh Savings'!S18/('Scen 3 Summer &amp; Winter MW'!S18*1000)</f>
        <v>5.4899873832270725</v>
      </c>
      <c r="T54" s="60">
        <f>'Scen 3 MWh Savings'!T18/('Scen 3 Summer &amp; Winter MW'!T18*1000)</f>
        <v>5.5181513656547772</v>
      </c>
      <c r="U54" s="60">
        <f>'Scen 3 MWh Savings'!U18/('Scen 3 Summer &amp; Winter MW'!U18*1000)</f>
        <v>5.5490669307268696</v>
      </c>
      <c r="V54" s="60">
        <f>'Scen 3 MWh Savings'!V18/('Scen 3 Summer &amp; Winter MW'!V18*1000)</f>
        <v>5.3560734316107306</v>
      </c>
    </row>
    <row r="55" spans="1:22">
      <c r="A55" s="8"/>
    </row>
    <row r="56" spans="1:22">
      <c r="A56" s="3" t="s">
        <v>4</v>
      </c>
      <c r="B56" s="60">
        <f>'Scen 3 MWh Savings'!B20/('Scen 3 Summer &amp; Winter MW'!B20*1000)</f>
        <v>6.6172162688741718</v>
      </c>
      <c r="C56" s="60">
        <f>'Scen 3 MWh Savings'!C20/('Scen 3 Summer &amp; Winter MW'!C20*1000)</f>
        <v>6.5507136884973942</v>
      </c>
      <c r="D56" s="60">
        <f>'Scen 3 MWh Savings'!D20/('Scen 3 Summer &amp; Winter MW'!D20*1000)</f>
        <v>6.6256911597599197</v>
      </c>
      <c r="E56" s="60">
        <f>'Scen 3 MWh Savings'!E20/('Scen 3 Summer &amp; Winter MW'!E20*1000)</f>
        <v>6.3820171989629912</v>
      </c>
      <c r="F56" s="60">
        <f>'Scen 3 MWh Savings'!F20/('Scen 3 Summer &amp; Winter MW'!F20*1000)</f>
        <v>6.2716110316728786</v>
      </c>
      <c r="G56" s="60">
        <f>'Scen 3 MWh Savings'!G20/('Scen 3 Summer &amp; Winter MW'!G20*1000)</f>
        <v>6.4291533667510379</v>
      </c>
      <c r="H56" s="60">
        <f>'Scen 3 MWh Savings'!H20/('Scen 3 Summer &amp; Winter MW'!H20*1000)</f>
        <v>6.2348751265618283</v>
      </c>
      <c r="I56" s="60">
        <f>'Scen 3 MWh Savings'!I20/('Scen 3 Summer &amp; Winter MW'!I20*1000)</f>
        <v>6.1889341958435722</v>
      </c>
      <c r="J56" s="60">
        <f>'Scen 3 MWh Savings'!J20/('Scen 3 Summer &amp; Winter MW'!J20*1000)</f>
        <v>6.1564051008186622</v>
      </c>
      <c r="K56" s="60">
        <f>'Scen 3 MWh Savings'!K20/('Scen 3 Summer &amp; Winter MW'!K20*1000)</f>
        <v>6.172462915261006</v>
      </c>
      <c r="L56" s="60">
        <f>'Scen 3 MWh Savings'!L20/('Scen 3 Summer &amp; Winter MW'!L20*1000)</f>
        <v>6.2003208091628412</v>
      </c>
      <c r="M56" s="60">
        <f>'Scen 3 MWh Savings'!M20/('Scen 3 Summer &amp; Winter MW'!M20*1000)</f>
        <v>6.1720520884803722</v>
      </c>
      <c r="N56" s="60">
        <f>'Scen 3 MWh Savings'!N20/('Scen 3 Summer &amp; Winter MW'!N20*1000)</f>
        <v>6.159281143087088</v>
      </c>
      <c r="O56" s="60">
        <f>'Scen 3 MWh Savings'!O20/('Scen 3 Summer &amp; Winter MW'!O20*1000)</f>
        <v>6.149086490645713</v>
      </c>
      <c r="P56" s="60">
        <f>'Scen 3 MWh Savings'!P20/('Scen 3 Summer &amp; Winter MW'!P20*1000)</f>
        <v>6.1627128165433858</v>
      </c>
      <c r="Q56" s="60">
        <f>'Scen 3 MWh Savings'!Q20/('Scen 3 Summer &amp; Winter MW'!Q20*1000)</f>
        <v>6.1855899654680586</v>
      </c>
      <c r="R56" s="60">
        <f>'Scen 3 MWh Savings'!R20/('Scen 3 Summer &amp; Winter MW'!R20*1000)</f>
        <v>6.1864601753994863</v>
      </c>
      <c r="S56" s="60">
        <f>'Scen 3 MWh Savings'!S20/('Scen 3 Summer &amp; Winter MW'!S20*1000)</f>
        <v>6.2058966247645158</v>
      </c>
      <c r="T56" s="60">
        <f>'Scen 3 MWh Savings'!T20/('Scen 3 Summer &amp; Winter MW'!T20*1000)</f>
        <v>6.2303192423817704</v>
      </c>
      <c r="U56" s="60">
        <f>'Scen 3 MWh Savings'!U20/('Scen 3 Summer &amp; Winter MW'!U20*1000)</f>
        <v>6.2405293818954988</v>
      </c>
      <c r="V56" s="60">
        <f>'Scen 3 MWh Savings'!V20/('Scen 3 Summer &amp; Winter MW'!V20*1000)</f>
        <v>6.2766514052367848</v>
      </c>
    </row>
    <row r="57" spans="1:22">
      <c r="A57" s="1"/>
    </row>
    <row r="58" spans="1:22">
      <c r="A58" s="62" t="s">
        <v>30</v>
      </c>
      <c r="B58" s="6">
        <v>2015</v>
      </c>
      <c r="C58" s="6">
        <f>B58+1</f>
        <v>2016</v>
      </c>
      <c r="D58" s="6">
        <f t="shared" ref="D58:U58" si="3">C58+1</f>
        <v>2017</v>
      </c>
      <c r="E58" s="6">
        <f t="shared" si="3"/>
        <v>2018</v>
      </c>
      <c r="F58" s="6">
        <f t="shared" si="3"/>
        <v>2019</v>
      </c>
      <c r="G58" s="6">
        <f t="shared" si="3"/>
        <v>2020</v>
      </c>
      <c r="H58" s="6">
        <f t="shared" si="3"/>
        <v>2021</v>
      </c>
      <c r="I58" s="6">
        <f t="shared" si="3"/>
        <v>2022</v>
      </c>
      <c r="J58" s="6">
        <f t="shared" si="3"/>
        <v>2023</v>
      </c>
      <c r="K58" s="6">
        <f t="shared" si="3"/>
        <v>2024</v>
      </c>
      <c r="L58" s="6">
        <f t="shared" si="3"/>
        <v>2025</v>
      </c>
      <c r="M58" s="6">
        <f t="shared" si="3"/>
        <v>2026</v>
      </c>
      <c r="N58" s="6">
        <f t="shared" si="3"/>
        <v>2027</v>
      </c>
      <c r="O58" s="6">
        <f t="shared" si="3"/>
        <v>2028</v>
      </c>
      <c r="P58" s="6">
        <f t="shared" si="3"/>
        <v>2029</v>
      </c>
      <c r="Q58" s="6">
        <f t="shared" si="3"/>
        <v>2030</v>
      </c>
      <c r="R58" s="6">
        <f t="shared" si="3"/>
        <v>2031</v>
      </c>
      <c r="S58" s="6">
        <f t="shared" si="3"/>
        <v>2032</v>
      </c>
      <c r="T58" s="6">
        <f t="shared" si="3"/>
        <v>2033</v>
      </c>
      <c r="U58" s="6">
        <f t="shared" si="3"/>
        <v>2034</v>
      </c>
      <c r="V58" s="6" t="s">
        <v>14</v>
      </c>
    </row>
    <row r="59" spans="1:22">
      <c r="A59" s="50" t="s">
        <v>2</v>
      </c>
    </row>
    <row r="60" spans="1:22">
      <c r="A60" s="9" t="s">
        <v>8</v>
      </c>
      <c r="B60" s="59">
        <f>'Scen 3 MWh Savings'!B6/('Scen 3 Summer &amp; Winter MW'!B24*1000)</f>
        <v>4.0125842452000944</v>
      </c>
      <c r="C60" s="59">
        <f>'Scen 3 MWh Savings'!C6/('Scen 3 Summer &amp; Winter MW'!C24*1000)</f>
        <v>3.86434613492235</v>
      </c>
      <c r="D60" s="59">
        <f>'Scen 3 MWh Savings'!D6/('Scen 3 Summer &amp; Winter MW'!D24*1000)</f>
        <v>3.7251178322929794</v>
      </c>
      <c r="E60" s="59">
        <f>'Scen 3 MWh Savings'!E6/('Scen 3 Summer &amp; Winter MW'!E24*1000)</f>
        <v>3.8756098998153075</v>
      </c>
      <c r="F60" s="59">
        <f>'Scen 3 MWh Savings'!F6/('Scen 3 Summer &amp; Winter MW'!F24*1000)</f>
        <v>4.0310870380823465</v>
      </c>
      <c r="G60" s="59">
        <f>'Scen 3 MWh Savings'!G6/('Scen 3 Summer &amp; Winter MW'!G24*1000)</f>
        <v>4.4230336699944672</v>
      </c>
      <c r="H60" s="59">
        <f>'Scen 3 MWh Savings'!H6/('Scen 3 Summer &amp; Winter MW'!H24*1000)</f>
        <v>4.3976789643068113</v>
      </c>
      <c r="I60" s="59">
        <f>'Scen 3 MWh Savings'!I6/('Scen 3 Summer &amp; Winter MW'!I24*1000)</f>
        <v>4.3721995320238598</v>
      </c>
      <c r="J60" s="59">
        <f>'Scen 3 MWh Savings'!J6/('Scen 3 Summer &amp; Winter MW'!J24*1000)</f>
        <v>4.3303184212962682</v>
      </c>
      <c r="K60" s="59">
        <f>'Scen 3 MWh Savings'!K6/('Scen 3 Summer &amp; Winter MW'!K24*1000)</f>
        <v>4.312087322064234</v>
      </c>
      <c r="L60" s="59">
        <f>'Scen 3 MWh Savings'!L6/('Scen 3 Summer &amp; Winter MW'!L24*1000)</f>
        <v>4.3113515944793157</v>
      </c>
      <c r="M60" s="59">
        <f>'Scen 3 MWh Savings'!M6/('Scen 3 Summer &amp; Winter MW'!M24*1000)</f>
        <v>4.3106222034150719</v>
      </c>
      <c r="N60" s="59">
        <f>'Scen 3 MWh Savings'!N6/('Scen 3 Summer &amp; Winter MW'!N24*1000)</f>
        <v>4.3240708884732024</v>
      </c>
      <c r="O60" s="59">
        <f>'Scen 3 MWh Savings'!O6/('Scen 3 Summer &amp; Winter MW'!O24*1000)</f>
        <v>4.3112010168196795</v>
      </c>
      <c r="P60" s="59">
        <f>'Scen 3 MWh Savings'!P6/('Scen 3 Summer &amp; Winter MW'!P24*1000)</f>
        <v>4.310560111055735</v>
      </c>
      <c r="Q60" s="59">
        <f>'Scen 3 MWh Savings'!Q6/('Scen 3 Summer &amp; Winter MW'!Q24*1000)</f>
        <v>4.3127229121371489</v>
      </c>
      <c r="R60" s="59">
        <f>'Scen 3 MWh Savings'!R6/('Scen 3 Summer &amp; Winter MW'!R24*1000)</f>
        <v>4.3121110671253833</v>
      </c>
      <c r="S60" s="59">
        <f>'Scen 3 MWh Savings'!S6/('Scen 3 Summer &amp; Winter MW'!S24*1000)</f>
        <v>4.3115043968307161</v>
      </c>
      <c r="T60" s="59">
        <f>'Scen 3 MWh Savings'!T6/('Scen 3 Summer &amp; Winter MW'!T24*1000)</f>
        <v>4.3058620058779926</v>
      </c>
      <c r="U60" s="59">
        <f>'Scen 3 MWh Savings'!U6/('Scen 3 Summer &amp; Winter MW'!U24*1000)</f>
        <v>4.3053098606269922</v>
      </c>
      <c r="V60" s="59">
        <f>'Scen 3 MWh Savings'!V6/('Scen 3 Summer &amp; Winter MW'!V24*1000)</f>
        <v>4.2265664925857083</v>
      </c>
    </row>
    <row r="61" spans="1:22">
      <c r="A61" s="10" t="s">
        <v>9</v>
      </c>
      <c r="B61" s="59">
        <f>'Scen 3 MWh Savings'!B7/('Scen 3 Summer &amp; Winter MW'!B25*1000)</f>
        <v>4.8861027130859229</v>
      </c>
      <c r="C61" s="59">
        <f>'Scen 3 MWh Savings'!C7/('Scen 3 Summer &amp; Winter MW'!C25*1000)</f>
        <v>5.0557897894997712</v>
      </c>
      <c r="D61" s="59">
        <f>'Scen 3 MWh Savings'!D7/('Scen 3 Summer &amp; Winter MW'!D25*1000)</f>
        <v>5.1866774002630232</v>
      </c>
      <c r="E61" s="59">
        <f>'Scen 3 MWh Savings'!E7/('Scen 3 Summer &amp; Winter MW'!E25*1000)</f>
        <v>4.0223224279493168</v>
      </c>
      <c r="F61" s="59">
        <f>'Scen 3 MWh Savings'!F7/('Scen 3 Summer &amp; Winter MW'!F25*1000)</f>
        <v>3.9906627784830286</v>
      </c>
      <c r="G61" s="59">
        <f>'Scen 3 MWh Savings'!G7/('Scen 3 Summer &amp; Winter MW'!G25*1000)</f>
        <v>5.0491011048442997</v>
      </c>
      <c r="H61" s="59">
        <f>'Scen 3 MWh Savings'!H7/('Scen 3 Summer &amp; Winter MW'!H25*1000)</f>
        <v>4.5130022145530351</v>
      </c>
      <c r="I61" s="59">
        <f>'Scen 3 MWh Savings'!I7/('Scen 3 Summer &amp; Winter MW'!I25*1000)</f>
        <v>4.9319350904987891</v>
      </c>
      <c r="J61" s="59">
        <f>'Scen 3 MWh Savings'!J7/('Scen 3 Summer &amp; Winter MW'!J25*1000)</f>
        <v>5.8040632616822903</v>
      </c>
      <c r="K61" s="59">
        <f>'Scen 3 MWh Savings'!K7/('Scen 3 Summer &amp; Winter MW'!K25*1000)</f>
        <v>6.3232764992457664</v>
      </c>
      <c r="L61" s="59">
        <f>'Scen 3 MWh Savings'!L7/('Scen 3 Summer &amp; Winter MW'!L25*1000)</f>
        <v>6.9368680007693815</v>
      </c>
      <c r="M61" s="59">
        <f>'Scen 3 MWh Savings'!M7/('Scen 3 Summer &amp; Winter MW'!M25*1000)</f>
        <v>6.9718905120010533</v>
      </c>
      <c r="N61" s="59">
        <f>'Scen 3 MWh Savings'!N7/('Scen 3 Summer &amp; Winter MW'!N25*1000)</f>
        <v>6.9504176779507949</v>
      </c>
      <c r="O61" s="59">
        <f>'Scen 3 MWh Savings'!O7/('Scen 3 Summer &amp; Winter MW'!O25*1000)</f>
        <v>7.0152588880987192</v>
      </c>
      <c r="P61" s="59">
        <f>'Scen 3 MWh Savings'!P7/('Scen 3 Summer &amp; Winter MW'!P25*1000)</f>
        <v>6.9596482163866211</v>
      </c>
      <c r="Q61" s="59">
        <f>'Scen 3 MWh Savings'!Q7/('Scen 3 Summer &amp; Winter MW'!Q25*1000)</f>
        <v>7.1192006269335568</v>
      </c>
      <c r="R61" s="59">
        <f>'Scen 3 MWh Savings'!R7/('Scen 3 Summer &amp; Winter MW'!R25*1000)</f>
        <v>7.2949916413025306</v>
      </c>
      <c r="S61" s="59">
        <f>'Scen 3 MWh Savings'!S7/('Scen 3 Summer &amp; Winter MW'!S25*1000)</f>
        <v>7.3055429281134714</v>
      </c>
      <c r="T61" s="59">
        <f>'Scen 3 MWh Savings'!T7/('Scen 3 Summer &amp; Winter MW'!T25*1000)</f>
        <v>7.2882431631271558</v>
      </c>
      <c r="U61" s="59">
        <f>'Scen 3 MWh Savings'!U7/('Scen 3 Summer &amp; Winter MW'!U25*1000)</f>
        <v>7.280309399967229</v>
      </c>
      <c r="V61" s="59">
        <f>'Scen 3 MWh Savings'!V7/('Scen 3 Summer &amp; Winter MW'!V25*1000)</f>
        <v>5.3168993046152284</v>
      </c>
    </row>
    <row r="62" spans="1:22">
      <c r="A62" s="10" t="s">
        <v>10</v>
      </c>
      <c r="B62" s="59">
        <f>'Scen 3 MWh Savings'!B8/('Scen 3 Summer &amp; Winter MW'!B26*1000)</f>
        <v>7.1415728991720346</v>
      </c>
      <c r="C62" s="59">
        <f>'Scen 3 MWh Savings'!C8/('Scen 3 Summer &amp; Winter MW'!C26*1000)</f>
        <v>7.0646251846163306</v>
      </c>
      <c r="D62" s="59">
        <f>'Scen 3 MWh Savings'!D8/('Scen 3 Summer &amp; Winter MW'!D26*1000)</f>
        <v>7.0722986087524111</v>
      </c>
      <c r="E62" s="59">
        <f>'Scen 3 MWh Savings'!E8/('Scen 3 Summer &amp; Winter MW'!E26*1000)</f>
        <v>7.0653264521977626</v>
      </c>
      <c r="F62" s="59">
        <f>'Scen 3 MWh Savings'!F8/('Scen 3 Summer &amp; Winter MW'!F26*1000)</f>
        <v>7.1724878529868556</v>
      </c>
      <c r="G62" s="59">
        <f>'Scen 3 MWh Savings'!G8/('Scen 3 Summer &amp; Winter MW'!G26*1000)</f>
        <v>6.6469210548428324</v>
      </c>
      <c r="H62" s="59">
        <f>'Scen 3 MWh Savings'!H8/('Scen 3 Summer &amp; Winter MW'!H26*1000)</f>
        <v>6.0591450946046521</v>
      </c>
      <c r="I62" s="59">
        <f>'Scen 3 MWh Savings'!I8/('Scen 3 Summer &amp; Winter MW'!I26*1000)</f>
        <v>5.9585737589978827</v>
      </c>
      <c r="J62" s="59">
        <f>'Scen 3 MWh Savings'!J8/('Scen 3 Summer &amp; Winter MW'!J26*1000)</f>
        <v>6.0339787332907839</v>
      </c>
      <c r="K62" s="59">
        <f>'Scen 3 MWh Savings'!K8/('Scen 3 Summer &amp; Winter MW'!K26*1000)</f>
        <v>5.9926608580340686</v>
      </c>
      <c r="L62" s="59">
        <f>'Scen 3 MWh Savings'!L8/('Scen 3 Summer &amp; Winter MW'!L26*1000)</f>
        <v>6.0036100669910697</v>
      </c>
      <c r="M62" s="59">
        <f>'Scen 3 MWh Savings'!M8/('Scen 3 Summer &amp; Winter MW'!M26*1000)</f>
        <v>6.0053200522041639</v>
      </c>
      <c r="N62" s="59">
        <f>'Scen 3 MWh Savings'!N8/('Scen 3 Summer &amp; Winter MW'!N26*1000)</f>
        <v>6.0465219083315107</v>
      </c>
      <c r="O62" s="59">
        <f>'Scen 3 MWh Savings'!O8/('Scen 3 Summer &amp; Winter MW'!O26*1000)</f>
        <v>6.0256995696889932</v>
      </c>
      <c r="P62" s="59">
        <f>'Scen 3 MWh Savings'!P8/('Scen 3 Summer &amp; Winter MW'!P26*1000)</f>
        <v>6.0056941438102829</v>
      </c>
      <c r="Q62" s="59">
        <f>'Scen 3 MWh Savings'!Q8/('Scen 3 Summer &amp; Winter MW'!Q26*1000)</f>
        <v>6.0112064638056859</v>
      </c>
      <c r="R62" s="59">
        <f>'Scen 3 MWh Savings'!R8/('Scen 3 Summer &amp; Winter MW'!R26*1000)</f>
        <v>6.002601668882428</v>
      </c>
      <c r="S62" s="59">
        <f>'Scen 3 MWh Savings'!S8/('Scen 3 Summer &amp; Winter MW'!S26*1000)</f>
        <v>5.9905718268242332</v>
      </c>
      <c r="T62" s="59">
        <f>'Scen 3 MWh Savings'!T8/('Scen 3 Summer &amp; Winter MW'!T26*1000)</f>
        <v>5.971538690836196</v>
      </c>
      <c r="U62" s="59">
        <f>'Scen 3 MWh Savings'!U8/('Scen 3 Summer &amp; Winter MW'!U26*1000)</f>
        <v>5.9612403962651506</v>
      </c>
      <c r="V62" s="59">
        <f>'Scen 3 MWh Savings'!V8/('Scen 3 Summer &amp; Winter MW'!V26*1000)</f>
        <v>6.1895332898879776</v>
      </c>
    </row>
    <row r="63" spans="1:22">
      <c r="A63" s="10" t="s">
        <v>11</v>
      </c>
      <c r="B63" s="59">
        <f>'Scen 3 MWh Savings'!B9/('Scen 3 Summer &amp; Winter MW'!B27*1000)</f>
        <v>6.6922592791838609</v>
      </c>
      <c r="C63" s="59">
        <f>'Scen 3 MWh Savings'!C9/('Scen 3 Summer &amp; Winter MW'!C27*1000)</f>
        <v>6.7369591375441464</v>
      </c>
      <c r="D63" s="59">
        <f>'Scen 3 MWh Savings'!D9/('Scen 3 Summer &amp; Winter MW'!D27*1000)</f>
        <v>6.770358419752216</v>
      </c>
      <c r="E63" s="59">
        <f>'Scen 3 MWh Savings'!E9/('Scen 3 Summer &amp; Winter MW'!E27*1000)</f>
        <v>6.323240778123469</v>
      </c>
      <c r="F63" s="59">
        <f>'Scen 3 MWh Savings'!F9/('Scen 3 Summer &amp; Winter MW'!F27*1000)</f>
        <v>5.876897592514962</v>
      </c>
      <c r="G63" s="59">
        <f>'Scen 3 MWh Savings'!G9/('Scen 3 Summer &amp; Winter MW'!G27*1000)</f>
        <v>6.1567846667858745</v>
      </c>
      <c r="H63" s="59">
        <f>'Scen 3 MWh Savings'!H9/('Scen 3 Summer &amp; Winter MW'!H27*1000)</f>
        <v>6.425452817704441</v>
      </c>
      <c r="I63" s="59">
        <f>'Scen 3 MWh Savings'!I9/('Scen 3 Summer &amp; Winter MW'!I27*1000)</f>
        <v>6.3023485465205367</v>
      </c>
      <c r="J63" s="59">
        <f>'Scen 3 MWh Savings'!J9/('Scen 3 Summer &amp; Winter MW'!J27*1000)</f>
        <v>6.2707107632237333</v>
      </c>
      <c r="K63" s="59">
        <f>'Scen 3 MWh Savings'!K9/('Scen 3 Summer &amp; Winter MW'!K27*1000)</f>
        <v>6.2556626498644174</v>
      </c>
      <c r="L63" s="59">
        <f>'Scen 3 MWh Savings'!L9/('Scen 3 Summer &amp; Winter MW'!L27*1000)</f>
        <v>6.2663916317471005</v>
      </c>
      <c r="M63" s="59">
        <f>'Scen 3 MWh Savings'!M9/('Scen 3 Summer &amp; Winter MW'!M27*1000)</f>
        <v>6.3004878190643252</v>
      </c>
      <c r="N63" s="59">
        <f>'Scen 3 MWh Savings'!N9/('Scen 3 Summer &amp; Winter MW'!N27*1000)</f>
        <v>6.2848765398406758</v>
      </c>
      <c r="O63" s="59">
        <f>'Scen 3 MWh Savings'!O9/('Scen 3 Summer &amp; Winter MW'!O27*1000)</f>
        <v>6.2273609668898615</v>
      </c>
      <c r="P63" s="59">
        <f>'Scen 3 MWh Savings'!P9/('Scen 3 Summer &amp; Winter MW'!P27*1000)</f>
        <v>6.2028632205820013</v>
      </c>
      <c r="Q63" s="59">
        <f>'Scen 3 MWh Savings'!Q9/('Scen 3 Summer &amp; Winter MW'!Q27*1000)</f>
        <v>6.143592886463809</v>
      </c>
      <c r="R63" s="59">
        <f>'Scen 3 MWh Savings'!R9/('Scen 3 Summer &amp; Winter MW'!R27*1000)</f>
        <v>6.1246295320367414</v>
      </c>
      <c r="S63" s="59">
        <f>'Scen 3 MWh Savings'!S9/('Scen 3 Summer &amp; Winter MW'!S27*1000)</f>
        <v>6.1102124005146949</v>
      </c>
      <c r="T63" s="59">
        <f>'Scen 3 MWh Savings'!T9/('Scen 3 Summer &amp; Winter MW'!T27*1000)</f>
        <v>6.0843556394311307</v>
      </c>
      <c r="U63" s="59">
        <f>'Scen 3 MWh Savings'!U9/('Scen 3 Summer &amp; Winter MW'!U27*1000)</f>
        <v>6.071235696429107</v>
      </c>
      <c r="V63" s="59">
        <f>'Scen 3 MWh Savings'!V9/('Scen 3 Summer &amp; Winter MW'!V27*1000)</f>
        <v>6.2572627057827335</v>
      </c>
    </row>
    <row r="64" spans="1:22">
      <c r="A64" s="2" t="s">
        <v>12</v>
      </c>
      <c r="B64" s="59">
        <f>'Scen 3 MWh Savings'!B10/('Scen 3 Summer &amp; Winter MW'!B28*1000)</f>
        <v>5.4897872960324658</v>
      </c>
      <c r="C64" s="59">
        <f>'Scen 3 MWh Savings'!C10/('Scen 3 Summer &amp; Winter MW'!C28*1000)</f>
        <v>5.4944779025180459</v>
      </c>
      <c r="D64" s="59">
        <f>'Scen 3 MWh Savings'!D10/('Scen 3 Summer &amp; Winter MW'!D28*1000)</f>
        <v>5.5411837095847449</v>
      </c>
      <c r="E64" s="59">
        <f>'Scen 3 MWh Savings'!E10/('Scen 3 Summer &amp; Winter MW'!E28*1000)</f>
        <v>5.5392442958113977</v>
      </c>
      <c r="F64" s="59">
        <f>'Scen 3 MWh Savings'!F10/('Scen 3 Summer &amp; Winter MW'!F28*1000)</f>
        <v>5.5772938344168042</v>
      </c>
      <c r="G64" s="59">
        <f>'Scen 3 MWh Savings'!G10/('Scen 3 Summer &amp; Winter MW'!G28*1000)</f>
        <v>5.9482734103151325</v>
      </c>
      <c r="H64" s="59">
        <f>'Scen 3 MWh Savings'!H10/('Scen 3 Summer &amp; Winter MW'!H28*1000)</f>
        <v>5.9954020499989253</v>
      </c>
      <c r="I64" s="59">
        <f>'Scen 3 MWh Savings'!I10/('Scen 3 Summer &amp; Winter MW'!I28*1000)</f>
        <v>6.0075848189180379</v>
      </c>
      <c r="J64" s="59">
        <f>'Scen 3 MWh Savings'!J10/('Scen 3 Summer &amp; Winter MW'!J28*1000)</f>
        <v>6.0110133984375214</v>
      </c>
      <c r="K64" s="59">
        <f>'Scen 3 MWh Savings'!K10/('Scen 3 Summer &amp; Winter MW'!K28*1000)</f>
        <v>5.9910636345322255</v>
      </c>
      <c r="L64" s="59">
        <f>'Scen 3 MWh Savings'!L10/('Scen 3 Summer &amp; Winter MW'!L28*1000)</f>
        <v>5.9385854989683624</v>
      </c>
      <c r="M64" s="59">
        <f>'Scen 3 MWh Savings'!M10/('Scen 3 Summer &amp; Winter MW'!M28*1000)</f>
        <v>5.9246208068329054</v>
      </c>
      <c r="N64" s="59">
        <f>'Scen 3 MWh Savings'!N10/('Scen 3 Summer &amp; Winter MW'!N28*1000)</f>
        <v>5.899764936030409</v>
      </c>
      <c r="O64" s="59">
        <f>'Scen 3 MWh Savings'!O10/('Scen 3 Summer &amp; Winter MW'!O28*1000)</f>
        <v>5.912182583089904</v>
      </c>
      <c r="P64" s="59">
        <f>'Scen 3 MWh Savings'!P10/('Scen 3 Summer &amp; Winter MW'!P28*1000)</f>
        <v>5.8966317101798476</v>
      </c>
      <c r="Q64" s="59">
        <f>'Scen 3 MWh Savings'!Q10/('Scen 3 Summer &amp; Winter MW'!Q28*1000)</f>
        <v>5.9058984580936613</v>
      </c>
      <c r="R64" s="59">
        <f>'Scen 3 MWh Savings'!R10/('Scen 3 Summer &amp; Winter MW'!R28*1000)</f>
        <v>5.9134606859819296</v>
      </c>
      <c r="S64" s="59">
        <f>'Scen 3 MWh Savings'!S10/('Scen 3 Summer &amp; Winter MW'!S28*1000)</f>
        <v>5.8997358924176329</v>
      </c>
      <c r="T64" s="59">
        <f>'Scen 3 MWh Savings'!T10/('Scen 3 Summer &amp; Winter MW'!T28*1000)</f>
        <v>5.8995847282539984</v>
      </c>
      <c r="U64" s="59">
        <f>'Scen 3 MWh Savings'!U10/('Scen 3 Summer &amp; Winter MW'!U28*1000)</f>
        <v>5.9075203460366961</v>
      </c>
      <c r="V64" s="59">
        <f>'Scen 3 MWh Savings'!V10/('Scen 3 Summer &amp; Winter MW'!V28*1000)</f>
        <v>5.8392756340608294</v>
      </c>
    </row>
    <row r="65" spans="1:22">
      <c r="A65" s="2" t="s">
        <v>13</v>
      </c>
      <c r="B65" s="61">
        <f>'Scen 3 MWh Savings'!B11/('Scen 3 Summer &amp; Winter MW'!B29*1000)</f>
        <v>5.099544729318227</v>
      </c>
      <c r="C65" s="61">
        <f>'Scen 3 MWh Savings'!C11/('Scen 3 Summer &amp; Winter MW'!C29*1000)</f>
        <v>5.0193170936220444</v>
      </c>
      <c r="D65" s="61">
        <f>'Scen 3 MWh Savings'!D11/('Scen 3 Summer &amp; Winter MW'!D29*1000)</f>
        <v>5.0379849981630533</v>
      </c>
      <c r="E65" s="61">
        <f>'Scen 3 MWh Savings'!E11/('Scen 3 Summer &amp; Winter MW'!E29*1000)</f>
        <v>4.9692805958413349</v>
      </c>
      <c r="F65" s="61">
        <f>'Scen 3 MWh Savings'!F11/('Scen 3 Summer &amp; Winter MW'!F29*1000)</f>
        <v>4.997349359944665</v>
      </c>
      <c r="G65" s="61">
        <f>'Scen 3 MWh Savings'!G11/('Scen 3 Summer &amp; Winter MW'!G29*1000)</f>
        <v>4.9822127670013732</v>
      </c>
      <c r="H65" s="61">
        <f>'Scen 3 MWh Savings'!H11/('Scen 3 Summer &amp; Winter MW'!H29*1000)</f>
        <v>4.9468179873856535</v>
      </c>
      <c r="I65" s="61">
        <f>'Scen 3 MWh Savings'!I11/('Scen 3 Summer &amp; Winter MW'!I29*1000)</f>
        <v>4.8900082249820187</v>
      </c>
      <c r="J65" s="61">
        <f>'Scen 3 MWh Savings'!J11/('Scen 3 Summer &amp; Winter MW'!J29*1000)</f>
        <v>4.8801981571571682</v>
      </c>
      <c r="K65" s="61">
        <f>'Scen 3 MWh Savings'!K11/('Scen 3 Summer &amp; Winter MW'!K29*1000)</f>
        <v>4.8982732107120253</v>
      </c>
      <c r="L65" s="61">
        <f>'Scen 3 MWh Savings'!L11/('Scen 3 Summer &amp; Winter MW'!L29*1000)</f>
        <v>4.8797016732193068</v>
      </c>
      <c r="M65" s="61">
        <f>'Scen 3 MWh Savings'!M11/('Scen 3 Summer &amp; Winter MW'!M29*1000)</f>
        <v>4.8880198765635088</v>
      </c>
      <c r="N65" s="61">
        <f>'Scen 3 MWh Savings'!N11/('Scen 3 Summer &amp; Winter MW'!N29*1000)</f>
        <v>4.8652644557262281</v>
      </c>
      <c r="O65" s="61">
        <f>'Scen 3 MWh Savings'!O11/('Scen 3 Summer &amp; Winter MW'!O29*1000)</f>
        <v>4.7882892600504388</v>
      </c>
      <c r="P65" s="61">
        <f>'Scen 3 MWh Savings'!P11/('Scen 3 Summer &amp; Winter MW'!P29*1000)</f>
        <v>4.7803563192098331</v>
      </c>
      <c r="Q65" s="61">
        <f>'Scen 3 MWh Savings'!Q11/('Scen 3 Summer &amp; Winter MW'!Q29*1000)</f>
        <v>4.7666229870739185</v>
      </c>
      <c r="R65" s="61">
        <f>'Scen 3 MWh Savings'!R11/('Scen 3 Summer &amp; Winter MW'!R29*1000)</f>
        <v>4.7610965524626669</v>
      </c>
      <c r="S65" s="61">
        <f>'Scen 3 MWh Savings'!S11/('Scen 3 Summer &amp; Winter MW'!S29*1000)</f>
        <v>4.7576562670391045</v>
      </c>
      <c r="T65" s="61">
        <f>'Scen 3 MWh Savings'!T11/('Scen 3 Summer &amp; Winter MW'!T29*1000)</f>
        <v>4.7156279840552511</v>
      </c>
      <c r="U65" s="61">
        <f>'Scen 3 MWh Savings'!U11/('Scen 3 Summer &amp; Winter MW'!U29*1000)</f>
        <v>4.7054941573181335</v>
      </c>
      <c r="V65" s="61">
        <f>'Scen 3 MWh Savings'!V11/('Scen 3 Summer &amp; Winter MW'!V29*1000)</f>
        <v>4.8622779549774942</v>
      </c>
    </row>
    <row r="66" spans="1:22">
      <c r="A66" s="8" t="s">
        <v>15</v>
      </c>
      <c r="B66" s="60">
        <f>'Scen 3 MWh Savings'!B12/('Scen 3 Summer &amp; Winter MW'!B30*1000)</f>
        <v>5.3976939082872955</v>
      </c>
      <c r="C66" s="60">
        <f>'Scen 3 MWh Savings'!C12/('Scen 3 Summer &amp; Winter MW'!C30*1000)</f>
        <v>5.4768494532529708</v>
      </c>
      <c r="D66" s="60">
        <f>'Scen 3 MWh Savings'!D12/('Scen 3 Summer &amp; Winter MW'!D30*1000)</f>
        <v>5.5648114909804951</v>
      </c>
      <c r="E66" s="60">
        <f>'Scen 3 MWh Savings'!E12/('Scen 3 Summer &amp; Winter MW'!E30*1000)</f>
        <v>4.7024411760829965</v>
      </c>
      <c r="F66" s="60">
        <f>'Scen 3 MWh Savings'!F12/('Scen 3 Summer &amp; Winter MW'!F30*1000)</f>
        <v>4.6484885342763631</v>
      </c>
      <c r="G66" s="60">
        <f>'Scen 3 MWh Savings'!G12/('Scen 3 Summer &amp; Winter MW'!G30*1000)</f>
        <v>5.5779195475464292</v>
      </c>
      <c r="H66" s="60">
        <f>'Scen 3 MWh Savings'!H12/('Scen 3 Summer &amp; Winter MW'!H30*1000)</f>
        <v>5.2581045503883317</v>
      </c>
      <c r="I66" s="60">
        <f>'Scen 3 MWh Savings'!I12/('Scen 3 Summer &amp; Winter MW'!I30*1000)</f>
        <v>5.4989491829464221</v>
      </c>
      <c r="J66" s="60">
        <f>'Scen 3 MWh Savings'!J12/('Scen 3 Summer &amp; Winter MW'!J30*1000)</f>
        <v>5.8708055931318244</v>
      </c>
      <c r="K66" s="60">
        <f>'Scen 3 MWh Savings'!K12/('Scen 3 Summer &amp; Winter MW'!K30*1000)</f>
        <v>6.0059106725165563</v>
      </c>
      <c r="L66" s="60">
        <f>'Scen 3 MWh Savings'!L12/('Scen 3 Summer &amp; Winter MW'!L30*1000)</f>
        <v>6.161932898142072</v>
      </c>
      <c r="M66" s="60">
        <f>'Scen 3 MWh Savings'!M12/('Scen 3 Summer &amp; Winter MW'!M30*1000)</f>
        <v>6.1591717338340644</v>
      </c>
      <c r="N66" s="60">
        <f>'Scen 3 MWh Savings'!N12/('Scen 3 Summer &amp; Winter MW'!N30*1000)</f>
        <v>6.1540533607387218</v>
      </c>
      <c r="O66" s="60">
        <f>'Scen 3 MWh Savings'!O12/('Scen 3 Summer &amp; Winter MW'!O30*1000)</f>
        <v>6.1420141485754067</v>
      </c>
      <c r="P66" s="60">
        <f>'Scen 3 MWh Savings'!P12/('Scen 3 Summer &amp; Winter MW'!P30*1000)</f>
        <v>6.107250061736365</v>
      </c>
      <c r="Q66" s="60">
        <f>'Scen 3 MWh Savings'!Q12/('Scen 3 Summer &amp; Winter MW'!Q30*1000)</f>
        <v>6.1243077147366023</v>
      </c>
      <c r="R66" s="60">
        <f>'Scen 3 MWh Savings'!R12/('Scen 3 Summer &amp; Winter MW'!R30*1000)</f>
        <v>6.1427607640231496</v>
      </c>
      <c r="S66" s="60">
        <f>'Scen 3 MWh Savings'!S12/('Scen 3 Summer &amp; Winter MW'!S30*1000)</f>
        <v>6.1291829099105914</v>
      </c>
      <c r="T66" s="60">
        <f>'Scen 3 MWh Savings'!T12/('Scen 3 Summer &amp; Winter MW'!T30*1000)</f>
        <v>6.0959042706180115</v>
      </c>
      <c r="U66" s="60">
        <f>'Scen 3 MWh Savings'!U12/('Scen 3 Summer &amp; Winter MW'!U30*1000)</f>
        <v>6.0803448069459876</v>
      </c>
      <c r="V66" s="60">
        <f>'Scen 3 MWh Savings'!V12/('Scen 3 Summer &amp; Winter MW'!V30*1000)</f>
        <v>5.6768463040463528</v>
      </c>
    </row>
    <row r="68" spans="1:22">
      <c r="A68" s="50" t="s">
        <v>3</v>
      </c>
    </row>
    <row r="69" spans="1:22">
      <c r="A69" s="2" t="s">
        <v>7</v>
      </c>
      <c r="B69" s="59">
        <f>'Scen 3 MWh Savings'!B15/('Scen 3 Summer &amp; Winter MW'!B33*1000)</f>
        <v>6.8855322767881821</v>
      </c>
      <c r="C69" s="59">
        <f>'Scen 3 MWh Savings'!C15/('Scen 3 Summer &amp; Winter MW'!C33*1000)</f>
        <v>7.0416490983067579</v>
      </c>
      <c r="D69" s="59">
        <f>'Scen 3 MWh Savings'!D15/('Scen 3 Summer &amp; Winter MW'!D33*1000)</f>
        <v>7.1879099718398356</v>
      </c>
      <c r="E69" s="59">
        <f>'Scen 3 MWh Savings'!E15/('Scen 3 Summer &amp; Winter MW'!E33*1000)</f>
        <v>7.196093735462223</v>
      </c>
      <c r="F69" s="59">
        <f>'Scen 3 MWh Savings'!F15/('Scen 3 Summer &amp; Winter MW'!F33*1000)</f>
        <v>7.309647187700004</v>
      </c>
      <c r="G69" s="59">
        <f>'Scen 3 MWh Savings'!G15/('Scen 3 Summer &amp; Winter MW'!G33*1000)</f>
        <v>7.3808014634321193</v>
      </c>
      <c r="H69" s="59">
        <f>'Scen 3 MWh Savings'!H15/('Scen 3 Summer &amp; Winter MW'!H33*1000)</f>
        <v>7.3808014313380541</v>
      </c>
      <c r="I69" s="59">
        <f>'Scen 3 MWh Savings'!I15/('Scen 3 Summer &amp; Winter MW'!I33*1000)</f>
        <v>7.3808014248271343</v>
      </c>
      <c r="J69" s="59">
        <f>'Scen 3 MWh Savings'!J15/('Scen 3 Summer &amp; Winter MW'!J33*1000)</f>
        <v>7.3808014777398698</v>
      </c>
      <c r="K69" s="59">
        <f>'Scen 3 MWh Savings'!K15/('Scen 3 Summer &amp; Winter MW'!K33*1000)</f>
        <v>7.3808015092467558</v>
      </c>
      <c r="L69" s="59">
        <f>'Scen 3 MWh Savings'!L15/('Scen 3 Summer &amp; Winter MW'!L33*1000)</f>
        <v>7.3808014720327915</v>
      </c>
      <c r="M69" s="59">
        <f>'Scen 3 MWh Savings'!M15/('Scen 3 Summer &amp; Winter MW'!M33*1000)</f>
        <v>7.3808014911129618</v>
      </c>
      <c r="N69" s="59">
        <f>'Scen 3 MWh Savings'!N15/('Scen 3 Summer &amp; Winter MW'!N33*1000)</f>
        <v>7.3808014651314906</v>
      </c>
      <c r="O69" s="59">
        <f>'Scen 3 MWh Savings'!O15/('Scen 3 Summer &amp; Winter MW'!O33*1000)</f>
        <v>7.3808014314806627</v>
      </c>
      <c r="P69" s="59">
        <f>'Scen 3 MWh Savings'!P15/('Scen 3 Summer &amp; Winter MW'!P33*1000)</f>
        <v>7.3808014944950324</v>
      </c>
      <c r="Q69" s="59">
        <f>'Scen 3 MWh Savings'!Q15/('Scen 3 Summer &amp; Winter MW'!Q33*1000)</f>
        <v>7.3808014436320972</v>
      </c>
      <c r="R69" s="59">
        <f>'Scen 3 MWh Savings'!R15/('Scen 3 Summer &amp; Winter MW'!R33*1000)</f>
        <v>7.3808014633161925</v>
      </c>
      <c r="S69" s="59">
        <f>'Scen 3 MWh Savings'!S15/('Scen 3 Summer &amp; Winter MW'!S33*1000)</f>
        <v>7.3808014861349767</v>
      </c>
      <c r="T69" s="59">
        <f>'Scen 3 MWh Savings'!T15/('Scen 3 Summer &amp; Winter MW'!T33*1000)</f>
        <v>7.3808014131040114</v>
      </c>
      <c r="U69" s="59">
        <f>'Scen 3 MWh Savings'!U15/('Scen 3 Summer &amp; Winter MW'!U33*1000)</f>
        <v>7.3808014641762512</v>
      </c>
      <c r="V69" s="59">
        <f>'Scen 3 MWh Savings'!V15/('Scen 3 Summer &amp; Winter MW'!V33*1000)</f>
        <v>7.29786514588264</v>
      </c>
    </row>
    <row r="70" spans="1:22">
      <c r="A70" s="2" t="s">
        <v>6</v>
      </c>
      <c r="B70" s="59">
        <f>'Scen 3 MWh Savings'!B16/('Scen 3 Summer &amp; Winter MW'!B34*1000)</f>
        <v>6.9853598689381986</v>
      </c>
      <c r="C70" s="59">
        <f>'Scen 3 MWh Savings'!C16/('Scen 3 Summer &amp; Winter MW'!C34*1000)</f>
        <v>7.1203724170873235</v>
      </c>
      <c r="D70" s="59">
        <f>'Scen 3 MWh Savings'!D16/('Scen 3 Summer &amp; Winter MW'!D34*1000)</f>
        <v>7.2533558264653504</v>
      </c>
      <c r="E70" s="59">
        <f>'Scen 3 MWh Savings'!E16/('Scen 3 Summer &amp; Winter MW'!E34*1000)</f>
        <v>7.1291203724900445</v>
      </c>
      <c r="F70" s="59">
        <f>'Scen 3 MWh Savings'!F16/('Scen 3 Summer &amp; Winter MW'!F34*1000)</f>
        <v>7.2467293768682097</v>
      </c>
      <c r="G70" s="59">
        <f>'Scen 3 MWh Savings'!G16/('Scen 3 Summer &amp; Winter MW'!G34*1000)</f>
        <v>7.3107957479990606</v>
      </c>
      <c r="H70" s="59">
        <f>'Scen 3 MWh Savings'!H16/('Scen 3 Summer &amp; Winter MW'!H34*1000)</f>
        <v>7.3107957470144393</v>
      </c>
      <c r="I70" s="59">
        <f>'Scen 3 MWh Savings'!I16/('Scen 3 Summer &amp; Winter MW'!I34*1000)</f>
        <v>7.3107957487150745</v>
      </c>
      <c r="J70" s="59">
        <f>'Scen 3 MWh Savings'!J16/('Scen 3 Summer &amp; Winter MW'!J34*1000)</f>
        <v>7.3107957459368889</v>
      </c>
      <c r="K70" s="59">
        <f>'Scen 3 MWh Savings'!K16/('Scen 3 Summer &amp; Winter MW'!K34*1000)</f>
        <v>7.3107958072584625</v>
      </c>
      <c r="L70" s="59">
        <f>'Scen 3 MWh Savings'!L16/('Scen 3 Summer &amp; Winter MW'!L34*1000)</f>
        <v>7.3107958028952895</v>
      </c>
      <c r="M70" s="59">
        <f>'Scen 3 MWh Savings'!M16/('Scen 3 Summer &amp; Winter MW'!M34*1000)</f>
        <v>7.310795817748958</v>
      </c>
      <c r="N70" s="59">
        <f>'Scen 3 MWh Savings'!N16/('Scen 3 Summer &amp; Winter MW'!N34*1000)</f>
        <v>7.3107957315761896</v>
      </c>
      <c r="O70" s="59">
        <f>'Scen 3 MWh Savings'!O16/('Scen 3 Summer &amp; Winter MW'!O34*1000)</f>
        <v>7.3107957230830083</v>
      </c>
      <c r="P70" s="59">
        <f>'Scen 3 MWh Savings'!P16/('Scen 3 Summer &amp; Winter MW'!P34*1000)</f>
        <v>7.3107957341746257</v>
      </c>
      <c r="Q70" s="59">
        <f>'Scen 3 MWh Savings'!Q16/('Scen 3 Summer &amp; Winter MW'!Q34*1000)</f>
        <v>7.310795750317773</v>
      </c>
      <c r="R70" s="59">
        <f>'Scen 3 MWh Savings'!R16/('Scen 3 Summer &amp; Winter MW'!R34*1000)</f>
        <v>7.3107958102169128</v>
      </c>
      <c r="S70" s="59">
        <f>'Scen 3 MWh Savings'!S16/('Scen 3 Summer &amp; Winter MW'!S34*1000)</f>
        <v>7.3107957224079581</v>
      </c>
      <c r="T70" s="59">
        <f>'Scen 3 MWh Savings'!T16/('Scen 3 Summer &amp; Winter MW'!T34*1000)</f>
        <v>7.3107957474746046</v>
      </c>
      <c r="U70" s="59">
        <f>'Scen 3 MWh Savings'!U16/('Scen 3 Summer &amp; Winter MW'!U34*1000)</f>
        <v>7.3107957407845561</v>
      </c>
      <c r="V70" s="59">
        <f>'Scen 3 MWh Savings'!V16/('Scen 3 Summer &amp; Winter MW'!V34*1000)</f>
        <v>7.2545026013575553</v>
      </c>
    </row>
    <row r="71" spans="1:22">
      <c r="A71" s="2" t="s">
        <v>5</v>
      </c>
      <c r="B71" s="61">
        <f>'Scen 3 MWh Savings'!B17/('Scen 3 Summer &amp; Winter MW'!B35*1000)</f>
        <v>6.7954775058867734</v>
      </c>
      <c r="C71" s="61">
        <f>'Scen 3 MWh Savings'!C17/('Scen 3 Summer &amp; Winter MW'!C35*1000)</f>
        <v>6.6283404575997995</v>
      </c>
      <c r="D71" s="61">
        <f>'Scen 3 MWh Savings'!D17/('Scen 3 Summer &amp; Winter MW'!D35*1000)</f>
        <v>6.5771895307297186</v>
      </c>
      <c r="E71" s="61">
        <f>'Scen 3 MWh Savings'!E17/('Scen 3 Summer &amp; Winter MW'!E35*1000)</f>
        <v>6.5879291558820947</v>
      </c>
      <c r="F71" s="61">
        <f>'Scen 3 MWh Savings'!F17/('Scen 3 Summer &amp; Winter MW'!F35*1000)</f>
        <v>6.5086478252672277</v>
      </c>
      <c r="G71" s="61">
        <f>'Scen 3 MWh Savings'!G17/('Scen 3 Summer &amp; Winter MW'!G35*1000)</f>
        <v>6.5279125845137491</v>
      </c>
      <c r="H71" s="61">
        <f>'Scen 3 MWh Savings'!H17/('Scen 3 Summer &amp; Winter MW'!H35*1000)</f>
        <v>6.5239056017187913</v>
      </c>
      <c r="I71" s="61">
        <f>'Scen 3 MWh Savings'!I17/('Scen 3 Summer &amp; Winter MW'!I35*1000)</f>
        <v>6.5198303003256424</v>
      </c>
      <c r="J71" s="61">
        <f>'Scen 3 MWh Savings'!J17/('Scen 3 Summer &amp; Winter MW'!J35*1000)</f>
        <v>6.5155642057406347</v>
      </c>
      <c r="K71" s="61">
        <f>'Scen 3 MWh Savings'!K17/('Scen 3 Summer &amp; Winter MW'!K35*1000)</f>
        <v>6.5104522801145208</v>
      </c>
      <c r="L71" s="61">
        <f>'Scen 3 MWh Savings'!L17/('Scen 3 Summer &amp; Winter MW'!L35*1000)</f>
        <v>6.5046988282919385</v>
      </c>
      <c r="M71" s="61">
        <f>'Scen 3 MWh Savings'!M17/('Scen 3 Summer &amp; Winter MW'!M35*1000)</f>
        <v>6.498379775656618</v>
      </c>
      <c r="N71" s="61">
        <f>'Scen 3 MWh Savings'!N17/('Scen 3 Summer &amp; Winter MW'!N35*1000)</f>
        <v>6.4907014755892893</v>
      </c>
      <c r="O71" s="61">
        <f>'Scen 3 MWh Savings'!O17/('Scen 3 Summer &amp; Winter MW'!O35*1000)</f>
        <v>6.4829691876228894</v>
      </c>
      <c r="P71" s="61">
        <f>'Scen 3 MWh Savings'!P17/('Scen 3 Summer &amp; Winter MW'!P35*1000)</f>
        <v>6.47436087740902</v>
      </c>
      <c r="Q71" s="61">
        <f>'Scen 3 MWh Savings'!Q17/('Scen 3 Summer &amp; Winter MW'!Q35*1000)</f>
        <v>6.4652002359819365</v>
      </c>
      <c r="R71" s="61">
        <f>'Scen 3 MWh Savings'!R17/('Scen 3 Summer &amp; Winter MW'!R35*1000)</f>
        <v>6.4553975535993553</v>
      </c>
      <c r="S71" s="61">
        <f>'Scen 3 MWh Savings'!S17/('Scen 3 Summer &amp; Winter MW'!S35*1000)</f>
        <v>6.4452544028723118</v>
      </c>
      <c r="T71" s="61">
        <f>'Scen 3 MWh Savings'!T17/('Scen 3 Summer &amp; Winter MW'!T35*1000)</f>
        <v>6.4343434690779295</v>
      </c>
      <c r="U71" s="61">
        <f>'Scen 3 MWh Savings'!U17/('Scen 3 Summer &amp; Winter MW'!U35*1000)</f>
        <v>6.4227233770208008</v>
      </c>
      <c r="V71" s="61">
        <f>'Scen 3 MWh Savings'!V17/('Scen 3 Summer &amp; Winter MW'!V35*1000)</f>
        <v>6.5127949028164345</v>
      </c>
    </row>
    <row r="72" spans="1:22">
      <c r="A72" s="8" t="s">
        <v>16</v>
      </c>
      <c r="B72" s="60">
        <f>'Scen 3 MWh Savings'!B18/('Scen 3 Summer &amp; Winter MW'!B36*1000)</f>
        <v>6.8699582470914269</v>
      </c>
      <c r="C72" s="60">
        <f>'Scen 3 MWh Savings'!C18/('Scen 3 Summer &amp; Winter MW'!C36*1000)</f>
        <v>6.8416541223078999</v>
      </c>
      <c r="D72" s="60">
        <f>'Scen 3 MWh Savings'!D18/('Scen 3 Summer &amp; Winter MW'!D36*1000)</f>
        <v>6.8592731631199033</v>
      </c>
      <c r="E72" s="60">
        <f>'Scen 3 MWh Savings'!E18/('Scen 3 Summer &amp; Winter MW'!E36*1000)</f>
        <v>6.796097572473391</v>
      </c>
      <c r="F72" s="60">
        <f>'Scen 3 MWh Savings'!F18/('Scen 3 Summer &amp; Winter MW'!F36*1000)</f>
        <v>6.7710763312808444</v>
      </c>
      <c r="G72" s="60">
        <f>'Scen 3 MWh Savings'!G18/('Scen 3 Summer &amp; Winter MW'!G36*1000)</f>
        <v>6.8037254916867331</v>
      </c>
      <c r="H72" s="60">
        <f>'Scen 3 MWh Savings'!H18/('Scen 3 Summer &amp; Winter MW'!H36*1000)</f>
        <v>6.7927658113978246</v>
      </c>
      <c r="I72" s="60">
        <f>'Scen 3 MWh Savings'!I18/('Scen 3 Summer &amp; Winter MW'!I36*1000)</f>
        <v>6.780724643924481</v>
      </c>
      <c r="J72" s="60">
        <f>'Scen 3 MWh Savings'!J18/('Scen 3 Summer &amp; Winter MW'!J36*1000)</f>
        <v>6.7668875199185576</v>
      </c>
      <c r="K72" s="60">
        <f>'Scen 3 MWh Savings'!K18/('Scen 3 Summer &amp; Winter MW'!K36*1000)</f>
        <v>6.7571984754957555</v>
      </c>
      <c r="L72" s="60">
        <f>'Scen 3 MWh Savings'!L18/('Scen 3 Summer &amp; Winter MW'!L36*1000)</f>
        <v>6.7484450023128026</v>
      </c>
      <c r="M72" s="60">
        <f>'Scen 3 MWh Savings'!M18/('Scen 3 Summer &amp; Winter MW'!M36*1000)</f>
        <v>6.7395630591911839</v>
      </c>
      <c r="N72" s="60">
        <f>'Scen 3 MWh Savings'!N18/('Scen 3 Summer &amp; Winter MW'!N36*1000)</f>
        <v>6.7350010356857295</v>
      </c>
      <c r="O72" s="60">
        <f>'Scen 3 MWh Savings'!O18/('Scen 3 Summer &amp; Winter MW'!O36*1000)</f>
        <v>6.725888400532595</v>
      </c>
      <c r="P72" s="60">
        <f>'Scen 3 MWh Savings'!P18/('Scen 3 Summer &amp; Winter MW'!P36*1000)</f>
        <v>6.7169752209213529</v>
      </c>
      <c r="Q72" s="60">
        <f>'Scen 3 MWh Savings'!Q18/('Scen 3 Summer &amp; Winter MW'!Q36*1000)</f>
        <v>6.706817982632403</v>
      </c>
      <c r="R72" s="60">
        <f>'Scen 3 MWh Savings'!R18/('Scen 3 Summer &amp; Winter MW'!R36*1000)</f>
        <v>6.695162745861019</v>
      </c>
      <c r="S72" s="60">
        <f>'Scen 3 MWh Savings'!S18/('Scen 3 Summer &amp; Winter MW'!S36*1000)</f>
        <v>6.6805663136141122</v>
      </c>
      <c r="T72" s="60">
        <f>'Scen 3 MWh Savings'!T18/('Scen 3 Summer &amp; Winter MW'!T36*1000)</f>
        <v>6.6647093462679781</v>
      </c>
      <c r="U72" s="60">
        <f>'Scen 3 MWh Savings'!U18/('Scen 3 Summer &amp; Winter MW'!U36*1000)</f>
        <v>6.6476395839759386</v>
      </c>
      <c r="V72" s="60">
        <f>'Scen 3 MWh Savings'!V18/('Scen 3 Summer &amp; Winter MW'!V36*1000)</f>
        <v>6.7574647138677593</v>
      </c>
    </row>
    <row r="73" spans="1:22">
      <c r="A73" s="8"/>
    </row>
    <row r="74" spans="1:22">
      <c r="A74" s="3" t="s">
        <v>4</v>
      </c>
      <c r="B74" s="60">
        <f>'Scen 3 MWh Savings'!B20/('Scen 3 Summer &amp; Winter MW'!B38*1000)</f>
        <v>6.1419877446802724</v>
      </c>
      <c r="C74" s="60">
        <f>'Scen 3 MWh Savings'!C20/('Scen 3 Summer &amp; Winter MW'!C38*1000)</f>
        <v>6.1745685892518223</v>
      </c>
      <c r="D74" s="60">
        <f>'Scen 3 MWh Savings'!D20/('Scen 3 Summer &amp; Winter MW'!D38*1000)</f>
        <v>6.2320876062684611</v>
      </c>
      <c r="E74" s="60">
        <f>'Scen 3 MWh Savings'!E20/('Scen 3 Summer &amp; Winter MW'!E38*1000)</f>
        <v>5.7040708773646784</v>
      </c>
      <c r="F74" s="60">
        <f>'Scen 3 MWh Savings'!F20/('Scen 3 Summer &amp; Winter MW'!F38*1000)</f>
        <v>5.6643800396085293</v>
      </c>
      <c r="G74" s="60">
        <f>'Scen 3 MWh Savings'!G20/('Scen 3 Summer &amp; Winter MW'!G38*1000)</f>
        <v>6.2325831874966875</v>
      </c>
      <c r="H74" s="60">
        <f>'Scen 3 MWh Savings'!H20/('Scen 3 Summer &amp; Winter MW'!H38*1000)</f>
        <v>6.0514501101028104</v>
      </c>
      <c r="I74" s="60">
        <f>'Scen 3 MWh Savings'!I20/('Scen 3 Summer &amp; Winter MW'!I38*1000)</f>
        <v>6.1776370653352588</v>
      </c>
      <c r="J74" s="60">
        <f>'Scen 3 MWh Savings'!J20/('Scen 3 Summer &amp; Winter MW'!J38*1000)</f>
        <v>6.3703300848163273</v>
      </c>
      <c r="K74" s="60">
        <f>'Scen 3 MWh Savings'!K20/('Scen 3 Summer &amp; Winter MW'!K38*1000)</f>
        <v>6.4278109166551163</v>
      </c>
      <c r="L74" s="60">
        <f>'Scen 3 MWh Savings'!L20/('Scen 3 Summer &amp; Winter MW'!L38*1000)</f>
        <v>6.4951611407595271</v>
      </c>
      <c r="M74" s="60">
        <f>'Scen 3 MWh Savings'!M20/('Scen 3 Summer &amp; Winter MW'!M38*1000)</f>
        <v>6.4892213392490055</v>
      </c>
      <c r="N74" s="60">
        <f>'Scen 3 MWh Savings'!N20/('Scen 3 Summer &amp; Winter MW'!N38*1000)</f>
        <v>6.4845843117184421</v>
      </c>
      <c r="O74" s="60">
        <f>'Scen 3 MWh Savings'!O20/('Scen 3 Summer &amp; Winter MW'!O38*1000)</f>
        <v>6.4745038131951045</v>
      </c>
      <c r="P74" s="60">
        <f>'Scen 3 MWh Savings'!P20/('Scen 3 Summer &amp; Winter MW'!P38*1000)</f>
        <v>6.4568917207437435</v>
      </c>
      <c r="Q74" s="60">
        <f>'Scen 3 MWh Savings'!Q20/('Scen 3 Summer &amp; Winter MW'!Q38*1000)</f>
        <v>6.456266029384456</v>
      </c>
      <c r="R74" s="60">
        <f>'Scen 3 MWh Savings'!R20/('Scen 3 Summer &amp; Winter MW'!R38*1000)</f>
        <v>6.4588181168630348</v>
      </c>
      <c r="S74" s="60">
        <f>'Scen 3 MWh Savings'!S20/('Scen 3 Summer &amp; Winter MW'!S38*1000)</f>
        <v>6.4450536532595084</v>
      </c>
      <c r="T74" s="60">
        <f>'Scen 3 MWh Savings'!T20/('Scen 3 Summer &amp; Winter MW'!T38*1000)</f>
        <v>6.4222674176218222</v>
      </c>
      <c r="U74" s="60">
        <f>'Scen 3 MWh Savings'!U20/('Scen 3 Summer &amp; Winter MW'!U38*1000)</f>
        <v>6.4063570446148441</v>
      </c>
      <c r="V74" s="60">
        <f>'Scen 3 MWh Savings'!V20/('Scen 3 Summer &amp; Winter MW'!V38*1000)</f>
        <v>6.2619835819349081</v>
      </c>
    </row>
    <row r="75" spans="1:22">
      <c r="A75" s="1"/>
    </row>
    <row r="76" spans="1:22">
      <c r="A76" s="1"/>
    </row>
    <row r="77" spans="1:22" ht="15.75">
      <c r="A77" s="68" t="s">
        <v>31</v>
      </c>
      <c r="B77" s="69"/>
      <c r="C77" s="69"/>
      <c r="D77" s="69"/>
      <c r="E77" s="69"/>
      <c r="F77" s="69"/>
      <c r="G77" s="69"/>
      <c r="H77" s="69"/>
      <c r="I77" s="69"/>
      <c r="J77" s="69"/>
      <c r="K77" s="69"/>
      <c r="L77" s="69"/>
      <c r="M77" s="69"/>
      <c r="N77" s="69"/>
      <c r="O77" s="69"/>
      <c r="P77" s="69"/>
      <c r="Q77" s="69"/>
      <c r="R77" s="69"/>
      <c r="S77" s="69"/>
      <c r="T77" s="69"/>
      <c r="U77" s="69"/>
      <c r="V77" s="69"/>
    </row>
    <row r="78" spans="1:22">
      <c r="A78" s="62" t="s">
        <v>27</v>
      </c>
      <c r="B78" s="6">
        <v>2015</v>
      </c>
      <c r="C78" s="6">
        <f>B78+1</f>
        <v>2016</v>
      </c>
      <c r="D78" s="6">
        <f t="shared" ref="D78:U78" si="4">C78+1</f>
        <v>2017</v>
      </c>
      <c r="E78" s="6">
        <f t="shared" si="4"/>
        <v>2018</v>
      </c>
      <c r="F78" s="6">
        <f t="shared" si="4"/>
        <v>2019</v>
      </c>
      <c r="G78" s="6">
        <f t="shared" si="4"/>
        <v>2020</v>
      </c>
      <c r="H78" s="6">
        <f t="shared" si="4"/>
        <v>2021</v>
      </c>
      <c r="I78" s="6">
        <f t="shared" si="4"/>
        <v>2022</v>
      </c>
      <c r="J78" s="6">
        <f t="shared" si="4"/>
        <v>2023</v>
      </c>
      <c r="K78" s="6">
        <f t="shared" si="4"/>
        <v>2024</v>
      </c>
      <c r="L78" s="6">
        <f t="shared" si="4"/>
        <v>2025</v>
      </c>
      <c r="M78" s="6">
        <f t="shared" si="4"/>
        <v>2026</v>
      </c>
      <c r="N78" s="6">
        <f t="shared" si="4"/>
        <v>2027</v>
      </c>
      <c r="O78" s="6">
        <f t="shared" si="4"/>
        <v>2028</v>
      </c>
      <c r="P78" s="6">
        <f t="shared" si="4"/>
        <v>2029</v>
      </c>
      <c r="Q78" s="6">
        <f t="shared" si="4"/>
        <v>2030</v>
      </c>
      <c r="R78" s="6">
        <f t="shared" si="4"/>
        <v>2031</v>
      </c>
      <c r="S78" s="6">
        <f t="shared" si="4"/>
        <v>2032</v>
      </c>
      <c r="T78" s="6">
        <f t="shared" si="4"/>
        <v>2033</v>
      </c>
      <c r="U78" s="6">
        <f t="shared" si="4"/>
        <v>2034</v>
      </c>
      <c r="V78" s="6" t="s">
        <v>14</v>
      </c>
    </row>
    <row r="79" spans="1:22">
      <c r="A79" s="3" t="s">
        <v>2</v>
      </c>
      <c r="B79" s="54">
        <f>'Scen 3 Budgets'!B60/'Scen 3 MWh Savings'!B24</f>
        <v>56.103771710454524</v>
      </c>
      <c r="C79" s="54">
        <f>'Scen 3 Budgets'!C60/'Scen 3 MWh Savings'!C24</f>
        <v>55.91984228134929</v>
      </c>
      <c r="D79" s="54">
        <f>'Scen 3 Budgets'!D60/'Scen 3 MWh Savings'!D24</f>
        <v>55.592133495602802</v>
      </c>
      <c r="E79" s="54">
        <f>'Scen 3 Budgets'!E60/'Scen 3 MWh Savings'!E24</f>
        <v>55.234509987465678</v>
      </c>
      <c r="F79" s="54">
        <f>'Scen 3 Budgets'!F60/'Scen 3 MWh Savings'!F24</f>
        <v>54.569559310490099</v>
      </c>
      <c r="G79" s="54">
        <f>'Scen 3 Budgets'!G60/'Scen 3 MWh Savings'!G24</f>
        <v>53.573546499616619</v>
      </c>
      <c r="H79" s="54">
        <f>'Scen 3 Budgets'!H60/'Scen 3 MWh Savings'!H24</f>
        <v>52.635408396527211</v>
      </c>
      <c r="I79" s="54">
        <f>'Scen 3 Budgets'!I60/'Scen 3 MWh Savings'!I24</f>
        <v>51.441251814304856</v>
      </c>
      <c r="J79" s="54">
        <f>'Scen 3 Budgets'!J60/'Scen 3 MWh Savings'!J24</f>
        <v>50.311998843205622</v>
      </c>
      <c r="K79" s="54">
        <f>'Scen 3 Budgets'!K60/'Scen 3 MWh Savings'!K24</f>
        <v>50.061358577997936</v>
      </c>
      <c r="L79" s="54">
        <f>'Scen 3 Budgets'!L60/'Scen 3 MWh Savings'!L24</f>
        <v>49.544359173880338</v>
      </c>
      <c r="M79" s="54">
        <f>'Scen 3 Budgets'!M60/'Scen 3 MWh Savings'!M24</f>
        <v>49.099567485366222</v>
      </c>
      <c r="N79" s="54">
        <f>'Scen 3 Budgets'!N60/'Scen 3 MWh Savings'!N24</f>
        <v>48.626540172802166</v>
      </c>
      <c r="O79" s="54">
        <f>'Scen 3 Budgets'!O60/'Scen 3 MWh Savings'!O24</f>
        <v>48.161469061346729</v>
      </c>
      <c r="P79" s="54">
        <f>'Scen 3 Budgets'!P60/'Scen 3 MWh Savings'!P24</f>
        <v>47.695864268599806</v>
      </c>
      <c r="Q79" s="54">
        <f>'Scen 3 Budgets'!Q60/'Scen 3 MWh Savings'!Q24</f>
        <v>47.258359683957558</v>
      </c>
      <c r="R79" s="54">
        <f>'Scen 3 Budgets'!R60/'Scen 3 MWh Savings'!R24</f>
        <v>46.830986834240761</v>
      </c>
      <c r="S79" s="54">
        <f>'Scen 3 Budgets'!S60/'Scen 3 MWh Savings'!S24</f>
        <v>46.406656024014964</v>
      </c>
      <c r="T79" s="54">
        <f>'Scen 3 Budgets'!T60/'Scen 3 MWh Savings'!T24</f>
        <v>46.007670097169786</v>
      </c>
      <c r="U79" s="54">
        <f>'Scen 3 Budgets'!U60/'Scen 3 MWh Savings'!U24</f>
        <v>45.531464790208013</v>
      </c>
      <c r="V79" s="54">
        <f>'Scen 3 Budgets'!V60/'Scen 3 MWh Savings'!V24</f>
        <v>50.406021108405525</v>
      </c>
    </row>
    <row r="80" spans="1:22">
      <c r="A80" s="3" t="s">
        <v>3</v>
      </c>
      <c r="B80" s="54">
        <f>'Scen 3 Budgets'!B61/'Scen 3 MWh Savings'!B25</f>
        <v>114.79559202151181</v>
      </c>
      <c r="C80" s="54">
        <f>'Scen 3 Budgets'!C61/'Scen 3 MWh Savings'!C25</f>
        <v>116.2419535011266</v>
      </c>
      <c r="D80" s="54">
        <f>'Scen 3 Budgets'!D61/'Scen 3 MWh Savings'!D25</f>
        <v>120.29740160119765</v>
      </c>
      <c r="E80" s="54">
        <f>'Scen 3 Budgets'!E61/'Scen 3 MWh Savings'!E25</f>
        <v>124.05407873511334</v>
      </c>
      <c r="F80" s="54">
        <f>'Scen 3 Budgets'!F61/'Scen 3 MWh Savings'!F25</f>
        <v>127.63949286031176</v>
      </c>
      <c r="G80" s="54">
        <f>'Scen 3 Budgets'!G61/'Scen 3 MWh Savings'!G25</f>
        <v>131.65210249109299</v>
      </c>
      <c r="H80" s="54">
        <f>'Scen 3 Budgets'!H61/'Scen 3 MWh Savings'!H25</f>
        <v>134.11056936807603</v>
      </c>
      <c r="I80" s="54">
        <f>'Scen 3 Budgets'!I61/'Scen 3 MWh Savings'!I25</f>
        <v>136.60672568691527</v>
      </c>
      <c r="J80" s="54">
        <f>'Scen 3 Budgets'!J61/'Scen 3 MWh Savings'!J25</f>
        <v>138.95749434504449</v>
      </c>
      <c r="K80" s="54">
        <f>'Scen 3 Budgets'!K61/'Scen 3 MWh Savings'!K25</f>
        <v>141.32100625206115</v>
      </c>
      <c r="L80" s="54">
        <f>'Scen 3 Budgets'!L61/'Scen 3 MWh Savings'!L25</f>
        <v>143.72630909560044</v>
      </c>
      <c r="M80" s="54">
        <f>'Scen 3 Budgets'!M61/'Scen 3 MWh Savings'!M25</f>
        <v>146.25102503790529</v>
      </c>
      <c r="N80" s="54">
        <f>'Scen 3 Budgets'!N61/'Scen 3 MWh Savings'!N25</f>
        <v>148.88535124135956</v>
      </c>
      <c r="O80" s="54">
        <f>'Scen 3 Budgets'!O61/'Scen 3 MWh Savings'!O25</f>
        <v>151.58383963207896</v>
      </c>
      <c r="P80" s="54">
        <f>'Scen 3 Budgets'!P61/'Scen 3 MWh Savings'!P25</f>
        <v>154.38203482715366</v>
      </c>
      <c r="Q80" s="54">
        <f>'Scen 3 Budgets'!Q61/'Scen 3 MWh Savings'!Q25</f>
        <v>157.17966770693553</v>
      </c>
      <c r="R80" s="54">
        <f>'Scen 3 Budgets'!R61/'Scen 3 MWh Savings'!R25</f>
        <v>159.85707727862419</v>
      </c>
      <c r="S80" s="54">
        <f>'Scen 3 Budgets'!S61/'Scen 3 MWh Savings'!S25</f>
        <v>162.59837754757214</v>
      </c>
      <c r="T80" s="54">
        <f>'Scen 3 Budgets'!T61/'Scen 3 MWh Savings'!T25</f>
        <v>165.42122409067304</v>
      </c>
      <c r="U80" s="54">
        <f>'Scen 3 Budgets'!U61/'Scen 3 MWh Savings'!U25</f>
        <v>168.32417139428262</v>
      </c>
      <c r="V80" s="54">
        <f>'Scen 3 Budgets'!V61/'Scen 3 MWh Savings'!V25</f>
        <v>147.7512637606211</v>
      </c>
    </row>
    <row r="81" spans="1:22">
      <c r="A81" s="3" t="s">
        <v>4</v>
      </c>
      <c r="B81" s="56">
        <f>'Scen 3 Budgets'!B62/'Scen 3 MWh Savings'!B26</f>
        <v>63.680950342532633</v>
      </c>
      <c r="C81" s="56">
        <f>'Scen 3 Budgets'!C62/'Scen 3 MWh Savings'!C26</f>
        <v>69.659298876326318</v>
      </c>
      <c r="D81" s="56">
        <f>'Scen 3 Budgets'!D62/'Scen 3 MWh Savings'!D26</f>
        <v>75.403826872509399</v>
      </c>
      <c r="E81" s="56">
        <f>'Scen 3 Budgets'!E62/'Scen 3 MWh Savings'!E26</f>
        <v>80.744321517045776</v>
      </c>
      <c r="F81" s="56">
        <f>'Scen 3 Budgets'!F62/'Scen 3 MWh Savings'!F26</f>
        <v>84.391154335439296</v>
      </c>
      <c r="G81" s="56">
        <f>'Scen 3 Budgets'!G62/'Scen 3 MWh Savings'!G26</f>
        <v>85.823325484104743</v>
      </c>
      <c r="H81" s="56">
        <f>'Scen 3 Budgets'!H62/'Scen 3 MWh Savings'!H26</f>
        <v>86.558034708053071</v>
      </c>
      <c r="I81" s="56">
        <f>'Scen 3 Budgets'!I62/'Scen 3 MWh Savings'!I26</f>
        <v>87.043307850501407</v>
      </c>
      <c r="J81" s="56">
        <f>'Scen 3 Budgets'!J62/'Scen 3 MWh Savings'!J26</f>
        <v>87.561640518025143</v>
      </c>
      <c r="K81" s="56">
        <f>'Scen 3 Budgets'!K62/'Scen 3 MWh Savings'!K26</f>
        <v>89.010978356735365</v>
      </c>
      <c r="L81" s="56">
        <f>'Scen 3 Budgets'!L62/'Scen 3 MWh Savings'!L26</f>
        <v>90.301596100612031</v>
      </c>
      <c r="M81" s="56">
        <f>'Scen 3 Budgets'!M62/'Scen 3 MWh Savings'!M26</f>
        <v>91.991040270748343</v>
      </c>
      <c r="N81" s="56">
        <f>'Scen 3 Budgets'!N62/'Scen 3 MWh Savings'!N26</f>
        <v>94.145320775923139</v>
      </c>
      <c r="O81" s="56">
        <f>'Scen 3 Budgets'!O62/'Scen 3 MWh Savings'!O26</f>
        <v>97.436021364378547</v>
      </c>
      <c r="P81" s="56">
        <f>'Scen 3 Budgets'!P62/'Scen 3 MWh Savings'!P26</f>
        <v>100.33102309539541</v>
      </c>
      <c r="Q81" s="56">
        <f>'Scen 3 Budgets'!Q62/'Scen 3 MWh Savings'!Q26</f>
        <v>102.3825362515614</v>
      </c>
      <c r="R81" s="56">
        <f>'Scen 3 Budgets'!R62/'Scen 3 MWh Savings'!R26</f>
        <v>105.20229670979818</v>
      </c>
      <c r="S81" s="56">
        <f>'Scen 3 Budgets'!S62/'Scen 3 MWh Savings'!S26</f>
        <v>108.21107673425848</v>
      </c>
      <c r="T81" s="56">
        <f>'Scen 3 Budgets'!T62/'Scen 3 MWh Savings'!T26</f>
        <v>111.9060858468994</v>
      </c>
      <c r="U81" s="56">
        <f>'Scen 3 Budgets'!U62/'Scen 3 MWh Savings'!U26</f>
        <v>115.16185582727513</v>
      </c>
      <c r="V81" s="56">
        <f>'Scen 3 Budgets'!V62/'Scen 3 MWh Savings'!V26</f>
        <v>93.574311879983966</v>
      </c>
    </row>
    <row r="82" spans="1:22">
      <c r="A82" s="1"/>
    </row>
    <row r="83" spans="1:22">
      <c r="A83" s="62" t="s">
        <v>28</v>
      </c>
      <c r="B83" s="6"/>
      <c r="C83" s="6"/>
      <c r="D83" s="6"/>
      <c r="E83" s="6"/>
      <c r="F83" s="6"/>
      <c r="G83" s="6"/>
      <c r="H83" s="6"/>
      <c r="I83" s="6"/>
      <c r="J83" s="6"/>
      <c r="K83" s="6"/>
      <c r="L83" s="6"/>
      <c r="M83" s="6"/>
      <c r="N83" s="6"/>
      <c r="O83" s="6"/>
      <c r="P83" s="6"/>
      <c r="Q83" s="6"/>
      <c r="R83" s="6"/>
      <c r="S83" s="6"/>
      <c r="T83" s="6"/>
      <c r="U83" s="6"/>
      <c r="V83" s="6"/>
    </row>
    <row r="84" spans="1:22">
      <c r="A84" s="3" t="s">
        <v>2</v>
      </c>
      <c r="B84" s="54">
        <f>'Scen 3 Budgets'!B70/'Scen 3 MWh Savings'!B24</f>
        <v>112.20754342090905</v>
      </c>
      <c r="C84" s="54">
        <f>'Scen 3 Budgets'!C70/'Scen 3 MWh Savings'!C24</f>
        <v>111.83968456269858</v>
      </c>
      <c r="D84" s="54">
        <f>'Scen 3 Budgets'!D70/'Scen 3 MWh Savings'!D24</f>
        <v>111.1842669912056</v>
      </c>
      <c r="E84" s="54">
        <f>'Scen 3 Budgets'!E70/'Scen 3 MWh Savings'!E24</f>
        <v>110.46901997493136</v>
      </c>
      <c r="F84" s="54">
        <f>'Scen 3 Budgets'!F70/'Scen 3 MWh Savings'!F24</f>
        <v>109.1391186209802</v>
      </c>
      <c r="G84" s="54">
        <f>'Scen 3 Budgets'!G70/'Scen 3 MWh Savings'!G24</f>
        <v>107.14709299923324</v>
      </c>
      <c r="H84" s="54">
        <f>'Scen 3 Budgets'!H70/'Scen 3 MWh Savings'!H24</f>
        <v>105.27081679305442</v>
      </c>
      <c r="I84" s="54">
        <f>'Scen 3 Budgets'!I70/'Scen 3 MWh Savings'!I24</f>
        <v>102.88250362860971</v>
      </c>
      <c r="J84" s="54">
        <f>'Scen 3 Budgets'!J70/'Scen 3 MWh Savings'!J24</f>
        <v>100.62399768641124</v>
      </c>
      <c r="K84" s="54">
        <f>'Scen 3 Budgets'!K70/'Scen 3 MWh Savings'!K24</f>
        <v>100.12271715599587</v>
      </c>
      <c r="L84" s="54">
        <f>'Scen 3 Budgets'!L70/'Scen 3 MWh Savings'!L24</f>
        <v>99.088718347760675</v>
      </c>
      <c r="M84" s="54">
        <f>'Scen 3 Budgets'!M70/'Scen 3 MWh Savings'!M24</f>
        <v>98.199134970732445</v>
      </c>
      <c r="N84" s="54">
        <f>'Scen 3 Budgets'!N70/'Scen 3 MWh Savings'!N24</f>
        <v>97.253080345604332</v>
      </c>
      <c r="O84" s="54">
        <f>'Scen 3 Budgets'!O70/'Scen 3 MWh Savings'!O24</f>
        <v>96.322938122693458</v>
      </c>
      <c r="P84" s="54">
        <f>'Scen 3 Budgets'!P70/'Scen 3 MWh Savings'!P24</f>
        <v>95.391728537199612</v>
      </c>
      <c r="Q84" s="54">
        <f>'Scen 3 Budgets'!Q70/'Scen 3 MWh Savings'!Q24</f>
        <v>94.516719367915115</v>
      </c>
      <c r="R84" s="54">
        <f>'Scen 3 Budgets'!R70/'Scen 3 MWh Savings'!R24</f>
        <v>93.661973668481522</v>
      </c>
      <c r="S84" s="54">
        <f>'Scen 3 Budgets'!S70/'Scen 3 MWh Savings'!S24</f>
        <v>92.813312048029928</v>
      </c>
      <c r="T84" s="54">
        <f>'Scen 3 Budgets'!T70/'Scen 3 MWh Savings'!T24</f>
        <v>92.015340194339572</v>
      </c>
      <c r="U84" s="54">
        <f>'Scen 3 Budgets'!U70/'Scen 3 MWh Savings'!U24</f>
        <v>91.062929580416025</v>
      </c>
      <c r="V84" s="54">
        <f>'Scen 3 Budgets'!V70/'Scen 3 MWh Savings'!V24</f>
        <v>100.81204221681105</v>
      </c>
    </row>
    <row r="85" spans="1:22">
      <c r="A85" s="3" t="s">
        <v>3</v>
      </c>
      <c r="B85" s="54">
        <f>'Scen 3 Budgets'!B71/'Scen 3 MWh Savings'!B25</f>
        <v>264.0298616494772</v>
      </c>
      <c r="C85" s="54">
        <f>'Scen 3 Budgets'!C71/'Scen 3 MWh Savings'!C25</f>
        <v>267.35649305259119</v>
      </c>
      <c r="D85" s="54">
        <f>'Scen 3 Budgets'!D71/'Scen 3 MWh Savings'!D25</f>
        <v>276.68402368275463</v>
      </c>
      <c r="E85" s="54">
        <f>'Scen 3 Budgets'!E71/'Scen 3 MWh Savings'!E25</f>
        <v>285.32438109076065</v>
      </c>
      <c r="F85" s="54">
        <f>'Scen 3 Budgets'!F71/'Scen 3 MWh Savings'!F25</f>
        <v>293.57083357871704</v>
      </c>
      <c r="G85" s="54">
        <f>'Scen 3 Budgets'!G71/'Scen 3 MWh Savings'!G25</f>
        <v>302.79983572951386</v>
      </c>
      <c r="H85" s="54">
        <f>'Scen 3 Budgets'!H71/'Scen 3 MWh Savings'!H25</f>
        <v>308.45430954657485</v>
      </c>
      <c r="I85" s="54">
        <f>'Scen 3 Budgets'!I71/'Scen 3 MWh Savings'!I25</f>
        <v>314.19546907990514</v>
      </c>
      <c r="J85" s="54">
        <f>'Scen 3 Budgets'!J71/'Scen 3 MWh Savings'!J25</f>
        <v>319.60223699360233</v>
      </c>
      <c r="K85" s="54">
        <f>'Scen 3 Budgets'!K71/'Scen 3 MWh Savings'!K25</f>
        <v>325.03831437974065</v>
      </c>
      <c r="L85" s="54">
        <f>'Scen 3 Budgets'!L71/'Scen 3 MWh Savings'!L25</f>
        <v>330.57051091988103</v>
      </c>
      <c r="M85" s="54">
        <f>'Scen 3 Budgets'!M71/'Scen 3 MWh Savings'!M25</f>
        <v>336.37735758718213</v>
      </c>
      <c r="N85" s="54">
        <f>'Scen 3 Budgets'!N71/'Scen 3 MWh Savings'!N25</f>
        <v>342.43630785512698</v>
      </c>
      <c r="O85" s="54">
        <f>'Scen 3 Budgets'!O71/'Scen 3 MWh Savings'!O25</f>
        <v>348.64283115378163</v>
      </c>
      <c r="P85" s="54">
        <f>'Scen 3 Budgets'!P71/'Scen 3 MWh Savings'!P25</f>
        <v>355.07868010245346</v>
      </c>
      <c r="Q85" s="54">
        <f>'Scen 3 Budgets'!Q71/'Scen 3 MWh Savings'!Q25</f>
        <v>361.51323572595174</v>
      </c>
      <c r="R85" s="54">
        <f>'Scen 3 Budgets'!R71/'Scen 3 MWh Savings'!R25</f>
        <v>367.67127774083565</v>
      </c>
      <c r="S85" s="54">
        <f>'Scen 3 Budgets'!S71/'Scen 3 MWh Savings'!S25</f>
        <v>373.97626835941588</v>
      </c>
      <c r="T85" s="54">
        <f>'Scen 3 Budgets'!T71/'Scen 3 MWh Savings'!T25</f>
        <v>380.46881540854798</v>
      </c>
      <c r="U85" s="54">
        <f>'Scen 3 Budgets'!U71/'Scen 3 MWh Savings'!U25</f>
        <v>387.14559420684998</v>
      </c>
      <c r="V85" s="54">
        <f>'Scen 3 Budgets'!V71/'Scen 3 MWh Savings'!V25</f>
        <v>339.82790664942854</v>
      </c>
    </row>
    <row r="86" spans="1:22">
      <c r="A86" s="3" t="s">
        <v>4</v>
      </c>
      <c r="B86" s="56">
        <f>'Scen 3 Budgets'!B72/'Scen 3 MWh Savings'!B26</f>
        <v>131.80797188704304</v>
      </c>
      <c r="C86" s="56">
        <f>'Scen 3 Budgets'!C72/'Scen 3 MWh Savings'!C26</f>
        <v>147.26146269396011</v>
      </c>
      <c r="D86" s="56">
        <f>'Scen 3 Budgets'!D72/'Scen 3 MWh Savings'!D26</f>
        <v>161.85758200127208</v>
      </c>
      <c r="E86" s="56">
        <f>'Scen 3 Budgets'!E72/'Scen 3 MWh Savings'!E26</f>
        <v>175.2838304739283</v>
      </c>
      <c r="F86" s="56">
        <f>'Scen 3 Budgets'!F72/'Scen 3 MWh Savings'!F26</f>
        <v>184.41013155376692</v>
      </c>
      <c r="G86" s="56">
        <f>'Scen 3 Budgets'!G72/'Scen 3 MWh Savings'!G26</f>
        <v>187.96003364133841</v>
      </c>
      <c r="H86" s="56">
        <f>'Scen 3 Budgets'!H72/'Scen 3 MWh Savings'!H26</f>
        <v>189.86736886068604</v>
      </c>
      <c r="I86" s="56">
        <f>'Scen 3 Budgets'!I72/'Scen 3 MWh Savings'!I26</f>
        <v>191.21848880054651</v>
      </c>
      <c r="J86" s="56">
        <f>'Scen 3 Budgets'!J72/'Scen 3 MWh Savings'!J26</f>
        <v>192.6406410882922</v>
      </c>
      <c r="K86" s="56">
        <f>'Scen 3 Budgets'!K72/'Scen 3 MWh Savings'!K26</f>
        <v>196.11669935347794</v>
      </c>
      <c r="L86" s="56">
        <f>'Scen 3 Budgets'!L72/'Scen 3 MWh Savings'!L26</f>
        <v>199.26245940884573</v>
      </c>
      <c r="M86" s="56">
        <f>'Scen 3 Budgets'!M72/'Scen 3 MWh Savings'!M26</f>
        <v>203.35262428302062</v>
      </c>
      <c r="N86" s="56">
        <f>'Scen 3 Budgets'!N72/'Scen 3 MWh Savings'!N26</f>
        <v>208.56939680321224</v>
      </c>
      <c r="O86" s="56">
        <f>'Scen 3 Budgets'!O72/'Scen 3 MWh Savings'!O26</f>
        <v>216.53822324568003</v>
      </c>
      <c r="P86" s="56">
        <f>'Scen 3 Budgets'!P72/'Scen 3 MWh Savings'!P26</f>
        <v>223.51202631639089</v>
      </c>
      <c r="Q86" s="56">
        <f>'Scen 3 Budgets'!Q72/'Scen 3 MWh Savings'!Q26</f>
        <v>228.41217035344101</v>
      </c>
      <c r="R86" s="56">
        <f>'Scen 3 Budgets'!R72/'Scen 3 MWh Savings'!R26</f>
        <v>235.17161921942181</v>
      </c>
      <c r="S86" s="56">
        <f>'Scen 3 Budgets'!S72/'Scen 3 MWh Savings'!S26</f>
        <v>242.36883469756407</v>
      </c>
      <c r="T86" s="56">
        <f>'Scen 3 Budgets'!T72/'Scen 3 MWh Savings'!T26</f>
        <v>251.1985015560256</v>
      </c>
      <c r="U86" s="56">
        <f>'Scen 3 Budgets'!U72/'Scen 3 MWh Savings'!U26</f>
        <v>258.95850161719443</v>
      </c>
      <c r="V86" s="56">
        <f>'Scen 3 Budgets'!V72/'Scen 3 MWh Savings'!V26</f>
        <v>206.80496034749044</v>
      </c>
    </row>
    <row r="87" spans="1:22">
      <c r="A87" s="1"/>
    </row>
    <row r="88" spans="1:22">
      <c r="A88" s="62" t="s">
        <v>29</v>
      </c>
      <c r="B88" s="6"/>
      <c r="C88" s="6"/>
      <c r="D88" s="6"/>
      <c r="E88" s="6"/>
      <c r="F88" s="6"/>
      <c r="G88" s="6"/>
      <c r="H88" s="6"/>
      <c r="I88" s="6"/>
      <c r="J88" s="6"/>
      <c r="K88" s="6"/>
      <c r="L88" s="6"/>
      <c r="M88" s="6"/>
      <c r="N88" s="6"/>
      <c r="O88" s="6"/>
      <c r="P88" s="6"/>
      <c r="Q88" s="6"/>
      <c r="R88" s="6"/>
      <c r="S88" s="6"/>
      <c r="T88" s="6"/>
      <c r="U88" s="6"/>
      <c r="V88" s="6"/>
    </row>
    <row r="89" spans="1:22">
      <c r="A89" s="3" t="s">
        <v>2</v>
      </c>
      <c r="B89" s="64">
        <f>'Scen 3 MWh Savings'!B24/('Scen 3 Summer &amp; Winter MW'!B43*1000)</f>
        <v>8.670029468241113</v>
      </c>
      <c r="C89" s="64">
        <f>'Scen 3 MWh Savings'!C24/('Scen 3 Summer &amp; Winter MW'!C43*1000)</f>
        <v>8.670029468241113</v>
      </c>
      <c r="D89" s="64">
        <f>'Scen 3 MWh Savings'!D24/('Scen 3 Summer &amp; Winter MW'!D43*1000)</f>
        <v>8.6700294682411112</v>
      </c>
      <c r="E89" s="64">
        <f>'Scen 3 MWh Savings'!E24/('Scen 3 Summer &amp; Winter MW'!E43*1000)</f>
        <v>8.670029468241113</v>
      </c>
      <c r="F89" s="64">
        <f>'Scen 3 MWh Savings'!F24/('Scen 3 Summer &amp; Winter MW'!F43*1000)</f>
        <v>8.6700294682411112</v>
      </c>
      <c r="G89" s="64">
        <f>'Scen 3 MWh Savings'!G24/('Scen 3 Summer &amp; Winter MW'!G43*1000)</f>
        <v>8.6700294682411112</v>
      </c>
      <c r="H89" s="64">
        <f>'Scen 3 MWh Savings'!H24/('Scen 3 Summer &amp; Winter MW'!H43*1000)</f>
        <v>8.670029468241113</v>
      </c>
      <c r="I89" s="64">
        <f>'Scen 3 MWh Savings'!I24/('Scen 3 Summer &amp; Winter MW'!I43*1000)</f>
        <v>8.6700294682411112</v>
      </c>
      <c r="J89" s="64">
        <f>'Scen 3 MWh Savings'!J24/('Scen 3 Summer &amp; Winter MW'!J43*1000)</f>
        <v>8.6700294682411112</v>
      </c>
      <c r="K89" s="64">
        <f>'Scen 3 MWh Savings'!K24/('Scen 3 Summer &amp; Winter MW'!K43*1000)</f>
        <v>8.670029468241113</v>
      </c>
      <c r="L89" s="64">
        <f>'Scen 3 MWh Savings'!L24/('Scen 3 Summer &amp; Winter MW'!L43*1000)</f>
        <v>8.6700294682411112</v>
      </c>
      <c r="M89" s="64">
        <f>'Scen 3 MWh Savings'!M24/('Scen 3 Summer &amp; Winter MW'!M43*1000)</f>
        <v>8.670029468241113</v>
      </c>
      <c r="N89" s="64">
        <f>'Scen 3 MWh Savings'!N24/('Scen 3 Summer &amp; Winter MW'!N43*1000)</f>
        <v>8.6700294682411148</v>
      </c>
      <c r="O89" s="64">
        <f>'Scen 3 MWh Savings'!O24/('Scen 3 Summer &amp; Winter MW'!O43*1000)</f>
        <v>8.6700294682411112</v>
      </c>
      <c r="P89" s="64">
        <f>'Scen 3 MWh Savings'!P24/('Scen 3 Summer &amp; Winter MW'!P43*1000)</f>
        <v>8.6700294682411165</v>
      </c>
      <c r="Q89" s="64">
        <f>'Scen 3 MWh Savings'!Q24/('Scen 3 Summer &amp; Winter MW'!Q43*1000)</f>
        <v>8.670029468241113</v>
      </c>
      <c r="R89" s="64">
        <f>'Scen 3 MWh Savings'!R24/('Scen 3 Summer &amp; Winter MW'!R43*1000)</f>
        <v>8.6700294682411112</v>
      </c>
      <c r="S89" s="64">
        <f>'Scen 3 MWh Savings'!S24/('Scen 3 Summer &amp; Winter MW'!S43*1000)</f>
        <v>8.6700294682411148</v>
      </c>
      <c r="T89" s="64">
        <f>'Scen 3 MWh Savings'!T24/('Scen 3 Summer &amp; Winter MW'!T43*1000)</f>
        <v>8.6700294682411148</v>
      </c>
      <c r="U89" s="64">
        <f>'Scen 3 MWh Savings'!U24/('Scen 3 Summer &amp; Winter MW'!U43*1000)</f>
        <v>8.670029468241113</v>
      </c>
      <c r="V89" s="64">
        <f>'Scen 3 MWh Savings'!V24/('Scen 3 Summer &amp; Winter MW'!V43*1000)</f>
        <v>8.6700294682411148</v>
      </c>
    </row>
    <row r="90" spans="1:22">
      <c r="A90" s="3" t="s">
        <v>3</v>
      </c>
      <c r="B90" s="64">
        <f>'Scen 3 MWh Savings'!B25/('Scen 3 Summer &amp; Winter MW'!B44*1000)</f>
        <v>6.0619148191317551</v>
      </c>
      <c r="C90" s="64">
        <f>'Scen 3 MWh Savings'!C25/('Scen 3 Summer &amp; Winter MW'!C44*1000)</f>
        <v>6.1319998494087899</v>
      </c>
      <c r="D90" s="64">
        <f>'Scen 3 MWh Savings'!D25/('Scen 3 Summer &amp; Winter MW'!D44*1000)</f>
        <v>6.2117169871456888</v>
      </c>
      <c r="E90" s="64">
        <f>'Scen 3 MWh Savings'!E25/('Scen 3 Summer &amp; Winter MW'!E44*1000)</f>
        <v>6.2923889874660777</v>
      </c>
      <c r="F90" s="64">
        <f>'Scen 3 MWh Savings'!F25/('Scen 3 Summer &amp; Winter MW'!F44*1000)</f>
        <v>6.3779387023786276</v>
      </c>
      <c r="G90" s="64">
        <f>'Scen 3 MWh Savings'!G25/('Scen 3 Summer &amp; Winter MW'!G44*1000)</f>
        <v>6.4446258352922472</v>
      </c>
      <c r="H90" s="64">
        <f>'Scen 3 MWh Savings'!H25/('Scen 3 Summer &amp; Winter MW'!H44*1000)</f>
        <v>6.4635097041678815</v>
      </c>
      <c r="I90" s="64">
        <f>'Scen 3 MWh Savings'!I25/('Scen 3 Summer &amp; Winter MW'!I44*1000)</f>
        <v>6.4828341704993928</v>
      </c>
      <c r="J90" s="64">
        <f>'Scen 3 MWh Savings'!J25/('Scen 3 Summer &amp; Winter MW'!J44*1000)</f>
        <v>6.5025548969113762</v>
      </c>
      <c r="K90" s="64">
        <f>'Scen 3 MWh Savings'!K25/('Scen 3 Summer &amp; Winter MW'!K44*1000)</f>
        <v>6.522515939128982</v>
      </c>
      <c r="L90" s="64">
        <f>'Scen 3 MWh Savings'!L25/('Scen 3 Summer &amp; Winter MW'!L44*1000)</f>
        <v>6.5429350839001943</v>
      </c>
      <c r="M90" s="64">
        <f>'Scen 3 MWh Savings'!M25/('Scen 3 Summer &amp; Winter MW'!M44*1000)</f>
        <v>6.5637057096210416</v>
      </c>
      <c r="N90" s="64">
        <f>'Scen 3 MWh Savings'!N25/('Scen 3 Summer &amp; Winter MW'!N44*1000)</f>
        <v>6.5847918706472575</v>
      </c>
      <c r="O90" s="64">
        <f>'Scen 3 MWh Savings'!O25/('Scen 3 Summer &amp; Winter MW'!O44*1000)</f>
        <v>6.6059380948869411</v>
      </c>
      <c r="P90" s="64">
        <f>'Scen 3 MWh Savings'!P25/('Scen 3 Summer &amp; Winter MW'!P44*1000)</f>
        <v>6.627099374548532</v>
      </c>
      <c r="Q90" s="64">
        <f>'Scen 3 MWh Savings'!Q25/('Scen 3 Summer &amp; Winter MW'!Q44*1000)</f>
        <v>6.6480431614115343</v>
      </c>
      <c r="R90" s="64">
        <f>'Scen 3 MWh Savings'!R25/('Scen 3 Summer &amp; Winter MW'!R44*1000)</f>
        <v>6.6688741710712875</v>
      </c>
      <c r="S90" s="64">
        <f>'Scen 3 MWh Savings'!S25/('Scen 3 Summer &amp; Winter MW'!S44*1000)</f>
        <v>6.6895279847804749</v>
      </c>
      <c r="T90" s="64">
        <f>'Scen 3 MWh Savings'!T25/('Scen 3 Summer &amp; Winter MW'!T44*1000)</f>
        <v>6.7099088543271304</v>
      </c>
      <c r="U90" s="64">
        <f>'Scen 3 MWh Savings'!U25/('Scen 3 Summer &amp; Winter MW'!U44*1000)</f>
        <v>6.7300136497224319</v>
      </c>
      <c r="V90" s="64">
        <f>'Scen 3 MWh Savings'!V25/('Scen 3 Summer &amp; Winter MW'!V44*1000)</f>
        <v>6.5563299068037706</v>
      </c>
    </row>
    <row r="91" spans="1:22">
      <c r="A91" s="3" t="s">
        <v>4</v>
      </c>
      <c r="B91" s="65">
        <f>'Scen 3 MWh Savings'!B26/('Scen 3 Summer &amp; Winter MW'!B45*1000)</f>
        <v>8.2137924499060961</v>
      </c>
      <c r="C91" s="65">
        <f>'Scen 3 MWh Savings'!C26/('Scen 3 Summer &amp; Winter MW'!C45*1000)</f>
        <v>7.9230951003471768</v>
      </c>
      <c r="D91" s="65">
        <f>'Scen 3 MWh Savings'!D26/('Scen 3 Summer &amp; Winter MW'!D45*1000)</f>
        <v>7.7329958750537831</v>
      </c>
      <c r="E91" s="65">
        <f>'Scen 3 MWh Savings'!E26/('Scen 3 Summer &amp; Winter MW'!E45*1000)</f>
        <v>7.6048633536796881</v>
      </c>
      <c r="F91" s="65">
        <f>'Scen 3 MWh Savings'!F26/('Scen 3 Summer &amp; Winter MW'!F45*1000)</f>
        <v>7.5610450324083711</v>
      </c>
      <c r="G91" s="65">
        <f>'Scen 3 MWh Savings'!G26/('Scen 3 Summer &amp; Winter MW'!G45*1000)</f>
        <v>7.5877943852047238</v>
      </c>
      <c r="H91" s="65">
        <f>'Scen 3 MWh Savings'!H26/('Scen 3 Summer &amp; Winter MW'!H45*1000)</f>
        <v>7.5910666860811311</v>
      </c>
      <c r="I91" s="65">
        <f>'Scen 3 MWh Savings'!I26/('Scen 3 Summer &amp; Winter MW'!I45*1000)</f>
        <v>7.5983747677834046</v>
      </c>
      <c r="J91" s="65">
        <f>'Scen 3 MWh Savings'!J26/('Scen 3 Summer &amp; Winter MW'!J45*1000)</f>
        <v>7.6048429503748913</v>
      </c>
      <c r="K91" s="65">
        <f>'Scen 3 MWh Savings'!K26/('Scen 3 Summer &amp; Winter MW'!K45*1000)</f>
        <v>7.6018062989667481</v>
      </c>
      <c r="L91" s="65">
        <f>'Scen 3 MWh Savings'!L26/('Scen 3 Summer &amp; Winter MW'!L45*1000)</f>
        <v>7.6007145442088655</v>
      </c>
      <c r="M91" s="65">
        <f>'Scen 3 MWh Savings'!M26/('Scen 3 Summer &amp; Winter MW'!M45*1000)</f>
        <v>7.5941213233575047</v>
      </c>
      <c r="N91" s="65">
        <f>'Scen 3 MWh Savings'!N26/('Scen 3 Summer &amp; Winter MW'!N45*1000)</f>
        <v>7.5801919236980204</v>
      </c>
      <c r="O91" s="65">
        <f>'Scen 3 MWh Savings'!O26/('Scen 3 Summer &amp; Winter MW'!O45*1000)</f>
        <v>7.5465816764858111</v>
      </c>
      <c r="P91" s="65">
        <f>'Scen 3 MWh Savings'!P26/('Scen 3 Summer &amp; Winter MW'!P45*1000)</f>
        <v>7.5254857827808257</v>
      </c>
      <c r="Q91" s="65">
        <f>'Scen 3 MWh Savings'!Q26/('Scen 3 Summer &amp; Winter MW'!Q45*1000)</f>
        <v>7.5226307689496261</v>
      </c>
      <c r="R91" s="65">
        <f>'Scen 3 MWh Savings'!R26/('Scen 3 Summer &amp; Winter MW'!R45*1000)</f>
        <v>7.5067108221734902</v>
      </c>
      <c r="S91" s="65">
        <f>'Scen 3 MWh Savings'!S26/('Scen 3 Summer &amp; Winter MW'!S45*1000)</f>
        <v>7.4904388404433364</v>
      </c>
      <c r="T91" s="65">
        <f>'Scen 3 MWh Savings'!T26/('Scen 3 Summer &amp; Winter MW'!T45*1000)</f>
        <v>7.4663857610033597</v>
      </c>
      <c r="U91" s="65">
        <f>'Scen 3 MWh Savings'!U26/('Scen 3 Summer &amp; Winter MW'!U45*1000)</f>
        <v>7.4519261403348684</v>
      </c>
      <c r="V91" s="65">
        <f>'Scen 3 MWh Savings'!V26/('Scen 3 Summer &amp; Winter MW'!V45*1000)</f>
        <v>7.5855536680306255</v>
      </c>
    </row>
    <row r="92" spans="1:22">
      <c r="A92" s="1"/>
      <c r="B92" s="64"/>
      <c r="C92" s="64"/>
      <c r="D92" s="64"/>
      <c r="E92" s="64"/>
      <c r="F92" s="64"/>
      <c r="G92" s="64"/>
      <c r="H92" s="64"/>
      <c r="I92" s="64"/>
      <c r="J92" s="64"/>
      <c r="K92" s="64"/>
      <c r="L92" s="64"/>
      <c r="M92" s="64"/>
      <c r="N92" s="64"/>
      <c r="O92" s="64"/>
      <c r="P92" s="64"/>
      <c r="Q92" s="64"/>
      <c r="R92" s="64"/>
      <c r="S92" s="64"/>
      <c r="T92" s="64"/>
      <c r="U92" s="64"/>
      <c r="V92" s="64"/>
    </row>
    <row r="93" spans="1:22">
      <c r="A93" s="62" t="s">
        <v>30</v>
      </c>
      <c r="B93" s="66"/>
      <c r="C93" s="66"/>
      <c r="D93" s="66"/>
      <c r="E93" s="66"/>
      <c r="F93" s="66"/>
      <c r="G93" s="66"/>
      <c r="H93" s="66"/>
      <c r="I93" s="66"/>
      <c r="J93" s="66"/>
      <c r="K93" s="66"/>
      <c r="L93" s="66"/>
      <c r="M93" s="66"/>
      <c r="N93" s="66"/>
      <c r="O93" s="66"/>
      <c r="P93" s="66"/>
      <c r="Q93" s="66"/>
      <c r="R93" s="66"/>
      <c r="S93" s="66"/>
      <c r="T93" s="66"/>
      <c r="U93" s="66"/>
      <c r="V93" s="66"/>
    </row>
    <row r="94" spans="1:22">
      <c r="A94" s="3" t="s">
        <v>2</v>
      </c>
      <c r="B94" s="64">
        <f>'Scen 3 MWh Savings'!B24/('Scen 3 Summer &amp; Winter MW'!B48*1000)</f>
        <v>8.670029468241113</v>
      </c>
      <c r="C94" s="64">
        <f>'Scen 3 MWh Savings'!C24/('Scen 3 Summer &amp; Winter MW'!C48*1000)</f>
        <v>8.670029468241113</v>
      </c>
      <c r="D94" s="64">
        <f>'Scen 3 MWh Savings'!D24/('Scen 3 Summer &amp; Winter MW'!D48*1000)</f>
        <v>8.6700294682411112</v>
      </c>
      <c r="E94" s="64">
        <f>'Scen 3 MWh Savings'!E24/('Scen 3 Summer &amp; Winter MW'!E48*1000)</f>
        <v>8.670029468241113</v>
      </c>
      <c r="F94" s="64">
        <f>'Scen 3 MWh Savings'!F24/('Scen 3 Summer &amp; Winter MW'!F48*1000)</f>
        <v>8.6700294682411112</v>
      </c>
      <c r="G94" s="64">
        <f>'Scen 3 MWh Savings'!G24/('Scen 3 Summer &amp; Winter MW'!G48*1000)</f>
        <v>8.6700294682411112</v>
      </c>
      <c r="H94" s="64">
        <f>'Scen 3 MWh Savings'!H24/('Scen 3 Summer &amp; Winter MW'!H48*1000)</f>
        <v>8.670029468241113</v>
      </c>
      <c r="I94" s="64">
        <f>'Scen 3 MWh Savings'!I24/('Scen 3 Summer &amp; Winter MW'!I48*1000)</f>
        <v>8.6700294682411112</v>
      </c>
      <c r="J94" s="64">
        <f>'Scen 3 MWh Savings'!J24/('Scen 3 Summer &amp; Winter MW'!J48*1000)</f>
        <v>8.6700294682411112</v>
      </c>
      <c r="K94" s="64">
        <f>'Scen 3 MWh Savings'!K24/('Scen 3 Summer &amp; Winter MW'!K48*1000)</f>
        <v>8.670029468241113</v>
      </c>
      <c r="L94" s="64">
        <f>'Scen 3 MWh Savings'!L24/('Scen 3 Summer &amp; Winter MW'!L48*1000)</f>
        <v>8.6700294682411112</v>
      </c>
      <c r="M94" s="64">
        <f>'Scen 3 MWh Savings'!M24/('Scen 3 Summer &amp; Winter MW'!M48*1000)</f>
        <v>8.670029468241113</v>
      </c>
      <c r="N94" s="64">
        <f>'Scen 3 MWh Savings'!N24/('Scen 3 Summer &amp; Winter MW'!N48*1000)</f>
        <v>8.6700294682411148</v>
      </c>
      <c r="O94" s="64">
        <f>'Scen 3 MWh Savings'!O24/('Scen 3 Summer &amp; Winter MW'!O48*1000)</f>
        <v>8.6700294682411112</v>
      </c>
      <c r="P94" s="64">
        <f>'Scen 3 MWh Savings'!P24/('Scen 3 Summer &amp; Winter MW'!P48*1000)</f>
        <v>8.6700294682411165</v>
      </c>
      <c r="Q94" s="64">
        <f>'Scen 3 MWh Savings'!Q24/('Scen 3 Summer &amp; Winter MW'!Q48*1000)</f>
        <v>8.670029468241113</v>
      </c>
      <c r="R94" s="64">
        <f>'Scen 3 MWh Savings'!R24/('Scen 3 Summer &amp; Winter MW'!R48*1000)</f>
        <v>8.6700294682411112</v>
      </c>
      <c r="S94" s="64">
        <f>'Scen 3 MWh Savings'!S24/('Scen 3 Summer &amp; Winter MW'!S48*1000)</f>
        <v>8.6700294682411148</v>
      </c>
      <c r="T94" s="64">
        <f>'Scen 3 MWh Savings'!T24/('Scen 3 Summer &amp; Winter MW'!T48*1000)</f>
        <v>8.6700294682411148</v>
      </c>
      <c r="U94" s="64">
        <f>'Scen 3 MWh Savings'!U24/('Scen 3 Summer &amp; Winter MW'!U48*1000)</f>
        <v>8.670029468241113</v>
      </c>
      <c r="V94" s="64">
        <f>'Scen 3 MWh Savings'!V24/('Scen 3 Summer &amp; Winter MW'!V48*1000)</f>
        <v>8.6700294682411148</v>
      </c>
    </row>
    <row r="95" spans="1:22">
      <c r="A95" s="3" t="s">
        <v>3</v>
      </c>
      <c r="B95" s="64">
        <f>'Scen 3 MWh Savings'!B25/('Scen 3 Summer &amp; Winter MW'!B49*1000)</f>
        <v>6.6061426015366962</v>
      </c>
      <c r="C95" s="64">
        <f>'Scen 3 MWh Savings'!C25/('Scen 3 Summer &amp; Winter MW'!C49*1000)</f>
        <v>6.5603068696783398</v>
      </c>
      <c r="D95" s="64">
        <f>'Scen 3 MWh Savings'!D25/('Scen 3 Summer &amp; Winter MW'!D49*1000)</f>
        <v>6.5101681737636614</v>
      </c>
      <c r="E95" s="64">
        <f>'Scen 3 MWh Savings'!E25/('Scen 3 Summer &amp; Winter MW'!E49*1000)</f>
        <v>6.4614671910433774</v>
      </c>
      <c r="F95" s="64">
        <f>'Scen 3 MWh Savings'!F25/('Scen 3 Summer &amp; Winter MW'!F49*1000)</f>
        <v>6.4119266072226058</v>
      </c>
      <c r="G95" s="64">
        <f>'Scen 3 MWh Savings'!G25/('Scen 3 Summer &amp; Winter MW'!G49*1000)</f>
        <v>6.3747274643626284</v>
      </c>
      <c r="H95" s="64">
        <f>'Scen 3 MWh Savings'!H25/('Scen 3 Summer &amp; Winter MW'!H49*1000)</f>
        <v>6.3644102270267968</v>
      </c>
      <c r="I95" s="64">
        <f>'Scen 3 MWh Savings'!I25/('Scen 3 Summer &amp; Winter MW'!I49*1000)</f>
        <v>6.3539487060131563</v>
      </c>
      <c r="J95" s="64">
        <f>'Scen 3 MWh Savings'!J25/('Scen 3 Summer &amp; Winter MW'!J49*1000)</f>
        <v>6.3433718494656901</v>
      </c>
      <c r="K95" s="64">
        <f>'Scen 3 MWh Savings'!K25/('Scen 3 Summer &amp; Winter MW'!K49*1000)</f>
        <v>6.3327667079643604</v>
      </c>
      <c r="L95" s="64">
        <f>'Scen 3 MWh Savings'!L25/('Scen 3 Summer &amp; Winter MW'!L49*1000)</f>
        <v>6.3220214211786265</v>
      </c>
      <c r="M95" s="64">
        <f>'Scen 3 MWh Savings'!M25/('Scen 3 Summer &amp; Winter MW'!M49*1000)</f>
        <v>6.311196759744095</v>
      </c>
      <c r="N95" s="64">
        <f>'Scen 3 MWh Savings'!N25/('Scen 3 Summer &amp; Winter MW'!N49*1000)</f>
        <v>6.3003150003255515</v>
      </c>
      <c r="O95" s="64">
        <f>'Scen 3 MWh Savings'!O25/('Scen 3 Summer &amp; Winter MW'!O49*1000)</f>
        <v>6.2895092711814433</v>
      </c>
      <c r="P95" s="64">
        <f>'Scen 3 MWh Savings'!P25/('Scen 3 Summer &amp; Winter MW'!P49*1000)</f>
        <v>6.278801570196122</v>
      </c>
      <c r="Q95" s="64">
        <f>'Scen 3 MWh Savings'!Q25/('Scen 3 Summer &amp; Winter MW'!Q49*1000)</f>
        <v>6.2683065409768668</v>
      </c>
      <c r="R95" s="64">
        <f>'Scen 3 MWh Savings'!R25/('Scen 3 Summer &amp; Winter MW'!R49*1000)</f>
        <v>6.2579678324718362</v>
      </c>
      <c r="S95" s="64">
        <f>'Scen 3 MWh Savings'!S25/('Scen 3 Summer &amp; Winter MW'!S49*1000)</f>
        <v>6.2478139427431882</v>
      </c>
      <c r="T95" s="64">
        <f>'Scen 3 MWh Savings'!T25/('Scen 3 Summer &amp; Winter MW'!T49*1000)</f>
        <v>6.2378874687739607</v>
      </c>
      <c r="U95" s="64">
        <f>'Scen 3 MWh Savings'!U25/('Scen 3 Summer &amp; Winter MW'!U49*1000)</f>
        <v>6.2281849409117767</v>
      </c>
      <c r="V95" s="64">
        <f>'Scen 3 MWh Savings'!V25/('Scen 3 Summer &amp; Winter MW'!V49*1000)</f>
        <v>6.3150285807141824</v>
      </c>
    </row>
    <row r="96" spans="1:22">
      <c r="A96" s="3" t="s">
        <v>4</v>
      </c>
      <c r="B96" s="65">
        <f>'Scen 3 MWh Savings'!B26/('Scen 3 Summer &amp; Winter MW'!B50*1000)</f>
        <v>8.3338928680219322</v>
      </c>
      <c r="C96" s="65">
        <f>'Scen 3 MWh Savings'!C26/('Scen 3 Summer &amp; Winter MW'!C50*1000)</f>
        <v>8.0783114216013558</v>
      </c>
      <c r="D96" s="65">
        <f>'Scen 3 MWh Savings'!D26/('Scen 3 Summer &amp; Winter MW'!D50*1000)</f>
        <v>7.8705276429622302</v>
      </c>
      <c r="E96" s="65">
        <f>'Scen 3 MWh Savings'!E26/('Scen 3 Summer &amp; Winter MW'!E50*1000)</f>
        <v>7.6950703520416885</v>
      </c>
      <c r="F96" s="65">
        <f>'Scen 3 MWh Savings'!F26/('Scen 3 Summer &amp; Winter MW'!F50*1000)</f>
        <v>7.5804863888525862</v>
      </c>
      <c r="G96" s="65">
        <f>'Scen 3 MWh Savings'!G26/('Scen 3 Summer &amp; Winter MW'!G50*1000)</f>
        <v>7.5475482533447398</v>
      </c>
      <c r="H96" s="65">
        <f>'Scen 3 MWh Savings'!H26/('Scen 3 Summer &amp; Winter MW'!H50*1000)</f>
        <v>7.5337051910353887</v>
      </c>
      <c r="I96" s="65">
        <f>'Scen 3 MWh Savings'!I26/('Scen 3 Summer &amp; Winter MW'!I50*1000)</f>
        <v>7.5236003118219106</v>
      </c>
      <c r="J96" s="65">
        <f>'Scen 3 MWh Savings'!J26/('Scen 3 Summer &amp; Winter MW'!J50*1000)</f>
        <v>7.5121993555495958</v>
      </c>
      <c r="K96" s="65">
        <f>'Scen 3 MWh Savings'!K26/('Scen 3 Summer &amp; Winter MW'!K50*1000)</f>
        <v>7.490170287466154</v>
      </c>
      <c r="L96" s="65">
        <f>'Scen 3 MWh Savings'!L26/('Scen 3 Summer &amp; Winter MW'!L50*1000)</f>
        <v>7.4695014739615653</v>
      </c>
      <c r="M96" s="65">
        <f>'Scen 3 MWh Savings'!M26/('Scen 3 Summer &amp; Winter MW'!M50*1000)</f>
        <v>7.4420292785730071</v>
      </c>
      <c r="N96" s="65">
        <f>'Scen 3 MWh Savings'!N26/('Scen 3 Summer &amp; Winter MW'!N50*1000)</f>
        <v>7.4054322091175635</v>
      </c>
      <c r="O96" s="65">
        <f>'Scen 3 MWh Savings'!O26/('Scen 3 Summer &amp; Winter MW'!O50*1000)</f>
        <v>7.345440450187942</v>
      </c>
      <c r="P96" s="65">
        <f>'Scen 3 MWh Savings'!P26/('Scen 3 Summer &amp; Winter MW'!P50*1000)</f>
        <v>7.2986581962256238</v>
      </c>
      <c r="Q96" s="65">
        <f>'Scen 3 MWh Savings'!Q26/('Scen 3 Summer &amp; Winter MW'!Q50*1000)</f>
        <v>7.2726196786791784</v>
      </c>
      <c r="R96" s="65">
        <f>'Scen 3 MWh Savings'!R26/('Scen 3 Summer &amp; Winter MW'!R50*1000)</f>
        <v>7.2307112374046429</v>
      </c>
      <c r="S96" s="65">
        <f>'Scen 3 MWh Savings'!S26/('Scen 3 Summer &amp; Winter MW'!S50*1000)</f>
        <v>7.1877728637688652</v>
      </c>
      <c r="T96" s="65">
        <f>'Scen 3 MWh Savings'!T26/('Scen 3 Summer &amp; Winter MW'!T50*1000)</f>
        <v>7.1348545520218076</v>
      </c>
      <c r="U96" s="65">
        <f>'Scen 3 MWh Savings'!U26/('Scen 3 Summer &amp; Winter MW'!U50*1000)</f>
        <v>7.0930804403073235</v>
      </c>
      <c r="V96" s="65">
        <f>'Scen 3 MWh Savings'!V26/('Scen 3 Summer &amp; Winter MW'!V50*1000)</f>
        <v>7.439700308316791</v>
      </c>
    </row>
  </sheetData>
  <pageMargins left="0.7" right="0.7" top="0.75" bottom="0.75" header="0.3" footer="0.3"/>
  <pageSetup orientation="portrait" r:id="rId1"/>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P15"/>
  <sheetViews>
    <sheetView topLeftCell="C1" workbookViewId="0">
      <selection activeCell="J10" sqref="J10:P10"/>
    </sheetView>
  </sheetViews>
  <sheetFormatPr defaultRowHeight="15"/>
  <cols>
    <col min="2" max="2" width="35.5703125" customWidth="1"/>
    <col min="5" max="5" width="7.140625" customWidth="1"/>
    <col min="6" max="6" width="14.28515625" hidden="1" customWidth="1"/>
    <col min="7" max="15" width="14.28515625" bestFit="1" customWidth="1"/>
    <col min="16" max="16" width="15.28515625" bestFit="1" customWidth="1"/>
  </cols>
  <sheetData>
    <row r="2" spans="1:16" ht="18.75">
      <c r="B2" s="80" t="s">
        <v>155</v>
      </c>
      <c r="C2" s="5"/>
      <c r="D2" s="5"/>
      <c r="E2" s="5"/>
      <c r="F2" s="5"/>
    </row>
    <row r="3" spans="1:16" ht="18.75">
      <c r="B3" s="80"/>
      <c r="C3" s="5"/>
      <c r="D3" s="5"/>
      <c r="E3" s="5"/>
      <c r="F3" s="5"/>
    </row>
    <row r="4" spans="1:16" ht="18.75">
      <c r="B4" s="80"/>
      <c r="C4" s="5"/>
      <c r="D4" s="5"/>
      <c r="E4" s="5"/>
      <c r="F4" s="72" t="s">
        <v>156</v>
      </c>
    </row>
    <row r="6" spans="1:16">
      <c r="A6" s="243" t="s">
        <v>157</v>
      </c>
      <c r="F6" s="85">
        <v>2014</v>
      </c>
      <c r="G6" s="85">
        <v>2015</v>
      </c>
      <c r="H6" s="85">
        <v>2016</v>
      </c>
      <c r="I6" s="85">
        <v>2017</v>
      </c>
      <c r="J6" s="85">
        <v>2018</v>
      </c>
      <c r="K6" s="85">
        <v>2019</v>
      </c>
      <c r="L6" s="85">
        <v>2020</v>
      </c>
      <c r="M6" s="85">
        <v>2021</v>
      </c>
      <c r="N6" s="85">
        <v>2022</v>
      </c>
      <c r="O6" s="85">
        <v>2023</v>
      </c>
      <c r="P6" s="85">
        <v>2024</v>
      </c>
    </row>
    <row r="7" spans="1:16">
      <c r="B7" s="826" t="s">
        <v>158</v>
      </c>
      <c r="C7" s="827"/>
      <c r="D7" s="827"/>
      <c r="E7" s="828"/>
      <c r="F7" s="244">
        <v>6203484</v>
      </c>
      <c r="G7" s="244">
        <f>'[5]Summary TEPF Revenue Est'!G16-G10</f>
        <v>6169944.0887033492</v>
      </c>
      <c r="H7" s="244">
        <f>'[5]Summary TEPF Revenue Est'!H16-H10</f>
        <v>6836899.1236446258</v>
      </c>
      <c r="I7" s="244">
        <f>'[5]Summary TEPF Revenue Est'!I16-I10</f>
        <v>7389583.3464256655</v>
      </c>
      <c r="J7" s="244">
        <f>'[5]Summary TEPF Revenue Est'!J16-J10</f>
        <v>7910285.6827670522</v>
      </c>
      <c r="K7" s="244">
        <f>'[5]Summary TEPF Revenue Est'!K16-K10</f>
        <v>8688036.7066941615</v>
      </c>
      <c r="L7" s="244">
        <f>'[5]Summary TEPF Revenue Est'!L16-L10</f>
        <v>9140860.4662303664</v>
      </c>
      <c r="M7" s="244">
        <f>'[5]Summary TEPF Revenue Est'!M16-M10</f>
        <v>9457805.3381404933</v>
      </c>
      <c r="N7" s="244">
        <f>'[5]Summary TEPF Revenue Est'!N16-N10</f>
        <v>10004801.196126379</v>
      </c>
      <c r="O7" s="244">
        <f>'[5]Summary TEPF Revenue Est'!O16-O10</f>
        <v>10106356.032548409</v>
      </c>
      <c r="P7" s="244">
        <f>'[5]Summary TEPF Revenue Est'!P16-P10</f>
        <v>11021056.218565151</v>
      </c>
    </row>
    <row r="8" spans="1:16">
      <c r="F8" s="245"/>
      <c r="G8" s="245"/>
      <c r="H8" s="245"/>
      <c r="I8" s="245"/>
      <c r="J8" s="245"/>
      <c r="K8" s="245"/>
      <c r="L8" s="245"/>
      <c r="M8" s="245"/>
      <c r="N8" s="245"/>
      <c r="O8" s="245"/>
      <c r="P8" s="245"/>
    </row>
    <row r="9" spans="1:16">
      <c r="F9" s="246">
        <v>2014</v>
      </c>
      <c r="G9" s="246">
        <v>2015</v>
      </c>
      <c r="H9" s="246">
        <v>2016</v>
      </c>
      <c r="I9" s="246">
        <v>2017</v>
      </c>
      <c r="J9" s="246">
        <v>2018</v>
      </c>
      <c r="K9" s="246">
        <v>2019</v>
      </c>
      <c r="L9" s="246">
        <v>2020</v>
      </c>
      <c r="M9" s="246">
        <v>2021</v>
      </c>
      <c r="N9" s="246">
        <v>2022</v>
      </c>
      <c r="O9" s="246">
        <v>2023</v>
      </c>
      <c r="P9" s="246">
        <v>2024</v>
      </c>
    </row>
    <row r="10" spans="1:16">
      <c r="B10" s="829" t="s">
        <v>159</v>
      </c>
      <c r="C10" s="830"/>
      <c r="D10" s="830"/>
      <c r="E10" s="831"/>
      <c r="F10" s="247">
        <v>348457</v>
      </c>
      <c r="G10" s="247">
        <v>107100</v>
      </c>
      <c r="H10" s="247">
        <f>G10*1.02</f>
        <v>109242</v>
      </c>
      <c r="I10" s="247">
        <f t="shared" ref="I10:P10" si="0">H10*1.02</f>
        <v>111426.84</v>
      </c>
      <c r="J10" s="247">
        <f t="shared" si="0"/>
        <v>113655.3768</v>
      </c>
      <c r="K10" s="247">
        <f t="shared" si="0"/>
        <v>115928.48433599999</v>
      </c>
      <c r="L10" s="247">
        <f t="shared" si="0"/>
        <v>118247.05402272</v>
      </c>
      <c r="M10" s="247">
        <f t="shared" si="0"/>
        <v>120611.9951031744</v>
      </c>
      <c r="N10" s="247">
        <f t="shared" si="0"/>
        <v>123024.23500523789</v>
      </c>
      <c r="O10" s="247">
        <f t="shared" si="0"/>
        <v>125484.71970534265</v>
      </c>
      <c r="P10" s="247">
        <f t="shared" si="0"/>
        <v>127994.41409944951</v>
      </c>
    </row>
    <row r="11" spans="1:16">
      <c r="F11" s="245"/>
      <c r="G11" s="245"/>
      <c r="H11" s="245"/>
      <c r="I11" s="245"/>
      <c r="J11" s="245"/>
      <c r="K11" s="245"/>
      <c r="L11" s="245"/>
      <c r="M11" s="245"/>
      <c r="N11" s="245"/>
      <c r="O11" s="245"/>
      <c r="P11" s="245"/>
    </row>
    <row r="13" spans="1:16">
      <c r="G13" s="245"/>
    </row>
    <row r="14" spans="1:16">
      <c r="G14" s="245"/>
    </row>
    <row r="15" spans="1:16">
      <c r="G15" s="245"/>
    </row>
  </sheetData>
  <mergeCells count="2">
    <mergeCell ref="B7:E7"/>
    <mergeCell ref="B10:E10"/>
  </mergeCells>
  <pageMargins left="0.7" right="0.7" top="0.75" bottom="0.75" header="0.3" footer="0.3"/>
</worksheet>
</file>

<file path=xl/worksheets/sheet3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Z36"/>
  <sheetViews>
    <sheetView workbookViewId="0">
      <selection activeCell="B5" sqref="B5"/>
    </sheetView>
  </sheetViews>
  <sheetFormatPr defaultRowHeight="15"/>
  <cols>
    <col min="2" max="2" width="59.5703125" customWidth="1"/>
    <col min="3" max="5" width="14" bestFit="1" customWidth="1"/>
    <col min="6" max="6" width="12.7109375" style="73" bestFit="1" customWidth="1"/>
    <col min="7" max="7" width="11.85546875" bestFit="1" customWidth="1"/>
    <col min="8" max="23" width="11.5703125" customWidth="1"/>
    <col min="24" max="26" width="10.85546875" bestFit="1" customWidth="1"/>
    <col min="258" max="258" width="59.5703125" customWidth="1"/>
    <col min="259" max="261" width="14" bestFit="1" customWidth="1"/>
    <col min="262" max="262" width="12.7109375" bestFit="1" customWidth="1"/>
    <col min="263" max="279" width="11.5703125" customWidth="1"/>
    <col min="514" max="514" width="59.5703125" customWidth="1"/>
    <col min="515" max="517" width="14" bestFit="1" customWidth="1"/>
    <col min="518" max="518" width="12.7109375" bestFit="1" customWidth="1"/>
    <col min="519" max="535" width="11.5703125" customWidth="1"/>
    <col min="770" max="770" width="59.5703125" customWidth="1"/>
    <col min="771" max="773" width="14" bestFit="1" customWidth="1"/>
    <col min="774" max="774" width="12.7109375" bestFit="1" customWidth="1"/>
    <col min="775" max="791" width="11.5703125" customWidth="1"/>
    <col min="1026" max="1026" width="59.5703125" customWidth="1"/>
    <col min="1027" max="1029" width="14" bestFit="1" customWidth="1"/>
    <col min="1030" max="1030" width="12.7109375" bestFit="1" customWidth="1"/>
    <col min="1031" max="1047" width="11.5703125" customWidth="1"/>
    <col min="1282" max="1282" width="59.5703125" customWidth="1"/>
    <col min="1283" max="1285" width="14" bestFit="1" customWidth="1"/>
    <col min="1286" max="1286" width="12.7109375" bestFit="1" customWidth="1"/>
    <col min="1287" max="1303" width="11.5703125" customWidth="1"/>
    <col min="1538" max="1538" width="59.5703125" customWidth="1"/>
    <col min="1539" max="1541" width="14" bestFit="1" customWidth="1"/>
    <col min="1542" max="1542" width="12.7109375" bestFit="1" customWidth="1"/>
    <col min="1543" max="1559" width="11.5703125" customWidth="1"/>
    <col min="1794" max="1794" width="59.5703125" customWidth="1"/>
    <col min="1795" max="1797" width="14" bestFit="1" customWidth="1"/>
    <col min="1798" max="1798" width="12.7109375" bestFit="1" customWidth="1"/>
    <col min="1799" max="1815" width="11.5703125" customWidth="1"/>
    <col min="2050" max="2050" width="59.5703125" customWidth="1"/>
    <col min="2051" max="2053" width="14" bestFit="1" customWidth="1"/>
    <col min="2054" max="2054" width="12.7109375" bestFit="1" customWidth="1"/>
    <col min="2055" max="2071" width="11.5703125" customWidth="1"/>
    <col min="2306" max="2306" width="59.5703125" customWidth="1"/>
    <col min="2307" max="2309" width="14" bestFit="1" customWidth="1"/>
    <col min="2310" max="2310" width="12.7109375" bestFit="1" customWidth="1"/>
    <col min="2311" max="2327" width="11.5703125" customWidth="1"/>
    <col min="2562" max="2562" width="59.5703125" customWidth="1"/>
    <col min="2563" max="2565" width="14" bestFit="1" customWidth="1"/>
    <col min="2566" max="2566" width="12.7109375" bestFit="1" customWidth="1"/>
    <col min="2567" max="2583" width="11.5703125" customWidth="1"/>
    <col min="2818" max="2818" width="59.5703125" customWidth="1"/>
    <col min="2819" max="2821" width="14" bestFit="1" customWidth="1"/>
    <col min="2822" max="2822" width="12.7109375" bestFit="1" customWidth="1"/>
    <col min="2823" max="2839" width="11.5703125" customWidth="1"/>
    <col min="3074" max="3074" width="59.5703125" customWidth="1"/>
    <col min="3075" max="3077" width="14" bestFit="1" customWidth="1"/>
    <col min="3078" max="3078" width="12.7109375" bestFit="1" customWidth="1"/>
    <col min="3079" max="3095" width="11.5703125" customWidth="1"/>
    <col min="3330" max="3330" width="59.5703125" customWidth="1"/>
    <col min="3331" max="3333" width="14" bestFit="1" customWidth="1"/>
    <col min="3334" max="3334" width="12.7109375" bestFit="1" customWidth="1"/>
    <col min="3335" max="3351" width="11.5703125" customWidth="1"/>
    <col min="3586" max="3586" width="59.5703125" customWidth="1"/>
    <col min="3587" max="3589" width="14" bestFit="1" customWidth="1"/>
    <col min="3590" max="3590" width="12.7109375" bestFit="1" customWidth="1"/>
    <col min="3591" max="3607" width="11.5703125" customWidth="1"/>
    <col min="3842" max="3842" width="59.5703125" customWidth="1"/>
    <col min="3843" max="3845" width="14" bestFit="1" customWidth="1"/>
    <col min="3846" max="3846" width="12.7109375" bestFit="1" customWidth="1"/>
    <col min="3847" max="3863" width="11.5703125" customWidth="1"/>
    <col min="4098" max="4098" width="59.5703125" customWidth="1"/>
    <col min="4099" max="4101" width="14" bestFit="1" customWidth="1"/>
    <col min="4102" max="4102" width="12.7109375" bestFit="1" customWidth="1"/>
    <col min="4103" max="4119" width="11.5703125" customWidth="1"/>
    <col min="4354" max="4354" width="59.5703125" customWidth="1"/>
    <col min="4355" max="4357" width="14" bestFit="1" customWidth="1"/>
    <col min="4358" max="4358" width="12.7109375" bestFit="1" customWidth="1"/>
    <col min="4359" max="4375" width="11.5703125" customWidth="1"/>
    <col min="4610" max="4610" width="59.5703125" customWidth="1"/>
    <col min="4611" max="4613" width="14" bestFit="1" customWidth="1"/>
    <col min="4614" max="4614" width="12.7109375" bestFit="1" customWidth="1"/>
    <col min="4615" max="4631" width="11.5703125" customWidth="1"/>
    <col min="4866" max="4866" width="59.5703125" customWidth="1"/>
    <col min="4867" max="4869" width="14" bestFit="1" customWidth="1"/>
    <col min="4870" max="4870" width="12.7109375" bestFit="1" customWidth="1"/>
    <col min="4871" max="4887" width="11.5703125" customWidth="1"/>
    <col min="5122" max="5122" width="59.5703125" customWidth="1"/>
    <col min="5123" max="5125" width="14" bestFit="1" customWidth="1"/>
    <col min="5126" max="5126" width="12.7109375" bestFit="1" customWidth="1"/>
    <col min="5127" max="5143" width="11.5703125" customWidth="1"/>
    <col min="5378" max="5378" width="59.5703125" customWidth="1"/>
    <col min="5379" max="5381" width="14" bestFit="1" customWidth="1"/>
    <col min="5382" max="5382" width="12.7109375" bestFit="1" customWidth="1"/>
    <col min="5383" max="5399" width="11.5703125" customWidth="1"/>
    <col min="5634" max="5634" width="59.5703125" customWidth="1"/>
    <col min="5635" max="5637" width="14" bestFit="1" customWidth="1"/>
    <col min="5638" max="5638" width="12.7109375" bestFit="1" customWidth="1"/>
    <col min="5639" max="5655" width="11.5703125" customWidth="1"/>
    <col min="5890" max="5890" width="59.5703125" customWidth="1"/>
    <col min="5891" max="5893" width="14" bestFit="1" customWidth="1"/>
    <col min="5894" max="5894" width="12.7109375" bestFit="1" customWidth="1"/>
    <col min="5895" max="5911" width="11.5703125" customWidth="1"/>
    <col min="6146" max="6146" width="59.5703125" customWidth="1"/>
    <col min="6147" max="6149" width="14" bestFit="1" customWidth="1"/>
    <col min="6150" max="6150" width="12.7109375" bestFit="1" customWidth="1"/>
    <col min="6151" max="6167" width="11.5703125" customWidth="1"/>
    <col min="6402" max="6402" width="59.5703125" customWidth="1"/>
    <col min="6403" max="6405" width="14" bestFit="1" customWidth="1"/>
    <col min="6406" max="6406" width="12.7109375" bestFit="1" customWidth="1"/>
    <col min="6407" max="6423" width="11.5703125" customWidth="1"/>
    <col min="6658" max="6658" width="59.5703125" customWidth="1"/>
    <col min="6659" max="6661" width="14" bestFit="1" customWidth="1"/>
    <col min="6662" max="6662" width="12.7109375" bestFit="1" customWidth="1"/>
    <col min="6663" max="6679" width="11.5703125" customWidth="1"/>
    <col min="6914" max="6914" width="59.5703125" customWidth="1"/>
    <col min="6915" max="6917" width="14" bestFit="1" customWidth="1"/>
    <col min="6918" max="6918" width="12.7109375" bestFit="1" customWidth="1"/>
    <col min="6919" max="6935" width="11.5703125" customWidth="1"/>
    <col min="7170" max="7170" width="59.5703125" customWidth="1"/>
    <col min="7171" max="7173" width="14" bestFit="1" customWidth="1"/>
    <col min="7174" max="7174" width="12.7109375" bestFit="1" customWidth="1"/>
    <col min="7175" max="7191" width="11.5703125" customWidth="1"/>
    <col min="7426" max="7426" width="59.5703125" customWidth="1"/>
    <col min="7427" max="7429" width="14" bestFit="1" customWidth="1"/>
    <col min="7430" max="7430" width="12.7109375" bestFit="1" customWidth="1"/>
    <col min="7431" max="7447" width="11.5703125" customWidth="1"/>
    <col min="7682" max="7682" width="59.5703125" customWidth="1"/>
    <col min="7683" max="7685" width="14" bestFit="1" customWidth="1"/>
    <col min="7686" max="7686" width="12.7109375" bestFit="1" customWidth="1"/>
    <col min="7687" max="7703" width="11.5703125" customWidth="1"/>
    <col min="7938" max="7938" width="59.5703125" customWidth="1"/>
    <col min="7939" max="7941" width="14" bestFit="1" customWidth="1"/>
    <col min="7942" max="7942" width="12.7109375" bestFit="1" customWidth="1"/>
    <col min="7943" max="7959" width="11.5703125" customWidth="1"/>
    <col min="8194" max="8194" width="59.5703125" customWidth="1"/>
    <col min="8195" max="8197" width="14" bestFit="1" customWidth="1"/>
    <col min="8198" max="8198" width="12.7109375" bestFit="1" customWidth="1"/>
    <col min="8199" max="8215" width="11.5703125" customWidth="1"/>
    <col min="8450" max="8450" width="59.5703125" customWidth="1"/>
    <col min="8451" max="8453" width="14" bestFit="1" customWidth="1"/>
    <col min="8454" max="8454" width="12.7109375" bestFit="1" customWidth="1"/>
    <col min="8455" max="8471" width="11.5703125" customWidth="1"/>
    <col min="8706" max="8706" width="59.5703125" customWidth="1"/>
    <col min="8707" max="8709" width="14" bestFit="1" customWidth="1"/>
    <col min="8710" max="8710" width="12.7109375" bestFit="1" customWidth="1"/>
    <col min="8711" max="8727" width="11.5703125" customWidth="1"/>
    <col min="8962" max="8962" width="59.5703125" customWidth="1"/>
    <col min="8963" max="8965" width="14" bestFit="1" customWidth="1"/>
    <col min="8966" max="8966" width="12.7109375" bestFit="1" customWidth="1"/>
    <col min="8967" max="8983" width="11.5703125" customWidth="1"/>
    <col min="9218" max="9218" width="59.5703125" customWidth="1"/>
    <col min="9219" max="9221" width="14" bestFit="1" customWidth="1"/>
    <col min="9222" max="9222" width="12.7109375" bestFit="1" customWidth="1"/>
    <col min="9223" max="9239" width="11.5703125" customWidth="1"/>
    <col min="9474" max="9474" width="59.5703125" customWidth="1"/>
    <col min="9475" max="9477" width="14" bestFit="1" customWidth="1"/>
    <col min="9478" max="9478" width="12.7109375" bestFit="1" customWidth="1"/>
    <col min="9479" max="9495" width="11.5703125" customWidth="1"/>
    <col min="9730" max="9730" width="59.5703125" customWidth="1"/>
    <col min="9731" max="9733" width="14" bestFit="1" customWidth="1"/>
    <col min="9734" max="9734" width="12.7109375" bestFit="1" customWidth="1"/>
    <col min="9735" max="9751" width="11.5703125" customWidth="1"/>
    <col min="9986" max="9986" width="59.5703125" customWidth="1"/>
    <col min="9987" max="9989" width="14" bestFit="1" customWidth="1"/>
    <col min="9990" max="9990" width="12.7109375" bestFit="1" customWidth="1"/>
    <col min="9991" max="10007" width="11.5703125" customWidth="1"/>
    <col min="10242" max="10242" width="59.5703125" customWidth="1"/>
    <col min="10243" max="10245" width="14" bestFit="1" customWidth="1"/>
    <col min="10246" max="10246" width="12.7109375" bestFit="1" customWidth="1"/>
    <col min="10247" max="10263" width="11.5703125" customWidth="1"/>
    <col min="10498" max="10498" width="59.5703125" customWidth="1"/>
    <col min="10499" max="10501" width="14" bestFit="1" customWidth="1"/>
    <col min="10502" max="10502" width="12.7109375" bestFit="1" customWidth="1"/>
    <col min="10503" max="10519" width="11.5703125" customWidth="1"/>
    <col min="10754" max="10754" width="59.5703125" customWidth="1"/>
    <col min="10755" max="10757" width="14" bestFit="1" customWidth="1"/>
    <col min="10758" max="10758" width="12.7109375" bestFit="1" customWidth="1"/>
    <col min="10759" max="10775" width="11.5703125" customWidth="1"/>
    <col min="11010" max="11010" width="59.5703125" customWidth="1"/>
    <col min="11011" max="11013" width="14" bestFit="1" customWidth="1"/>
    <col min="11014" max="11014" width="12.7109375" bestFit="1" customWidth="1"/>
    <col min="11015" max="11031" width="11.5703125" customWidth="1"/>
    <col min="11266" max="11266" width="59.5703125" customWidth="1"/>
    <col min="11267" max="11269" width="14" bestFit="1" customWidth="1"/>
    <col min="11270" max="11270" width="12.7109375" bestFit="1" customWidth="1"/>
    <col min="11271" max="11287" width="11.5703125" customWidth="1"/>
    <col min="11522" max="11522" width="59.5703125" customWidth="1"/>
    <col min="11523" max="11525" width="14" bestFit="1" customWidth="1"/>
    <col min="11526" max="11526" width="12.7109375" bestFit="1" customWidth="1"/>
    <col min="11527" max="11543" width="11.5703125" customWidth="1"/>
    <col min="11778" max="11778" width="59.5703125" customWidth="1"/>
    <col min="11779" max="11781" width="14" bestFit="1" customWidth="1"/>
    <col min="11782" max="11782" width="12.7109375" bestFit="1" customWidth="1"/>
    <col min="11783" max="11799" width="11.5703125" customWidth="1"/>
    <col min="12034" max="12034" width="59.5703125" customWidth="1"/>
    <col min="12035" max="12037" width="14" bestFit="1" customWidth="1"/>
    <col min="12038" max="12038" width="12.7109375" bestFit="1" customWidth="1"/>
    <col min="12039" max="12055" width="11.5703125" customWidth="1"/>
    <col min="12290" max="12290" width="59.5703125" customWidth="1"/>
    <col min="12291" max="12293" width="14" bestFit="1" customWidth="1"/>
    <col min="12294" max="12294" width="12.7109375" bestFit="1" customWidth="1"/>
    <col min="12295" max="12311" width="11.5703125" customWidth="1"/>
    <col min="12546" max="12546" width="59.5703125" customWidth="1"/>
    <col min="12547" max="12549" width="14" bestFit="1" customWidth="1"/>
    <col min="12550" max="12550" width="12.7109375" bestFit="1" customWidth="1"/>
    <col min="12551" max="12567" width="11.5703125" customWidth="1"/>
    <col min="12802" max="12802" width="59.5703125" customWidth="1"/>
    <col min="12803" max="12805" width="14" bestFit="1" customWidth="1"/>
    <col min="12806" max="12806" width="12.7109375" bestFit="1" customWidth="1"/>
    <col min="12807" max="12823" width="11.5703125" customWidth="1"/>
    <col min="13058" max="13058" width="59.5703125" customWidth="1"/>
    <col min="13059" max="13061" width="14" bestFit="1" customWidth="1"/>
    <col min="13062" max="13062" width="12.7109375" bestFit="1" customWidth="1"/>
    <col min="13063" max="13079" width="11.5703125" customWidth="1"/>
    <col min="13314" max="13314" width="59.5703125" customWidth="1"/>
    <col min="13315" max="13317" width="14" bestFit="1" customWidth="1"/>
    <col min="13318" max="13318" width="12.7109375" bestFit="1" customWidth="1"/>
    <col min="13319" max="13335" width="11.5703125" customWidth="1"/>
    <col min="13570" max="13570" width="59.5703125" customWidth="1"/>
    <col min="13571" max="13573" width="14" bestFit="1" customWidth="1"/>
    <col min="13574" max="13574" width="12.7109375" bestFit="1" customWidth="1"/>
    <col min="13575" max="13591" width="11.5703125" customWidth="1"/>
    <col min="13826" max="13826" width="59.5703125" customWidth="1"/>
    <col min="13827" max="13829" width="14" bestFit="1" customWidth="1"/>
    <col min="13830" max="13830" width="12.7109375" bestFit="1" customWidth="1"/>
    <col min="13831" max="13847" width="11.5703125" customWidth="1"/>
    <col min="14082" max="14082" width="59.5703125" customWidth="1"/>
    <col min="14083" max="14085" width="14" bestFit="1" customWidth="1"/>
    <col min="14086" max="14086" width="12.7109375" bestFit="1" customWidth="1"/>
    <col min="14087" max="14103" width="11.5703125" customWidth="1"/>
    <col min="14338" max="14338" width="59.5703125" customWidth="1"/>
    <col min="14339" max="14341" width="14" bestFit="1" customWidth="1"/>
    <col min="14342" max="14342" width="12.7109375" bestFit="1" customWidth="1"/>
    <col min="14343" max="14359" width="11.5703125" customWidth="1"/>
    <col min="14594" max="14594" width="59.5703125" customWidth="1"/>
    <col min="14595" max="14597" width="14" bestFit="1" customWidth="1"/>
    <col min="14598" max="14598" width="12.7109375" bestFit="1" customWidth="1"/>
    <col min="14599" max="14615" width="11.5703125" customWidth="1"/>
    <col min="14850" max="14850" width="59.5703125" customWidth="1"/>
    <col min="14851" max="14853" width="14" bestFit="1" customWidth="1"/>
    <col min="14854" max="14854" width="12.7109375" bestFit="1" customWidth="1"/>
    <col min="14855" max="14871" width="11.5703125" customWidth="1"/>
    <col min="15106" max="15106" width="59.5703125" customWidth="1"/>
    <col min="15107" max="15109" width="14" bestFit="1" customWidth="1"/>
    <col min="15110" max="15110" width="12.7109375" bestFit="1" customWidth="1"/>
    <col min="15111" max="15127" width="11.5703125" customWidth="1"/>
    <col min="15362" max="15362" width="59.5703125" customWidth="1"/>
    <col min="15363" max="15365" width="14" bestFit="1" customWidth="1"/>
    <col min="15366" max="15366" width="12.7109375" bestFit="1" customWidth="1"/>
    <col min="15367" max="15383" width="11.5703125" customWidth="1"/>
    <col min="15618" max="15618" width="59.5703125" customWidth="1"/>
    <col min="15619" max="15621" width="14" bestFit="1" customWidth="1"/>
    <col min="15622" max="15622" width="12.7109375" bestFit="1" customWidth="1"/>
    <col min="15623" max="15639" width="11.5703125" customWidth="1"/>
    <col min="15874" max="15874" width="59.5703125" customWidth="1"/>
    <col min="15875" max="15877" width="14" bestFit="1" customWidth="1"/>
    <col min="15878" max="15878" width="12.7109375" bestFit="1" customWidth="1"/>
    <col min="15879" max="15895" width="11.5703125" customWidth="1"/>
    <col min="16130" max="16130" width="59.5703125" customWidth="1"/>
    <col min="16131" max="16133" width="14" bestFit="1" customWidth="1"/>
    <col min="16134" max="16134" width="12.7109375" bestFit="1" customWidth="1"/>
    <col min="16135" max="16151" width="11.5703125" customWidth="1"/>
  </cols>
  <sheetData>
    <row r="1" spans="1:26" ht="18.75">
      <c r="A1" s="72" t="s">
        <v>201</v>
      </c>
      <c r="G1" s="73"/>
    </row>
    <row r="2" spans="1:26" ht="15.75">
      <c r="A2" s="332" t="s">
        <v>202</v>
      </c>
    </row>
    <row r="3" spans="1:26" s="4" customFormat="1">
      <c r="C3" s="74">
        <v>2012</v>
      </c>
      <c r="D3" s="74">
        <v>2013</v>
      </c>
      <c r="E3" s="74">
        <v>2014</v>
      </c>
      <c r="F3" s="251" t="s">
        <v>45</v>
      </c>
      <c r="G3" s="74">
        <v>2015</v>
      </c>
      <c r="H3" s="74">
        <v>2016</v>
      </c>
      <c r="I3" s="74">
        <v>2017</v>
      </c>
      <c r="J3" s="74">
        <v>2018</v>
      </c>
      <c r="K3" s="74">
        <v>2019</v>
      </c>
      <c r="L3" s="74">
        <v>2020</v>
      </c>
      <c r="M3" s="74">
        <v>2021</v>
      </c>
      <c r="N3" s="74">
        <v>2022</v>
      </c>
      <c r="O3" s="74">
        <v>2023</v>
      </c>
      <c r="P3" s="74">
        <v>2024</v>
      </c>
      <c r="Q3" s="74">
        <v>2025</v>
      </c>
      <c r="R3" s="74">
        <v>2026</v>
      </c>
      <c r="S3" s="74">
        <v>2027</v>
      </c>
      <c r="T3" s="74">
        <v>2028</v>
      </c>
      <c r="U3" s="74">
        <v>2029</v>
      </c>
      <c r="V3" s="74">
        <v>2030</v>
      </c>
      <c r="W3" s="74">
        <v>2031</v>
      </c>
      <c r="X3" s="75">
        <v>2032</v>
      </c>
      <c r="Y3" s="74">
        <v>2033</v>
      </c>
      <c r="Z3" s="74">
        <v>2034</v>
      </c>
    </row>
    <row r="4" spans="1:26">
      <c r="A4" s="4" t="s">
        <v>46</v>
      </c>
      <c r="C4" s="143"/>
      <c r="D4" s="143"/>
      <c r="E4" s="143"/>
      <c r="F4" s="317"/>
      <c r="G4" s="143"/>
      <c r="H4" s="143"/>
      <c r="I4" s="143"/>
      <c r="J4" s="143"/>
      <c r="K4" s="143"/>
      <c r="L4" s="143"/>
      <c r="M4" s="143"/>
      <c r="N4" s="143"/>
      <c r="O4" s="143"/>
      <c r="P4" s="143"/>
      <c r="Q4" s="143"/>
      <c r="R4" s="143"/>
      <c r="S4" s="143"/>
      <c r="T4" s="143"/>
      <c r="U4" s="143"/>
      <c r="V4" s="143"/>
      <c r="W4" s="335"/>
      <c r="X4" s="331"/>
    </row>
    <row r="5" spans="1:26">
      <c r="A5" s="2" t="s">
        <v>47</v>
      </c>
      <c r="C5" s="319"/>
      <c r="D5" s="319"/>
      <c r="E5" s="319"/>
      <c r="F5" s="317"/>
      <c r="G5" s="319"/>
      <c r="H5" s="319"/>
      <c r="I5" s="319"/>
      <c r="J5" s="319"/>
      <c r="K5" s="319"/>
      <c r="L5" s="319"/>
      <c r="M5" s="319"/>
      <c r="N5" s="319"/>
      <c r="O5" s="319"/>
      <c r="P5" s="319"/>
      <c r="Q5" s="319"/>
      <c r="R5" s="319"/>
      <c r="S5" s="319"/>
      <c r="T5" s="319"/>
      <c r="U5" s="319"/>
      <c r="V5" s="319"/>
      <c r="W5" s="336"/>
      <c r="X5" s="341"/>
      <c r="Y5" s="87"/>
      <c r="Z5" s="87"/>
    </row>
    <row r="6" spans="1:26">
      <c r="B6" t="s">
        <v>48</v>
      </c>
      <c r="C6" s="143">
        <v>32460714.33587753</v>
      </c>
      <c r="D6" s="143">
        <v>34720988.587866575</v>
      </c>
      <c r="E6" s="143">
        <v>37367788.764897883</v>
      </c>
      <c r="F6" s="317">
        <f>SUM(C6:E6)</f>
        <v>104549491.688642</v>
      </c>
      <c r="G6" s="143">
        <v>40340758.812160082</v>
      </c>
      <c r="H6" s="143">
        <v>43469256.079039998</v>
      </c>
      <c r="I6" s="143">
        <v>46584794.721468762</v>
      </c>
      <c r="J6" s="143">
        <v>48034050.810150273</v>
      </c>
      <c r="K6" s="143">
        <v>49645840.111498863</v>
      </c>
      <c r="L6" s="143">
        <v>51279153.886690289</v>
      </c>
      <c r="M6" s="143">
        <v>52828643.207072772</v>
      </c>
      <c r="N6" s="143">
        <v>54549928.366914928</v>
      </c>
      <c r="O6" s="143">
        <v>56254913.396072045</v>
      </c>
      <c r="P6" s="143">
        <v>58069804.950568497</v>
      </c>
      <c r="Q6" s="143">
        <v>59920918.995821059</v>
      </c>
      <c r="R6" s="143">
        <v>61707336.648420602</v>
      </c>
      <c r="S6" s="143">
        <v>63157477.378788918</v>
      </c>
      <c r="T6" s="143">
        <v>65086641.093205884</v>
      </c>
      <c r="U6" s="143">
        <v>66982240.301630571</v>
      </c>
      <c r="V6" s="143">
        <v>69058751.100950077</v>
      </c>
      <c r="W6" s="337">
        <v>71418978.595257461</v>
      </c>
      <c r="X6" s="143">
        <v>72664867.861289605</v>
      </c>
      <c r="Y6" s="143">
        <v>74474758.483421698</v>
      </c>
      <c r="Z6" s="143">
        <v>76284649.105553806</v>
      </c>
    </row>
    <row r="7" spans="1:26">
      <c r="B7" t="s">
        <v>49</v>
      </c>
      <c r="C7" s="143">
        <v>1879930.8793176564</v>
      </c>
      <c r="D7" s="143">
        <v>2014307.3856148999</v>
      </c>
      <c r="E7" s="143">
        <v>2168414.1915047858</v>
      </c>
      <c r="F7" s="317">
        <f>SUM(C7:E7)</f>
        <v>6062652.4564373419</v>
      </c>
      <c r="G7" s="143">
        <v>2337666.1550981617</v>
      </c>
      <c r="H7" s="143">
        <v>2513979.565667992</v>
      </c>
      <c r="I7" s="143">
        <v>2696148.1982173594</v>
      </c>
      <c r="J7" s="143">
        <v>2780381.5097812987</v>
      </c>
      <c r="K7" s="143">
        <v>2868773.1428995794</v>
      </c>
      <c r="L7" s="143">
        <v>2966063.1054125009</v>
      </c>
      <c r="M7" s="143">
        <v>3056968.2854802925</v>
      </c>
      <c r="N7" s="143">
        <v>3149248.6323778974</v>
      </c>
      <c r="O7" s="143">
        <v>3243315.0628957413</v>
      </c>
      <c r="P7" s="143">
        <v>3349072.2405931489</v>
      </c>
      <c r="Q7" s="143">
        <v>3453508.289087642</v>
      </c>
      <c r="R7" s="143">
        <v>3568529.6637599426</v>
      </c>
      <c r="S7" s="143">
        <v>3648110.5881362669</v>
      </c>
      <c r="T7" s="143">
        <v>3764670.9128333558</v>
      </c>
      <c r="U7" s="143">
        <v>3881651.4397072596</v>
      </c>
      <c r="V7" s="143">
        <v>4004169.2074811971</v>
      </c>
      <c r="W7" s="337">
        <v>4149095.186335424</v>
      </c>
      <c r="X7" s="143">
        <v>4206437.1126525598</v>
      </c>
      <c r="Y7" s="143">
        <v>4311522.6010795403</v>
      </c>
      <c r="Z7" s="143">
        <v>4416608.08950652</v>
      </c>
    </row>
    <row r="8" spans="1:26">
      <c r="A8" s="2" t="s">
        <v>50</v>
      </c>
      <c r="C8" s="319"/>
      <c r="D8" s="319"/>
      <c r="E8" s="319"/>
      <c r="F8" s="317"/>
      <c r="G8" s="319"/>
      <c r="H8" s="319"/>
      <c r="I8" s="319"/>
      <c r="J8" s="319"/>
      <c r="K8" s="319"/>
      <c r="L8" s="319"/>
      <c r="M8" s="319"/>
      <c r="N8" s="319"/>
      <c r="O8" s="319"/>
      <c r="P8" s="319"/>
      <c r="Q8" s="319"/>
      <c r="R8" s="319"/>
      <c r="S8" s="319"/>
      <c r="T8" s="319"/>
      <c r="U8" s="319"/>
      <c r="V8" s="319"/>
      <c r="W8" s="336"/>
      <c r="X8" s="319"/>
      <c r="Y8" s="319"/>
      <c r="Z8" s="319"/>
    </row>
    <row r="9" spans="1:26">
      <c r="B9" t="s">
        <v>48</v>
      </c>
      <c r="C9" s="320">
        <v>3032200.3831440005</v>
      </c>
      <c r="D9" s="320">
        <v>3263810</v>
      </c>
      <c r="E9" s="320">
        <v>3404699</v>
      </c>
      <c r="F9" s="317">
        <f>SUM(C9:E9)</f>
        <v>9700709.3831440005</v>
      </c>
      <c r="G9" s="321">
        <v>3058530</v>
      </c>
      <c r="H9" s="321">
        <v>3333810</v>
      </c>
      <c r="I9" s="321">
        <v>3504830</v>
      </c>
      <c r="J9" s="321">
        <v>3302660</v>
      </c>
      <c r="K9" s="321">
        <v>3599780</v>
      </c>
      <c r="L9" s="321">
        <v>3783100</v>
      </c>
      <c r="M9" s="321">
        <v>3565290</v>
      </c>
      <c r="N9" s="321">
        <v>3887450</v>
      </c>
      <c r="O9" s="321">
        <v>4084480</v>
      </c>
      <c r="P9" s="321">
        <v>3849120</v>
      </c>
      <c r="Q9" s="321">
        <v>4197930</v>
      </c>
      <c r="R9" s="321">
        <v>4409660</v>
      </c>
      <c r="S9" s="321">
        <v>4156150</v>
      </c>
      <c r="T9" s="321">
        <v>4533620</v>
      </c>
      <c r="U9" s="321">
        <v>4763060</v>
      </c>
      <c r="V9" s="321">
        <v>4481810</v>
      </c>
      <c r="W9" s="338">
        <v>4797630</v>
      </c>
      <c r="X9" s="321">
        <v>4863430.5147058796</v>
      </c>
      <c r="Y9" s="321">
        <v>4963884.1666666698</v>
      </c>
      <c r="Z9" s="321">
        <v>5064337.8186274497</v>
      </c>
    </row>
    <row r="10" spans="1:26">
      <c r="B10" t="s">
        <v>49</v>
      </c>
      <c r="C10" s="143">
        <v>197281.1</v>
      </c>
      <c r="D10" s="143">
        <v>200562</v>
      </c>
      <c r="E10" s="143">
        <v>203148</v>
      </c>
      <c r="F10" s="317">
        <f t="shared" ref="F10:F14" si="0">SUM(C10:E10)</f>
        <v>600991.1</v>
      </c>
      <c r="G10" s="143">
        <v>145300</v>
      </c>
      <c r="H10" s="143">
        <v>154600</v>
      </c>
      <c r="I10" s="143">
        <v>158400</v>
      </c>
      <c r="J10" s="143">
        <v>154000</v>
      </c>
      <c r="K10" s="143">
        <v>163600</v>
      </c>
      <c r="L10" s="143">
        <v>167600</v>
      </c>
      <c r="M10" s="143">
        <v>163100</v>
      </c>
      <c r="N10" s="143">
        <v>172900</v>
      </c>
      <c r="O10" s="143">
        <v>177100</v>
      </c>
      <c r="P10" s="143">
        <v>172400</v>
      </c>
      <c r="Q10" s="143">
        <v>183400</v>
      </c>
      <c r="R10" s="143">
        <v>185600</v>
      </c>
      <c r="S10" s="143">
        <v>182100</v>
      </c>
      <c r="T10" s="143">
        <v>193400</v>
      </c>
      <c r="U10" s="143">
        <v>195700</v>
      </c>
      <c r="V10" s="143">
        <v>192200</v>
      </c>
      <c r="W10" s="337">
        <v>203900</v>
      </c>
      <c r="X10" s="143">
        <v>203566.91176470599</v>
      </c>
      <c r="Y10" s="143">
        <v>206804.41176470599</v>
      </c>
      <c r="Z10" s="143">
        <v>210041.91176470599</v>
      </c>
    </row>
    <row r="11" spans="1:26">
      <c r="A11" s="2" t="s">
        <v>51</v>
      </c>
      <c r="C11" s="143">
        <f>((C6+C9)/0.959)-(C6+C9)</f>
        <v>1517423.8826693296</v>
      </c>
      <c r="D11" s="143">
        <f>((D6+D9)/0.959)-(D6+D9)</f>
        <v>1623959.0637148395</v>
      </c>
      <c r="E11" s="143">
        <f>((E6+E9)/0.959)-(E6+E9)</f>
        <v>1743140.7699278593</v>
      </c>
      <c r="F11" s="317">
        <f t="shared" si="0"/>
        <v>4884523.7163120285</v>
      </c>
      <c r="G11" s="143">
        <f>((G6+G9)/0.959)-(G6+G9)</f>
        <v>1855444.0472352058</v>
      </c>
      <c r="H11" s="143">
        <f t="shared" ref="H11:W11" si="1">((H6+H9)/0.959)-(H6+H9)</f>
        <v>2000965.2859652191</v>
      </c>
      <c r="I11" s="143">
        <f t="shared" si="1"/>
        <v>2141475.0923672765</v>
      </c>
      <c r="J11" s="143">
        <f t="shared" si="1"/>
        <v>2194791.598765552</v>
      </c>
      <c r="K11" s="143">
        <f t="shared" si="1"/>
        <v>2276402.9453299865</v>
      </c>
      <c r="L11" s="143">
        <f t="shared" si="1"/>
        <v>2354069.2485446334</v>
      </c>
      <c r="M11" s="143">
        <f t="shared" si="1"/>
        <v>2411002.358175166</v>
      </c>
      <c r="N11" s="143">
        <f t="shared" si="1"/>
        <v>2498365.4984812438</v>
      </c>
      <c r="O11" s="143">
        <f t="shared" si="1"/>
        <v>2579682.0951396823</v>
      </c>
      <c r="P11" s="143">
        <f t="shared" si="1"/>
        <v>2647211.5985123143</v>
      </c>
      <c r="Q11" s="143">
        <f t="shared" si="1"/>
        <v>2741264.6598839089</v>
      </c>
      <c r="R11" s="143">
        <f t="shared" si="1"/>
        <v>2826691.2018615752</v>
      </c>
      <c r="S11" s="143">
        <f t="shared" si="1"/>
        <v>2877850.5970076621</v>
      </c>
      <c r="T11" s="143">
        <f t="shared" si="1"/>
        <v>2976465.8027335107</v>
      </c>
      <c r="U11" s="143">
        <f t="shared" si="1"/>
        <v>3067317.3225931823</v>
      </c>
      <c r="V11" s="143">
        <f t="shared" si="1"/>
        <v>3144069.8698007911</v>
      </c>
      <c r="W11" s="337">
        <f t="shared" si="1"/>
        <v>3258478.573936969</v>
      </c>
      <c r="X11" s="143">
        <f>((X6+X9)/0.959)-(X6+X9)</f>
        <v>3314557.0734262913</v>
      </c>
      <c r="Y11" s="143">
        <f t="shared" ref="Y11:Z11" si="2">((Y6+Y9)/0.959)-(Y6+Y9)</f>
        <v>3396229.7691904306</v>
      </c>
      <c r="Z11" s="143">
        <f t="shared" si="2"/>
        <v>3477902.4649545699</v>
      </c>
    </row>
    <row r="12" spans="1:26">
      <c r="A12" s="2" t="s">
        <v>52</v>
      </c>
      <c r="C12" s="143">
        <v>948966.66666666663</v>
      </c>
      <c r="D12" s="143">
        <v>948966.66666666663</v>
      </c>
      <c r="E12" s="143">
        <v>948966.66666666663</v>
      </c>
      <c r="F12" s="317">
        <f t="shared" si="0"/>
        <v>2846900</v>
      </c>
      <c r="G12" s="143">
        <v>959970.71869702265</v>
      </c>
      <c r="H12" s="143">
        <v>959970.71869702265</v>
      </c>
      <c r="I12" s="143">
        <v>959970.71869702265</v>
      </c>
      <c r="J12" s="143">
        <v>1034533.198135456</v>
      </c>
      <c r="K12" s="143">
        <v>1034533.198135456</v>
      </c>
      <c r="L12" s="143">
        <v>1034533.198135456</v>
      </c>
      <c r="M12" s="143">
        <v>1119804.3517932587</v>
      </c>
      <c r="N12" s="143">
        <v>1119804.3517932587</v>
      </c>
      <c r="O12" s="143">
        <v>1119804.3517932587</v>
      </c>
      <c r="P12" s="143">
        <v>1206781.368205782</v>
      </c>
      <c r="Q12" s="143">
        <v>1206781.368205782</v>
      </c>
      <c r="R12" s="143">
        <v>1206781.368205782</v>
      </c>
      <c r="S12" s="143">
        <v>1306250.0364564599</v>
      </c>
      <c r="T12" s="143">
        <v>1306250.0364564599</v>
      </c>
      <c r="U12" s="143">
        <v>1306250.0364564599</v>
      </c>
      <c r="V12" s="143">
        <v>1407708.5909600137</v>
      </c>
      <c r="W12" s="337">
        <v>1407708.5909600137</v>
      </c>
      <c r="X12" s="143">
        <v>1423750.75660874</v>
      </c>
      <c r="Y12" s="143">
        <v>1453203.8720372701</v>
      </c>
      <c r="Z12" s="143">
        <v>1482656.9874658</v>
      </c>
    </row>
    <row r="13" spans="1:26">
      <c r="A13" s="2" t="s">
        <v>53</v>
      </c>
      <c r="C13" s="141">
        <v>25650</v>
      </c>
      <c r="D13" s="141">
        <v>26316.9</v>
      </c>
      <c r="E13" s="141">
        <v>27001.139400000004</v>
      </c>
      <c r="F13" s="317">
        <f t="shared" si="0"/>
        <v>78968.039400000009</v>
      </c>
      <c r="G13" s="141">
        <v>27703.169024400006</v>
      </c>
      <c r="H13" s="141">
        <v>28423.451419034405</v>
      </c>
      <c r="I13" s="141">
        <v>29162.461155929301</v>
      </c>
      <c r="J13" s="141">
        <v>29920.685145983462</v>
      </c>
      <c r="K13" s="141">
        <v>30698.622959779033</v>
      </c>
      <c r="L13" s="141">
        <v>31496.787156733288</v>
      </c>
      <c r="M13" s="141">
        <v>32315.703622808353</v>
      </c>
      <c r="N13" s="141">
        <v>33155.911917001373</v>
      </c>
      <c r="O13" s="141">
        <v>34017.965626843412</v>
      </c>
      <c r="P13" s="141">
        <v>34902.432733141344</v>
      </c>
      <c r="Q13" s="141">
        <v>35809.895984203024</v>
      </c>
      <c r="R13" s="141">
        <v>36740.953279792302</v>
      </c>
      <c r="S13" s="141">
        <v>37696.218065066903</v>
      </c>
      <c r="T13" s="141">
        <v>38676.319734758647</v>
      </c>
      <c r="U13" s="141">
        <v>39681.904047862372</v>
      </c>
      <c r="V13" s="141">
        <v>40713.633553106796</v>
      </c>
      <c r="W13" s="339">
        <v>41772.188025487572</v>
      </c>
      <c r="X13" s="141">
        <v>42183.195237729902</v>
      </c>
      <c r="Y13" s="141">
        <v>43060.489457269003</v>
      </c>
      <c r="Z13" s="141">
        <v>43937.783676808103</v>
      </c>
    </row>
    <row r="14" spans="1:26">
      <c r="A14" s="2" t="s">
        <v>54</v>
      </c>
      <c r="C14" s="141">
        <v>15390</v>
      </c>
      <c r="D14" s="141">
        <v>15790.140000000001</v>
      </c>
      <c r="E14" s="141">
        <v>16200.683640000001</v>
      </c>
      <c r="F14" s="317">
        <f t="shared" si="0"/>
        <v>47380.823640000002</v>
      </c>
      <c r="G14" s="141">
        <v>16621.90141464</v>
      </c>
      <c r="H14" s="141">
        <v>17054.070851420642</v>
      </c>
      <c r="I14" s="141">
        <v>17497.476693557579</v>
      </c>
      <c r="J14" s="141">
        <v>17952.411087590077</v>
      </c>
      <c r="K14" s="141">
        <v>18419.173775867421</v>
      </c>
      <c r="L14" s="141">
        <v>18898.072294039976</v>
      </c>
      <c r="M14" s="141">
        <v>19389.422173685016</v>
      </c>
      <c r="N14" s="141">
        <v>19893.547150200826</v>
      </c>
      <c r="O14" s="141">
        <v>20410.779376106049</v>
      </c>
      <c r="P14" s="141">
        <v>20941.459639884808</v>
      </c>
      <c r="Q14" s="141">
        <v>21485.937590521815</v>
      </c>
      <c r="R14" s="141">
        <v>22044.571967875381</v>
      </c>
      <c r="S14" s="141">
        <v>22617.730839040141</v>
      </c>
      <c r="T14" s="141">
        <v>23205.791840855185</v>
      </c>
      <c r="U14" s="141">
        <v>23809.14242871742</v>
      </c>
      <c r="V14" s="141">
        <v>24428.180131864072</v>
      </c>
      <c r="W14" s="339">
        <v>25063.312815292538</v>
      </c>
      <c r="X14" s="141">
        <v>25309.917142638002</v>
      </c>
      <c r="Y14" s="141">
        <v>25836.293674361401</v>
      </c>
      <c r="Z14" s="141">
        <v>26362.670206084898</v>
      </c>
    </row>
    <row r="15" spans="1:26">
      <c r="A15" s="2"/>
      <c r="C15" s="143"/>
      <c r="D15" s="143"/>
      <c r="E15" s="143"/>
      <c r="F15" s="317"/>
      <c r="G15" s="143"/>
      <c r="H15" s="143"/>
      <c r="I15" s="143"/>
      <c r="J15" s="143"/>
      <c r="K15" s="143"/>
      <c r="L15" s="143"/>
      <c r="M15" s="143"/>
      <c r="N15" s="143"/>
      <c r="O15" s="143"/>
      <c r="P15" s="143"/>
      <c r="Q15" s="143"/>
      <c r="R15" s="143"/>
      <c r="S15" s="143"/>
      <c r="T15" s="143"/>
      <c r="U15" s="143"/>
      <c r="V15" s="143"/>
      <c r="W15" s="340"/>
      <c r="X15" s="143"/>
      <c r="Y15" s="143"/>
      <c r="Z15" s="143"/>
    </row>
    <row r="16" spans="1:26">
      <c r="A16" s="2"/>
      <c r="B16" s="77" t="s">
        <v>55</v>
      </c>
      <c r="C16" s="323">
        <f>SUM(C6:C14)</f>
        <v>40077557.24767518</v>
      </c>
      <c r="D16" s="323">
        <f t="shared" ref="D16:W16" si="3">SUM(D6:D14)</f>
        <v>42814700.743862979</v>
      </c>
      <c r="E16" s="323">
        <f t="shared" si="3"/>
        <v>45879359.216037191</v>
      </c>
      <c r="F16" s="324">
        <f t="shared" si="3"/>
        <v>128771617.20757538</v>
      </c>
      <c r="G16" s="323">
        <f t="shared" si="3"/>
        <v>48741994.803629518</v>
      </c>
      <c r="H16" s="323">
        <f t="shared" si="3"/>
        <v>52478059.171640694</v>
      </c>
      <c r="I16" s="323">
        <f t="shared" si="3"/>
        <v>56092278.668599911</v>
      </c>
      <c r="J16" s="323">
        <f t="shared" si="3"/>
        <v>57548290.213066153</v>
      </c>
      <c r="K16" s="323">
        <f t="shared" si="3"/>
        <v>59638047.194599532</v>
      </c>
      <c r="L16" s="323">
        <f t="shared" si="3"/>
        <v>61634914.298233651</v>
      </c>
      <c r="M16" s="323">
        <f t="shared" si="3"/>
        <v>63196513.328317985</v>
      </c>
      <c r="N16" s="323">
        <f t="shared" si="3"/>
        <v>65430746.308634534</v>
      </c>
      <c r="O16" s="323">
        <f t="shared" si="3"/>
        <v>67513723.650903687</v>
      </c>
      <c r="P16" s="323">
        <f t="shared" si="3"/>
        <v>69350234.05025278</v>
      </c>
      <c r="Q16" s="323">
        <f t="shared" si="3"/>
        <v>71761099.146573111</v>
      </c>
      <c r="R16" s="323">
        <f t="shared" si="3"/>
        <v>73963384.407495573</v>
      </c>
      <c r="S16" s="323">
        <f t="shared" si="3"/>
        <v>75388252.549293429</v>
      </c>
      <c r="T16" s="323">
        <f t="shared" si="3"/>
        <v>77922929.956804827</v>
      </c>
      <c r="U16" s="323">
        <f t="shared" si="3"/>
        <v>80259710.146864057</v>
      </c>
      <c r="V16" s="323">
        <f t="shared" si="3"/>
        <v>82353850.58287704</v>
      </c>
      <c r="W16" s="323">
        <f t="shared" si="3"/>
        <v>85302626.447330654</v>
      </c>
      <c r="X16" s="323">
        <f t="shared" ref="X16:Z16" si="4">SUM(X6:X14)</f>
        <v>86744103.342828155</v>
      </c>
      <c r="Y16" s="323">
        <f t="shared" si="4"/>
        <v>88875300.087291956</v>
      </c>
      <c r="Z16" s="323">
        <f t="shared" si="4"/>
        <v>91006496.831755742</v>
      </c>
    </row>
    <row r="17" spans="1:24">
      <c r="A17" s="2"/>
      <c r="B17" s="77"/>
      <c r="C17" s="250"/>
      <c r="D17" s="250"/>
      <c r="E17" s="250"/>
      <c r="F17" s="317"/>
      <c r="G17" s="250"/>
      <c r="H17" s="250"/>
      <c r="I17" s="250"/>
      <c r="J17" s="143"/>
      <c r="K17" s="143"/>
      <c r="L17" s="143"/>
      <c r="M17" s="143"/>
      <c r="N17" s="143"/>
      <c r="O17" s="143"/>
      <c r="P17" s="143"/>
      <c r="Q17" s="143"/>
      <c r="R17" s="143"/>
      <c r="S17" s="143"/>
      <c r="T17" s="143"/>
      <c r="U17" s="143"/>
      <c r="V17" s="143"/>
      <c r="W17" s="143"/>
      <c r="X17" s="318"/>
    </row>
    <row r="18" spans="1:24">
      <c r="A18" s="2"/>
      <c r="B18" s="77"/>
      <c r="C18" s="63"/>
      <c r="D18" s="63"/>
      <c r="E18" s="143"/>
      <c r="F18" s="317"/>
      <c r="G18" s="250"/>
      <c r="H18" s="143"/>
      <c r="I18" s="143"/>
      <c r="J18" s="143"/>
      <c r="K18" s="143"/>
      <c r="L18" s="143"/>
      <c r="M18" s="143"/>
      <c r="N18" s="143"/>
      <c r="O18" s="143"/>
      <c r="P18" s="143"/>
      <c r="Q18" s="143"/>
      <c r="R18" s="143"/>
      <c r="S18" s="143"/>
      <c r="T18" s="143"/>
      <c r="U18" s="143"/>
      <c r="V18" s="143"/>
      <c r="W18" s="143"/>
      <c r="X18" s="318"/>
    </row>
    <row r="19" spans="1:24">
      <c r="A19" s="78" t="s">
        <v>56</v>
      </c>
      <c r="C19" s="250"/>
      <c r="D19" s="143"/>
      <c r="E19" s="143"/>
      <c r="F19" s="317"/>
      <c r="G19" s="143"/>
      <c r="H19" s="143"/>
      <c r="I19" s="143"/>
      <c r="J19" s="143"/>
      <c r="K19" s="143"/>
      <c r="L19" s="143"/>
      <c r="M19" s="143"/>
      <c r="N19" s="143"/>
      <c r="O19" s="143"/>
      <c r="P19" s="143"/>
      <c r="Q19" s="143"/>
      <c r="R19" s="143"/>
      <c r="S19" s="143"/>
      <c r="T19" s="143"/>
      <c r="U19" s="143"/>
      <c r="V19" s="143"/>
      <c r="W19" s="143"/>
      <c r="X19" s="318"/>
    </row>
    <row r="20" spans="1:24">
      <c r="A20" s="2" t="s">
        <v>57</v>
      </c>
      <c r="C20" s="319"/>
      <c r="D20" s="319"/>
      <c r="E20" s="319"/>
      <c r="F20" s="317"/>
      <c r="G20" s="319"/>
      <c r="H20" s="319"/>
      <c r="I20" s="319"/>
      <c r="J20" s="319"/>
      <c r="K20" s="319"/>
      <c r="L20" s="319"/>
      <c r="M20" s="319"/>
      <c r="N20" s="143"/>
      <c r="O20" s="143"/>
      <c r="P20" s="143"/>
      <c r="Q20" s="143"/>
      <c r="R20" s="143"/>
      <c r="S20" s="143"/>
      <c r="T20" s="143"/>
      <c r="U20" s="143"/>
      <c r="V20" s="143"/>
      <c r="W20" s="143"/>
      <c r="X20" s="318"/>
    </row>
    <row r="21" spans="1:24">
      <c r="B21" t="s">
        <v>48</v>
      </c>
      <c r="C21" s="143">
        <v>3727300</v>
      </c>
      <c r="D21" s="143">
        <v>4286200</v>
      </c>
      <c r="E21" s="143">
        <v>4880800</v>
      </c>
      <c r="F21" s="317">
        <f>SUM(C21:E21)</f>
        <v>12894300</v>
      </c>
      <c r="G21" s="143">
        <v>4516400</v>
      </c>
      <c r="H21" s="143">
        <v>4092000</v>
      </c>
      <c r="I21" s="143">
        <v>4319300</v>
      </c>
      <c r="J21" s="143">
        <v>4746600</v>
      </c>
      <c r="K21" s="143">
        <v>5125200</v>
      </c>
      <c r="L21" s="143">
        <v>5452300</v>
      </c>
      <c r="M21" s="143">
        <v>5831300</v>
      </c>
      <c r="N21" s="143"/>
      <c r="O21" s="143"/>
      <c r="P21" s="143"/>
      <c r="Q21" s="143"/>
      <c r="R21" s="143"/>
      <c r="S21" s="143"/>
      <c r="T21" s="143"/>
      <c r="U21" s="143"/>
      <c r="V21" s="143"/>
      <c r="W21" s="143"/>
      <c r="X21" s="318"/>
    </row>
    <row r="22" spans="1:24">
      <c r="B22" t="s">
        <v>49</v>
      </c>
      <c r="C22" s="143">
        <v>73197</v>
      </c>
      <c r="D22" s="143">
        <v>258683</v>
      </c>
      <c r="E22" s="143">
        <v>271915</v>
      </c>
      <c r="F22" s="317">
        <f>SUM(C22:E22)</f>
        <v>603795</v>
      </c>
      <c r="G22" s="143">
        <v>279447</v>
      </c>
      <c r="H22" s="143">
        <v>248518</v>
      </c>
      <c r="I22" s="143">
        <v>238097</v>
      </c>
      <c r="J22" s="143">
        <v>258720</v>
      </c>
      <c r="K22" s="143">
        <v>282251</v>
      </c>
      <c r="L22" s="143">
        <v>308050</v>
      </c>
      <c r="M22" s="143">
        <v>334554</v>
      </c>
      <c r="N22" s="143"/>
      <c r="O22" s="143"/>
      <c r="P22" s="143"/>
      <c r="Q22" s="143"/>
      <c r="R22" s="143"/>
      <c r="S22" s="143"/>
      <c r="T22" s="143"/>
      <c r="U22" s="143"/>
      <c r="V22" s="143"/>
      <c r="W22" s="143"/>
      <c r="X22" s="318"/>
    </row>
    <row r="23" spans="1:24">
      <c r="A23" s="2" t="s">
        <v>50</v>
      </c>
      <c r="C23" s="319"/>
      <c r="D23" s="319"/>
      <c r="E23" s="319"/>
      <c r="F23" s="317"/>
      <c r="G23" s="319"/>
      <c r="H23" s="319"/>
      <c r="I23" s="319"/>
      <c r="J23" s="319"/>
      <c r="K23" s="319"/>
      <c r="L23" s="319"/>
      <c r="M23" s="319"/>
      <c r="N23" s="143"/>
      <c r="O23" s="143"/>
      <c r="P23" s="143"/>
      <c r="Q23" s="143"/>
      <c r="R23" s="143"/>
      <c r="S23" s="143"/>
      <c r="T23" s="143"/>
      <c r="U23" s="143"/>
      <c r="V23" s="143"/>
      <c r="W23" s="143"/>
      <c r="X23" s="318"/>
    </row>
    <row r="24" spans="1:24">
      <c r="A24" s="2"/>
      <c r="B24" t="s">
        <v>48</v>
      </c>
      <c r="C24" s="54">
        <v>1224800</v>
      </c>
      <c r="D24" s="54">
        <v>1191410</v>
      </c>
      <c r="E24" s="54">
        <v>1241520</v>
      </c>
      <c r="F24" s="325">
        <v>3657730</v>
      </c>
      <c r="G24" s="54">
        <v>1270430</v>
      </c>
      <c r="H24" s="54">
        <v>1301040</v>
      </c>
      <c r="I24" s="54">
        <v>1332350</v>
      </c>
      <c r="J24" s="54">
        <v>1363260</v>
      </c>
      <c r="K24" s="54">
        <v>1395870</v>
      </c>
      <c r="L24" s="54">
        <v>1430180</v>
      </c>
      <c r="M24" s="54">
        <v>1463190</v>
      </c>
      <c r="N24" s="143"/>
      <c r="O24" s="143"/>
      <c r="P24" s="143"/>
      <c r="Q24" s="143"/>
      <c r="R24" s="143"/>
      <c r="S24" s="143"/>
      <c r="T24" s="143"/>
      <c r="U24" s="143"/>
      <c r="V24" s="143"/>
      <c r="W24" s="143"/>
      <c r="X24" s="318"/>
    </row>
    <row r="25" spans="1:24">
      <c r="A25" s="2"/>
      <c r="B25" t="s">
        <v>49</v>
      </c>
      <c r="C25" s="143">
        <v>230298</v>
      </c>
      <c r="D25" s="143">
        <v>56300</v>
      </c>
      <c r="E25" s="143">
        <v>57100</v>
      </c>
      <c r="F25" s="317">
        <f>SUM(C25:E25)</f>
        <v>343698</v>
      </c>
      <c r="G25" s="143">
        <v>58200</v>
      </c>
      <c r="H25" s="143">
        <v>59300</v>
      </c>
      <c r="I25" s="143">
        <v>60400</v>
      </c>
      <c r="J25" s="143">
        <v>61500</v>
      </c>
      <c r="K25" s="143">
        <v>62600</v>
      </c>
      <c r="L25" s="143">
        <v>63700</v>
      </c>
      <c r="M25" s="143">
        <v>64800</v>
      </c>
      <c r="N25" s="143"/>
      <c r="O25" s="143"/>
      <c r="P25" s="143"/>
      <c r="Q25" s="143"/>
      <c r="R25" s="143"/>
      <c r="S25" s="143"/>
      <c r="T25" s="143"/>
      <c r="U25" s="143"/>
      <c r="V25" s="143"/>
      <c r="W25" s="143"/>
      <c r="X25" s="318"/>
    </row>
    <row r="26" spans="1:24">
      <c r="A26" s="2" t="s">
        <v>51</v>
      </c>
      <c r="C26" s="143">
        <f>((C21+C24)/0.959)-(C21+C24)</f>
        <v>211716.47549530771</v>
      </c>
      <c r="D26" s="143">
        <f t="shared" ref="D26:M26" si="5">((D21+D24)/0.959)-(D21+D24)</f>
        <v>234183.53493222129</v>
      </c>
      <c r="E26" s="143">
        <f t="shared" si="5"/>
        <v>261746.73618352506</v>
      </c>
      <c r="F26" s="317">
        <f>SUM(C26:E26)</f>
        <v>707646.74661105406</v>
      </c>
      <c r="G26" s="143">
        <f t="shared" si="5"/>
        <v>247403.57664233632</v>
      </c>
      <c r="H26" s="143">
        <f t="shared" si="5"/>
        <v>230567.92492179386</v>
      </c>
      <c r="I26" s="143">
        <f t="shared" si="5"/>
        <v>241624.24400417134</v>
      </c>
      <c r="J26" s="143">
        <f t="shared" si="5"/>
        <v>261214.03545359802</v>
      </c>
      <c r="K26" s="143">
        <f t="shared" si="5"/>
        <v>278794.44212721568</v>
      </c>
      <c r="L26" s="143">
        <f t="shared" si="5"/>
        <v>294245.75599582959</v>
      </c>
      <c r="M26" s="143">
        <f t="shared" si="5"/>
        <v>311860.36496350355</v>
      </c>
      <c r="N26" s="143"/>
      <c r="O26" s="143"/>
      <c r="P26" s="143"/>
      <c r="Q26" s="143"/>
      <c r="R26" s="143"/>
      <c r="S26" s="143"/>
      <c r="T26" s="143"/>
      <c r="U26" s="143"/>
      <c r="V26" s="143"/>
      <c r="W26" s="143"/>
      <c r="X26" s="318"/>
    </row>
    <row r="27" spans="1:24">
      <c r="A27" s="2" t="s">
        <v>52</v>
      </c>
      <c r="C27" s="326">
        <v>698227.17828061536</v>
      </c>
      <c r="D27" s="326">
        <v>712388.0230359931</v>
      </c>
      <c r="E27" s="326">
        <v>769980.2001939622</v>
      </c>
      <c r="F27" s="327">
        <f>SUM(C27:E27)</f>
        <v>2180595.4015105707</v>
      </c>
      <c r="G27" s="326">
        <v>731274.95176564669</v>
      </c>
      <c r="H27" s="326">
        <v>802443.6306332621</v>
      </c>
      <c r="I27" s="326">
        <v>831613.70882708323</v>
      </c>
      <c r="J27" s="326">
        <v>755986.24036000809</v>
      </c>
      <c r="K27" s="326">
        <v>815887.15079946385</v>
      </c>
      <c r="L27" s="326">
        <v>829986.58121864428</v>
      </c>
      <c r="M27" s="326">
        <v>766978.84040953382</v>
      </c>
      <c r="N27" s="326"/>
      <c r="O27" s="326"/>
      <c r="P27" s="326"/>
      <c r="Q27" s="326"/>
      <c r="R27" s="326"/>
      <c r="S27" s="326"/>
      <c r="T27" s="326"/>
      <c r="U27" s="326"/>
      <c r="V27" s="326"/>
      <c r="W27" s="326"/>
      <c r="X27" s="322"/>
    </row>
    <row r="28" spans="1:24">
      <c r="A28" s="2"/>
      <c r="B28" s="77" t="s">
        <v>400</v>
      </c>
      <c r="C28" s="143">
        <f>SUM(C21:C27)</f>
        <v>6165538.653775923</v>
      </c>
      <c r="D28" s="143">
        <f t="shared" ref="D28:E28" si="6">SUM(D21:D27)</f>
        <v>6739164.5579682142</v>
      </c>
      <c r="E28" s="143">
        <f t="shared" si="6"/>
        <v>7483061.9363774871</v>
      </c>
      <c r="F28" s="317">
        <f>SUM(C28:E28)</f>
        <v>20387765.148121625</v>
      </c>
      <c r="G28" s="143"/>
      <c r="H28" s="143"/>
      <c r="I28" s="143"/>
      <c r="J28" s="143"/>
      <c r="K28" s="143"/>
      <c r="L28" s="143"/>
      <c r="M28" s="143"/>
      <c r="N28" s="143"/>
      <c r="O28" s="143"/>
      <c r="P28" s="143"/>
      <c r="Q28" s="143"/>
      <c r="R28" s="143"/>
      <c r="S28" s="143"/>
      <c r="T28" s="143"/>
      <c r="U28" s="143"/>
      <c r="V28" s="143"/>
      <c r="W28" s="143"/>
      <c r="X28" s="318"/>
    </row>
    <row r="29" spans="1:24">
      <c r="A29" s="8"/>
      <c r="B29" s="77"/>
      <c r="C29" s="143"/>
      <c r="D29" s="143"/>
      <c r="E29" s="143"/>
      <c r="F29" s="317"/>
      <c r="G29" s="143"/>
      <c r="H29" s="143"/>
      <c r="I29" s="143"/>
      <c r="J29" s="143"/>
      <c r="K29" s="143"/>
      <c r="L29" s="143"/>
      <c r="M29" s="143"/>
      <c r="N29" s="143"/>
      <c r="O29" s="143"/>
      <c r="P29" s="143"/>
      <c r="Q29" s="143"/>
      <c r="R29" s="143"/>
      <c r="S29" s="143"/>
      <c r="T29" s="143"/>
      <c r="U29" s="143"/>
      <c r="V29" s="143"/>
      <c r="W29" s="143"/>
      <c r="X29" s="318"/>
    </row>
    <row r="30" spans="1:24">
      <c r="C30" s="143"/>
      <c r="D30" s="143"/>
      <c r="E30" s="143"/>
      <c r="F30" s="317"/>
      <c r="G30" s="143"/>
      <c r="H30" s="143"/>
      <c r="I30" s="143"/>
      <c r="J30" s="143"/>
      <c r="K30" s="143"/>
      <c r="L30" s="143"/>
      <c r="M30" s="143"/>
      <c r="N30" s="143"/>
      <c r="O30" s="143"/>
      <c r="P30" s="143"/>
      <c r="Q30" s="143"/>
      <c r="R30" s="143"/>
      <c r="S30" s="143"/>
      <c r="T30" s="143"/>
      <c r="U30" s="143"/>
      <c r="V30" s="143"/>
      <c r="W30" s="143"/>
      <c r="X30" s="318"/>
    </row>
    <row r="31" spans="1:24" ht="15.75" thickBot="1">
      <c r="A31" s="4" t="s">
        <v>59</v>
      </c>
      <c r="C31" s="328">
        <f>C16+C28</f>
        <v>46243095.901451103</v>
      </c>
      <c r="D31" s="328">
        <f t="shared" ref="D31:E31" si="7">D16+D28</f>
        <v>49553865.301831193</v>
      </c>
      <c r="E31" s="328">
        <f t="shared" si="7"/>
        <v>53362421.15241468</v>
      </c>
      <c r="F31" s="329">
        <f>SUM(C31:E31)</f>
        <v>149159382.35569698</v>
      </c>
      <c r="G31" s="328"/>
      <c r="H31" s="328"/>
      <c r="I31" s="328"/>
      <c r="J31" s="328"/>
      <c r="K31" s="328"/>
      <c r="L31" s="328"/>
      <c r="M31" s="328"/>
      <c r="N31" s="328"/>
      <c r="O31" s="328"/>
      <c r="P31" s="328"/>
      <c r="Q31" s="328"/>
      <c r="R31" s="328"/>
      <c r="S31" s="328"/>
      <c r="T31" s="328"/>
      <c r="U31" s="328"/>
      <c r="V31" s="328"/>
      <c r="W31" s="328"/>
      <c r="X31" s="330"/>
    </row>
    <row r="32" spans="1:24" ht="15.75" thickTop="1">
      <c r="C32" s="143"/>
      <c r="D32" s="143"/>
      <c r="E32" s="143"/>
      <c r="F32" s="331"/>
      <c r="G32" s="143"/>
      <c r="H32" s="250"/>
      <c r="I32" s="143"/>
      <c r="J32" s="143"/>
      <c r="K32" s="143"/>
      <c r="L32" s="143"/>
      <c r="M32" s="143"/>
      <c r="N32" s="143"/>
      <c r="O32" s="143"/>
      <c r="P32" s="143"/>
      <c r="Q32" s="143"/>
      <c r="R32" s="143"/>
      <c r="S32" s="143"/>
      <c r="T32" s="143"/>
      <c r="U32" s="143"/>
      <c r="V32" s="143"/>
      <c r="W32" s="143"/>
      <c r="X32" s="143"/>
    </row>
    <row r="33" spans="3:24">
      <c r="C33" s="143"/>
      <c r="D33" s="143"/>
      <c r="E33" s="143"/>
      <c r="F33" s="331"/>
      <c r="G33" s="143"/>
      <c r="H33" s="143"/>
      <c r="I33" s="143"/>
      <c r="J33" s="143"/>
      <c r="K33" s="143"/>
      <c r="L33" s="143"/>
      <c r="M33" s="143"/>
      <c r="N33" s="143"/>
      <c r="O33" s="143"/>
      <c r="P33" s="143"/>
      <c r="Q33" s="143"/>
      <c r="R33" s="143"/>
      <c r="S33" s="143"/>
      <c r="T33" s="143"/>
      <c r="U33" s="143"/>
      <c r="V33" s="143"/>
      <c r="W33" s="143"/>
      <c r="X33" s="143"/>
    </row>
    <row r="35" spans="3:24">
      <c r="C35" s="143">
        <v>2077211.9793176565</v>
      </c>
      <c r="D35" s="143">
        <v>2214869.3856148999</v>
      </c>
      <c r="E35" s="143">
        <v>2371562.1915047858</v>
      </c>
      <c r="G35" s="331">
        <v>2482966.1550981617</v>
      </c>
      <c r="H35" s="143">
        <v>2668579.565667992</v>
      </c>
      <c r="I35" s="143">
        <v>2854548.1982173594</v>
      </c>
      <c r="J35" s="143">
        <v>2934381.5097812987</v>
      </c>
      <c r="K35" s="143">
        <v>3032373.1428995794</v>
      </c>
      <c r="L35" s="143">
        <v>3133663.1054125009</v>
      </c>
      <c r="M35" s="143">
        <v>3220068.2854802925</v>
      </c>
      <c r="N35" s="143">
        <v>3322148.6323778974</v>
      </c>
      <c r="O35" s="143">
        <v>3420415.0628957413</v>
      </c>
      <c r="P35" s="143">
        <v>3521472.2405931489</v>
      </c>
      <c r="Q35" s="143">
        <v>3636908.289087642</v>
      </c>
      <c r="R35" s="143">
        <v>3754129.6637599426</v>
      </c>
      <c r="S35" s="143">
        <v>3830210.5881362669</v>
      </c>
      <c r="T35" s="143">
        <v>3958070.9128333558</v>
      </c>
      <c r="U35" s="143">
        <v>4077351.4397072596</v>
      </c>
      <c r="V35" s="143">
        <v>4196369.2074811971</v>
      </c>
      <c r="W35" s="143">
        <v>4352995.186335424</v>
      </c>
    </row>
    <row r="36" spans="3:24">
      <c r="C36" s="143">
        <f>C35-C10</f>
        <v>1879930.8793176564</v>
      </c>
      <c r="D36" s="143">
        <f t="shared" ref="D36:W36" si="8">D35-D10</f>
        <v>2014307.3856148999</v>
      </c>
      <c r="E36" s="143">
        <f t="shared" si="8"/>
        <v>2168414.1915047858</v>
      </c>
      <c r="F36" s="143"/>
      <c r="G36" s="143">
        <f t="shared" si="8"/>
        <v>2337666.1550981617</v>
      </c>
      <c r="H36" s="143">
        <f t="shared" si="8"/>
        <v>2513979.565667992</v>
      </c>
      <c r="I36" s="143">
        <f t="shared" si="8"/>
        <v>2696148.1982173594</v>
      </c>
      <c r="J36" s="143">
        <f t="shared" si="8"/>
        <v>2780381.5097812987</v>
      </c>
      <c r="K36" s="143">
        <f t="shared" si="8"/>
        <v>2868773.1428995794</v>
      </c>
      <c r="L36" s="143">
        <f t="shared" si="8"/>
        <v>2966063.1054125009</v>
      </c>
      <c r="M36" s="143">
        <f t="shared" si="8"/>
        <v>3056968.2854802925</v>
      </c>
      <c r="N36" s="143">
        <f t="shared" si="8"/>
        <v>3149248.6323778974</v>
      </c>
      <c r="O36" s="143">
        <f t="shared" si="8"/>
        <v>3243315.0628957413</v>
      </c>
      <c r="P36" s="143">
        <f t="shared" si="8"/>
        <v>3349072.2405931489</v>
      </c>
      <c r="Q36" s="143">
        <f t="shared" si="8"/>
        <v>3453508.289087642</v>
      </c>
      <c r="R36" s="143">
        <f t="shared" si="8"/>
        <v>3568529.6637599426</v>
      </c>
      <c r="S36" s="143">
        <f t="shared" si="8"/>
        <v>3648110.5881362669</v>
      </c>
      <c r="T36" s="143">
        <f t="shared" si="8"/>
        <v>3764670.9128333558</v>
      </c>
      <c r="U36" s="143">
        <f t="shared" si="8"/>
        <v>3881651.4397072596</v>
      </c>
      <c r="V36" s="143">
        <f t="shared" si="8"/>
        <v>4004169.2074811971</v>
      </c>
      <c r="W36" s="143">
        <f t="shared" si="8"/>
        <v>4149095.186335424</v>
      </c>
    </row>
  </sheetData>
  <pageMargins left="0.7" right="0.7" top="0.75" bottom="0.75" header="0.3" footer="0.3"/>
  <pageSetup orientation="portrait" r:id="rId1"/>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mso-contentType ?>
<spe:Receivers xmlns:spe="http://schemas.microsoft.com/sharepoint/events"/>
</file>

<file path=customXml/item2.xml><?xml version="1.0" encoding="utf-8"?>
<ct:contentTypeSchema xmlns:ct="http://schemas.microsoft.com/office/2006/metadata/contentType" xmlns:ma="http://schemas.microsoft.com/office/2006/metadata/properties/metaAttributes" ct:_="" ma:_="" ma:contentTypeName="Document" ma:contentTypeID="0x010100E02D4F9EB75F4F49A7430567590F63FF" ma:contentTypeVersion="0" ma:contentTypeDescription="Create a new document." ma:contentTypeScope="" ma:versionID="21e32b9b5e226f4c393c8a0e7f4b736c">
  <xsd:schema xmlns:xsd="http://www.w3.org/2001/XMLSchema" xmlns:xs="http://www.w3.org/2001/XMLSchema" xmlns:p="http://schemas.microsoft.com/office/2006/metadata/properties" xmlns:ns2="fdca194b-bc3a-4b33-b459-e17737bbc7c2" targetNamespace="http://schemas.microsoft.com/office/2006/metadata/properties" ma:root="true" ma:fieldsID="882bf0863332dc1a61a407265c9bf0af" ns2:_="">
    <xsd:import namespace="fdca194b-bc3a-4b33-b459-e17737bbc7c2"/>
    <xsd:element name="properties">
      <xsd:complexType>
        <xsd:sequence>
          <xsd:element name="documentManagement">
            <xsd:complexType>
              <xsd:all>
                <xsd:element ref="ns2:_dlc_DocId" minOccurs="0"/>
                <xsd:element ref="ns2:_dlc_DocIdUrl" minOccurs="0"/>
                <xsd:element ref="ns2:_dlc_DocIdPersistId"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fdca194b-bc3a-4b33-b459-e17737bbc7c2" elementFormDefault="qualified">
    <xsd:import namespace="http://schemas.microsoft.com/office/2006/documentManagement/types"/>
    <xsd:import namespace="http://schemas.microsoft.com/office/infopath/2007/PartnerControls"/>
    <xsd:element name="_dlc_DocId" ma:index="8" nillable="true" ma:displayName="Document ID Value" ma:description="The value of the document ID assigned to this item." ma:internalName="_dlc_DocId" ma:readOnly="true">
      <xsd:simpleType>
        <xsd:restriction base="dms:Text"/>
      </xsd:simpleType>
    </xsd:element>
    <xsd:element name="_dlc_DocIdUrl" ma:index="9"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10"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8BCED43C-CB44-4CDC-A40F-67F010C039E2}">
  <ds:schemaRefs>
    <ds:schemaRef ds:uri="http://schemas.microsoft.com/sharepoint/events"/>
  </ds:schemaRefs>
</ds:datastoreItem>
</file>

<file path=customXml/itemProps2.xml><?xml version="1.0" encoding="utf-8"?>
<ds:datastoreItem xmlns:ds="http://schemas.openxmlformats.org/officeDocument/2006/customXml" ds:itemID="{AF7A9C74-11E4-4691-804E-5484D84D0CF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fdca194b-bc3a-4b33-b459-e17737bbc7c2"/>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06C73780-D9C0-4452-9D47-AF872F3450A8}">
  <ds:schemaRefs>
    <ds:schemaRef ds:uri="http://schemas.microsoft.com/sharepoint/v3/contenttype/forms"/>
  </ds:schemaRefs>
</ds:datastoreItem>
</file>

<file path=customXml/itemProps4.xml><?xml version="1.0" encoding="utf-8"?>
<ds:datastoreItem xmlns:ds="http://schemas.openxmlformats.org/officeDocument/2006/customXml" ds:itemID="{DCB41F1C-5956-4002-89F6-3162981652BF}">
  <ds:schemaRefs>
    <ds:schemaRef ds:uri="http://schemas.microsoft.com/office/infopath/2007/PartnerControls"/>
    <ds:schemaRef ds:uri="http://purl.org/dc/dcmitype/"/>
    <ds:schemaRef ds:uri="http://www.w3.org/XML/1998/namespace"/>
    <ds:schemaRef ds:uri="http://schemas.microsoft.com/office/2006/documentManagement/types"/>
    <ds:schemaRef ds:uri="fdca194b-bc3a-4b33-b459-e17737bbc7c2"/>
    <ds:schemaRef ds:uri="http://purl.org/dc/terms/"/>
    <ds:schemaRef ds:uri="http://purl.org/dc/elements/1.1/"/>
    <ds:schemaRef ds:uri="http://schemas.openxmlformats.org/package/2006/metadata/core-properties"/>
    <ds:schemaRef ds:uri="http://schemas.microsoft.com/office/2006/metadata/propertie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38</vt:i4>
      </vt:variant>
    </vt:vector>
  </HeadingPairs>
  <TitlesOfParts>
    <vt:vector size="38" baseType="lpstr">
      <vt:lpstr>DPS Recommendation</vt:lpstr>
      <vt:lpstr>VEIC BED Summary Budgets</vt:lpstr>
      <vt:lpstr>DPS Evaluation</vt:lpstr>
      <vt:lpstr>FA and Fund Audit</vt:lpstr>
      <vt:lpstr>BED VEIC % Change</vt:lpstr>
      <vt:lpstr>BED Scen 2</vt:lpstr>
      <vt:lpstr>BED EEC RA Table</vt:lpstr>
      <vt:lpstr>BED TEPF RA</vt:lpstr>
      <vt:lpstr>BED TEPF RA Table</vt:lpstr>
      <vt:lpstr>BED EEC NRA</vt:lpstr>
      <vt:lpstr>BED TEPF NRA</vt:lpstr>
      <vt:lpstr>VEIC RA Supplemental</vt:lpstr>
      <vt:lpstr>VEIC Est RA Yields</vt:lpstr>
      <vt:lpstr>VEIC RA Table</vt:lpstr>
      <vt:lpstr>Draft VEIC NRA</vt:lpstr>
      <vt:lpstr>VEIC TEPF</vt:lpstr>
      <vt:lpstr>VEIC TEPF Table</vt:lpstr>
      <vt:lpstr>VEIC Compensation</vt:lpstr>
      <vt:lpstr>2013 P-Study</vt:lpstr>
      <vt:lpstr>2013 P-Study Svgs as % of Sales</vt:lpstr>
      <vt:lpstr>BED EVT as % Sales</vt:lpstr>
      <vt:lpstr>Scen 1 MWh Savings</vt:lpstr>
      <vt:lpstr>Scen 1 Summer &amp; Winter MW</vt:lpstr>
      <vt:lpstr>Scen 1 TRB</vt:lpstr>
      <vt:lpstr>Scen 1 Budgets</vt:lpstr>
      <vt:lpstr>Scen 1 Yields</vt:lpstr>
      <vt:lpstr>Scen 2 MWh Savings</vt:lpstr>
      <vt:lpstr>Scen 2 Summer &amp; Winter MW</vt:lpstr>
      <vt:lpstr>Scen 2 TRB</vt:lpstr>
      <vt:lpstr>Scen 2 Budgets</vt:lpstr>
      <vt:lpstr>Scen 2 Yields</vt:lpstr>
      <vt:lpstr>Scen 3 MWh Savings</vt:lpstr>
      <vt:lpstr>Scen 3 Summer &amp; Winter MW</vt:lpstr>
      <vt:lpstr>Scen 3 TRB</vt:lpstr>
      <vt:lpstr>Scen 3 Budgets</vt:lpstr>
      <vt:lpstr>Scen 3 Yields</vt:lpstr>
      <vt:lpstr>DPS TEPF Forecast</vt:lpstr>
      <vt:lpstr>DRP 1 Ref</vt:lpstr>
    </vt:vector>
  </TitlesOfParts>
  <Company>VEIC</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Cotterill, Brian</dc:creator>
  <cp:lastModifiedBy>Thomas Knauer</cp:lastModifiedBy>
  <cp:lastPrinted>2014-04-16T16:48:42Z</cp:lastPrinted>
  <dcterms:created xsi:type="dcterms:W3CDTF">2013-11-18T17:12:36Z</dcterms:created>
  <dcterms:modified xsi:type="dcterms:W3CDTF">2014-05-06T15:51:18Z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0x010100E02D4F9EB75F4F49A7430567590F63FF</vt:lpwstr>
  </property>
</Properties>
</file>