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codeName="ThisWorkbook"/>
  <mc:AlternateContent xmlns:mc="http://schemas.openxmlformats.org/markup-compatibility/2006">
    <mc:Choice Requires="x15">
      <x15ac:absPath xmlns:x15ac="http://schemas.microsoft.com/office/spreadsheetml/2010/11/ac" url="C:\Users\tlyle\Desktop\BED HomeWork_DESKTOP\Case 22 - 2417 EEC rates (2023)\BED\"/>
    </mc:Choice>
  </mc:AlternateContent>
  <xr:revisionPtr revIDLastSave="0" documentId="13_ncr:1_{68BEF070-7C29-4978-A3D9-D360F9C991A4}" xr6:coauthVersionLast="47" xr6:coauthVersionMax="47" xr10:uidLastSave="{00000000-0000-0000-0000-000000000000}"/>
  <bookViews>
    <workbookView xWindow="-120" yWindow="-120" windowWidth="29040" windowHeight="15840" tabRatio="781" activeTab="1" xr2:uid="{00000000-000D-0000-FFFF-FFFF00000000}"/>
  </bookViews>
  <sheets>
    <sheet name="Tasks" sheetId="17" r:id="rId1"/>
    <sheet name="EEC Billing Determinants" sheetId="16" r:id="rId2"/>
    <sheet name="Util Rev and Load Data" sheetId="1" r:id="rId3"/>
    <sheet name="EEC Uncollectibles" sheetId="9" r:id="rId4"/>
    <sheet name="EEC Collection True-Up" sheetId="10" r:id="rId5"/>
    <sheet name="EEC 2022 data" sheetId="18" r:id="rId6"/>
    <sheet name="EEC 2021 data" sheetId="15" r:id="rId7"/>
    <sheet name="EEC 2020 data" sheetId="12" r:id="rId8"/>
    <sheet name="EEC 2019 data" sheetId="13" r:id="rId9"/>
    <sheet name="EEC 2018 data" sheetId="14" state="hidden" r:id="rId10"/>
    <sheet name="EEC Calculation" sheetId="6" r:id="rId11"/>
    <sheet name="EEC Rates Report" sheetId="8" r:id="rId12"/>
    <sheet name="NM Flat" sheetId="19" r:id="rId13"/>
  </sheets>
  <externalReferences>
    <externalReference r:id="rId14"/>
    <externalReference r:id="rId15"/>
  </externalReferences>
  <definedNames>
    <definedName name="_xlnm.Print_Area" localSheetId="10">'EEC Calculation'!$A$1:$I$43</definedName>
    <definedName name="_xlnm.Print_Area" localSheetId="11">'EEC Rates Report'!$A$1:$M$31</definedName>
    <definedName name="_xlnm.Print_Area" localSheetId="2">'Util Rev and Load Data'!$A$7:$AD$50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T56" i="10" l="1"/>
  <c r="O6" i="16"/>
  <c r="AE28" i="10"/>
  <c r="AA28" i="10"/>
  <c r="AA8" i="10"/>
  <c r="Z8" i="10"/>
  <c r="F20" i="18"/>
  <c r="E20" i="18"/>
  <c r="E19" i="18"/>
  <c r="G16" i="19"/>
  <c r="G17" i="19" s="1"/>
  <c r="G18" i="19" s="1"/>
  <c r="G20" i="19" s="1"/>
  <c r="F16" i="19"/>
  <c r="E16" i="19"/>
  <c r="E17" i="19" s="1"/>
  <c r="E18" i="19" s="1"/>
  <c r="E20" i="19" s="1"/>
  <c r="D16" i="19"/>
  <c r="I15" i="16"/>
  <c r="I8" i="16"/>
  <c r="T54" i="10" l="1"/>
  <c r="U54" i="10"/>
  <c r="V54" i="10"/>
  <c r="W54" i="10"/>
  <c r="X54" i="10"/>
  <c r="Y54" i="10"/>
  <c r="Z54" i="10"/>
  <c r="U56" i="10"/>
  <c r="V56" i="10"/>
  <c r="W56" i="10"/>
  <c r="X56" i="10"/>
  <c r="Y56" i="10"/>
  <c r="Z56" i="10"/>
  <c r="T57" i="10"/>
  <c r="U57" i="10"/>
  <c r="V57" i="10"/>
  <c r="W57" i="10"/>
  <c r="X57" i="10"/>
  <c r="Y57" i="10"/>
  <c r="Z57" i="10"/>
  <c r="T58" i="10"/>
  <c r="U58" i="10"/>
  <c r="V58" i="10"/>
  <c r="V59" i="10" s="1"/>
  <c r="W58" i="10"/>
  <c r="X58" i="10"/>
  <c r="Y58" i="10"/>
  <c r="Z58" i="10"/>
  <c r="W59" i="10"/>
  <c r="U59" i="10" l="1"/>
  <c r="T59" i="10"/>
  <c r="Z59" i="10"/>
  <c r="Y59" i="10"/>
  <c r="X59" i="10"/>
  <c r="F6" i="16" l="1"/>
  <c r="I6" i="16"/>
  <c r="Z93" i="1"/>
  <c r="Z75" i="1"/>
  <c r="Z89" i="1" s="1"/>
  <c r="Z91" i="1" s="1"/>
  <c r="O93" i="1"/>
  <c r="O89" i="1"/>
  <c r="O91" i="1" s="1"/>
  <c r="F32" i="16"/>
  <c r="F31" i="16"/>
  <c r="F25" i="16"/>
  <c r="F24" i="16"/>
  <c r="F23" i="16"/>
  <c r="F22" i="16"/>
  <c r="F21" i="16"/>
  <c r="F17" i="16"/>
  <c r="H25" i="1" s="1"/>
  <c r="F16" i="16"/>
  <c r="F15" i="16"/>
  <c r="F14" i="16"/>
  <c r="F13" i="16"/>
  <c r="F9" i="16"/>
  <c r="F8" i="16"/>
  <c r="F7" i="16"/>
  <c r="G33" i="16"/>
  <c r="Y25" i="1" s="1"/>
  <c r="G26" i="16"/>
  <c r="N25" i="1" s="1"/>
  <c r="G10" i="16"/>
  <c r="I32" i="16"/>
  <c r="I31" i="16"/>
  <c r="I25" i="16"/>
  <c r="I24" i="16"/>
  <c r="I23" i="16"/>
  <c r="I22" i="16"/>
  <c r="I21" i="16"/>
  <c r="I17" i="16"/>
  <c r="I16" i="16"/>
  <c r="I14" i="16"/>
  <c r="I13" i="16"/>
  <c r="I9" i="16"/>
  <c r="I7" i="16"/>
  <c r="D33" i="16"/>
  <c r="D26" i="16"/>
  <c r="G25" i="1" l="1"/>
  <c r="F33" i="16"/>
  <c r="V25" i="1" s="1"/>
  <c r="F10" i="16"/>
  <c r="C25" i="1" s="1"/>
  <c r="F26" i="16"/>
  <c r="K25" i="1" s="1"/>
  <c r="D10" i="16"/>
  <c r="E33" i="16"/>
  <c r="U25" i="1" s="1"/>
  <c r="Z25" i="1" s="1"/>
  <c r="E26" i="16"/>
  <c r="J25" i="1" s="1"/>
  <c r="E10" i="16"/>
  <c r="B25" i="1" s="1"/>
  <c r="G10" i="10"/>
  <c r="O25" i="1" l="1"/>
  <c r="D25" i="1"/>
  <c r="E25" i="9"/>
  <c r="G73" i="1"/>
  <c r="O32" i="16" l="1"/>
  <c r="O31" i="16"/>
  <c r="O25" i="16"/>
  <c r="O24" i="16"/>
  <c r="O23" i="16"/>
  <c r="O22" i="16"/>
  <c r="O21" i="16"/>
  <c r="O17" i="16"/>
  <c r="O16" i="16"/>
  <c r="O15" i="16"/>
  <c r="O14" i="16"/>
  <c r="O13" i="16"/>
  <c r="O9" i="16"/>
  <c r="O8" i="16"/>
  <c r="O7" i="16"/>
  <c r="K33" i="16"/>
  <c r="H33" i="16"/>
  <c r="C33" i="16"/>
  <c r="K26" i="16"/>
  <c r="K10" i="16"/>
  <c r="B43" i="1"/>
  <c r="C26" i="16"/>
  <c r="C10" i="16"/>
  <c r="H26" i="16"/>
  <c r="H10" i="16"/>
  <c r="B33" i="16"/>
  <c r="B26" i="16"/>
  <c r="B10" i="16"/>
  <c r="I10" i="16"/>
  <c r="C29" i="10"/>
  <c r="T8" i="10"/>
  <c r="AE33" i="10"/>
  <c r="AD33" i="10"/>
  <c r="AC33" i="10"/>
  <c r="AB33" i="10"/>
  <c r="AA33" i="10"/>
  <c r="Z33" i="10"/>
  <c r="Y33" i="10"/>
  <c r="X33" i="10"/>
  <c r="W33" i="10"/>
  <c r="V33" i="10"/>
  <c r="U33" i="10"/>
  <c r="T33" i="10"/>
  <c r="O10" i="16" l="1"/>
  <c r="P10" i="16" s="1"/>
  <c r="AL36" i="10"/>
  <c r="AL35" i="10"/>
  <c r="Y8" i="10"/>
  <c r="X8" i="10"/>
  <c r="W8" i="10"/>
  <c r="V8" i="10"/>
  <c r="U8" i="10"/>
  <c r="G12" i="10"/>
  <c r="G11" i="10"/>
  <c r="E30" i="15"/>
  <c r="F30" i="15"/>
  <c r="G30" i="15"/>
  <c r="I30" i="15"/>
  <c r="E31" i="15"/>
  <c r="F31" i="15"/>
  <c r="G31" i="15"/>
  <c r="I31" i="15"/>
  <c r="D30" i="15"/>
  <c r="D31" i="15"/>
  <c r="F18" i="18" l="1"/>
  <c r="E18" i="18"/>
  <c r="F17" i="18"/>
  <c r="E17" i="18"/>
  <c r="F16" i="18" l="1"/>
  <c r="E16" i="18"/>
  <c r="F15" i="18"/>
  <c r="E15" i="18"/>
  <c r="F14" i="18" l="1"/>
  <c r="E14" i="18"/>
  <c r="F13" i="18"/>
  <c r="E13" i="18"/>
  <c r="F12" i="18" l="1"/>
  <c r="E12" i="18"/>
  <c r="F11" i="18"/>
  <c r="E11" i="18"/>
  <c r="F10" i="18" l="1"/>
  <c r="E10" i="18"/>
  <c r="F9" i="18"/>
  <c r="E9" i="18"/>
  <c r="F8" i="18" l="1"/>
  <c r="E8" i="18"/>
  <c r="F7" i="18"/>
  <c r="E7" i="18"/>
  <c r="F6" i="18" l="1"/>
  <c r="E6" i="18"/>
  <c r="F5" i="18"/>
  <c r="E5" i="18"/>
  <c r="F27" i="15" l="1"/>
  <c r="E27" i="15"/>
  <c r="F25" i="15" l="1"/>
  <c r="E25" i="15"/>
  <c r="F23" i="15" l="1"/>
  <c r="E23" i="15"/>
  <c r="F21" i="15" l="1"/>
  <c r="E21" i="15"/>
  <c r="F28" i="15" l="1"/>
  <c r="E28" i="15"/>
  <c r="F26" i="15"/>
  <c r="E26" i="15"/>
  <c r="F24" i="15"/>
  <c r="E24" i="15"/>
  <c r="F22" i="15"/>
  <c r="E22" i="15"/>
  <c r="I28" i="18" l="1"/>
  <c r="N16" i="18" s="1"/>
  <c r="P16" i="18" s="1"/>
  <c r="I27" i="18"/>
  <c r="I26" i="18"/>
  <c r="I25" i="18"/>
  <c r="I24" i="18"/>
  <c r="I23" i="18"/>
  <c r="O14" i="18" s="1"/>
  <c r="I22" i="18"/>
  <c r="I21" i="18"/>
  <c r="O13" i="18" s="1"/>
  <c r="I20" i="18"/>
  <c r="N12" i="18" s="1"/>
  <c r="I19" i="18"/>
  <c r="O12" i="18" s="1"/>
  <c r="I18" i="18"/>
  <c r="N11" i="18" s="1"/>
  <c r="I17" i="18"/>
  <c r="O11" i="18" s="1"/>
  <c r="O16" i="18"/>
  <c r="I16" i="18"/>
  <c r="N10" i="18" s="1"/>
  <c r="O15" i="18"/>
  <c r="N15" i="18"/>
  <c r="P15" i="18" s="1"/>
  <c r="I15" i="18"/>
  <c r="O10" i="18" s="1"/>
  <c r="N14" i="18"/>
  <c r="I14" i="18"/>
  <c r="N9" i="18" s="1"/>
  <c r="N13" i="18"/>
  <c r="I13" i="18"/>
  <c r="O9" i="18" s="1"/>
  <c r="I12" i="18"/>
  <c r="N8" i="18" s="1"/>
  <c r="I11" i="18"/>
  <c r="O8" i="18" s="1"/>
  <c r="I10" i="18"/>
  <c r="N7" i="18" s="1"/>
  <c r="I9" i="18"/>
  <c r="O7" i="18" s="1"/>
  <c r="I8" i="18"/>
  <c r="N6" i="18" s="1"/>
  <c r="I7" i="18"/>
  <c r="O6" i="18" s="1"/>
  <c r="I6" i="18"/>
  <c r="N5" i="18" s="1"/>
  <c r="I5" i="18"/>
  <c r="D10" i="6"/>
  <c r="D12" i="6" s="1"/>
  <c r="G15" i="6"/>
  <c r="N2" i="10"/>
  <c r="N1" i="10"/>
  <c r="H73" i="1"/>
  <c r="G89" i="1"/>
  <c r="I26" i="16"/>
  <c r="K73" i="1" s="1"/>
  <c r="J10" i="16"/>
  <c r="J33" i="16"/>
  <c r="Y73" i="1" s="1"/>
  <c r="B124" i="6" s="1"/>
  <c r="I33" i="16"/>
  <c r="V73" i="1" s="1"/>
  <c r="AA73" i="1" s="1"/>
  <c r="J26" i="16"/>
  <c r="N73" i="1" s="1"/>
  <c r="D11" i="6"/>
  <c r="AD3" i="10"/>
  <c r="AE3" i="10"/>
  <c r="AD4" i="10"/>
  <c r="AE4" i="10"/>
  <c r="D20" i="6"/>
  <c r="W43" i="1"/>
  <c r="V43" i="1"/>
  <c r="U43" i="1"/>
  <c r="M41" i="1"/>
  <c r="H41" i="1"/>
  <c r="H46" i="1" s="1"/>
  <c r="H50" i="1" s="1"/>
  <c r="B41" i="1"/>
  <c r="N16" i="12"/>
  <c r="F10" i="15"/>
  <c r="F9" i="15"/>
  <c r="I9" i="15" s="1"/>
  <c r="O7" i="15" s="1"/>
  <c r="D10" i="15"/>
  <c r="E10" i="15"/>
  <c r="I10" i="15" s="1"/>
  <c r="E9" i="15"/>
  <c r="E12" i="15"/>
  <c r="F12" i="15"/>
  <c r="I12" i="15" s="1"/>
  <c r="F11" i="15"/>
  <c r="E11" i="15"/>
  <c r="D12" i="15"/>
  <c r="D11" i="15"/>
  <c r="I11" i="15" s="1"/>
  <c r="O8" i="15" s="1"/>
  <c r="G13" i="15"/>
  <c r="F14" i="15"/>
  <c r="F13" i="15"/>
  <c r="I13" i="15" s="1"/>
  <c r="O9" i="15" s="1"/>
  <c r="E14" i="15"/>
  <c r="I14" i="15" s="1"/>
  <c r="E13" i="15"/>
  <c r="D14" i="15"/>
  <c r="D13" i="15"/>
  <c r="G15" i="15"/>
  <c r="F16" i="15"/>
  <c r="F15" i="15"/>
  <c r="E16" i="15"/>
  <c r="E15" i="15"/>
  <c r="D16" i="15"/>
  <c r="D15" i="15"/>
  <c r="F18" i="15"/>
  <c r="F17" i="15"/>
  <c r="E18" i="15"/>
  <c r="E17" i="15"/>
  <c r="I17" i="15" s="1"/>
  <c r="O11" i="15" s="1"/>
  <c r="D18" i="15"/>
  <c r="I18" i="15"/>
  <c r="N11" i="15" s="1"/>
  <c r="P11" i="15" s="1"/>
  <c r="D17" i="15"/>
  <c r="G20" i="15"/>
  <c r="G19" i="15"/>
  <c r="F20" i="15"/>
  <c r="F19" i="15"/>
  <c r="I19" i="15"/>
  <c r="O12" i="15" s="1"/>
  <c r="E20" i="15"/>
  <c r="I20" i="15" s="1"/>
  <c r="E19" i="15"/>
  <c r="G8" i="15"/>
  <c r="G7" i="15"/>
  <c r="F8" i="15"/>
  <c r="F7" i="15"/>
  <c r="E8" i="15"/>
  <c r="E7" i="15"/>
  <c r="I7" i="15"/>
  <c r="O6" i="15" s="1"/>
  <c r="G6" i="15"/>
  <c r="G5" i="15"/>
  <c r="F6" i="15"/>
  <c r="I6" i="15" s="1"/>
  <c r="F5" i="15"/>
  <c r="E6" i="15"/>
  <c r="E5" i="15"/>
  <c r="F28" i="12"/>
  <c r="F27" i="12"/>
  <c r="E28" i="12"/>
  <c r="E27" i="12"/>
  <c r="I27" i="12"/>
  <c r="O16" i="12"/>
  <c r="E26" i="12"/>
  <c r="I26" i="12"/>
  <c r="F26" i="12"/>
  <c r="F25" i="12"/>
  <c r="E25" i="12"/>
  <c r="I25" i="12"/>
  <c r="O15" i="12"/>
  <c r="I28" i="15"/>
  <c r="N16" i="15" s="1"/>
  <c r="I27" i="15"/>
  <c r="O16" i="15" s="1"/>
  <c r="I26" i="15"/>
  <c r="I25" i="15"/>
  <c r="O15" i="15" s="1"/>
  <c r="I24" i="15"/>
  <c r="N14" i="15" s="1"/>
  <c r="I23" i="15"/>
  <c r="O14" i="15" s="1"/>
  <c r="I22" i="15"/>
  <c r="N13" i="15" s="1"/>
  <c r="I21" i="15"/>
  <c r="O13" i="15" s="1"/>
  <c r="I5" i="15"/>
  <c r="O5" i="15" s="1"/>
  <c r="AC3" i="10"/>
  <c r="AC4" i="10"/>
  <c r="AB3" i="10"/>
  <c r="AB4" i="10"/>
  <c r="D21" i="12"/>
  <c r="E21" i="12"/>
  <c r="F21" i="12"/>
  <c r="G21" i="12"/>
  <c r="D22" i="12"/>
  <c r="E22" i="12"/>
  <c r="F22" i="12"/>
  <c r="AB25" i="10"/>
  <c r="G22" i="12"/>
  <c r="D23" i="12"/>
  <c r="E23" i="12"/>
  <c r="F23" i="12"/>
  <c r="G23" i="12"/>
  <c r="G30" i="12" s="1"/>
  <c r="D24" i="12"/>
  <c r="E24" i="12"/>
  <c r="F24" i="12"/>
  <c r="G24" i="12"/>
  <c r="G31" i="12" s="1"/>
  <c r="O18" i="13"/>
  <c r="N17" i="13"/>
  <c r="O17" i="13"/>
  <c r="P6" i="13"/>
  <c r="P7" i="13"/>
  <c r="P8" i="13"/>
  <c r="P9" i="13"/>
  <c r="P10" i="13"/>
  <c r="P11" i="13"/>
  <c r="P12" i="13"/>
  <c r="P13" i="13"/>
  <c r="P14" i="13"/>
  <c r="P15" i="13"/>
  <c r="P16" i="13"/>
  <c r="P5" i="13"/>
  <c r="E12" i="8"/>
  <c r="E13" i="8"/>
  <c r="E27" i="8" s="1"/>
  <c r="E14" i="8"/>
  <c r="E20" i="8"/>
  <c r="E21" i="8"/>
  <c r="E23" i="8"/>
  <c r="E24" i="8"/>
  <c r="E30" i="8"/>
  <c r="F41" i="6"/>
  <c r="E42" i="6"/>
  <c r="C70" i="6"/>
  <c r="C116" i="6"/>
  <c r="E116" i="6" s="1"/>
  <c r="D5" i="14"/>
  <c r="E5" i="14"/>
  <c r="F5" i="14"/>
  <c r="G5" i="14"/>
  <c r="I5" i="14"/>
  <c r="E6" i="14"/>
  <c r="F6" i="14"/>
  <c r="G6" i="14"/>
  <c r="I6" i="14"/>
  <c r="E7" i="14"/>
  <c r="F7" i="14"/>
  <c r="I7" i="14"/>
  <c r="E8" i="14"/>
  <c r="F8" i="14"/>
  <c r="I8" i="14"/>
  <c r="E9" i="14"/>
  <c r="F9" i="14"/>
  <c r="I9" i="14"/>
  <c r="D10" i="14"/>
  <c r="E10" i="14"/>
  <c r="F10" i="14"/>
  <c r="I10" i="14"/>
  <c r="E11" i="14"/>
  <c r="F11" i="14"/>
  <c r="I11" i="14"/>
  <c r="E12" i="14"/>
  <c r="F12" i="14"/>
  <c r="I12" i="14"/>
  <c r="E13" i="14"/>
  <c r="F13" i="14"/>
  <c r="I13" i="14"/>
  <c r="E14" i="14"/>
  <c r="F14" i="14"/>
  <c r="I14" i="14"/>
  <c r="E15" i="14"/>
  <c r="F15" i="14"/>
  <c r="I15" i="14"/>
  <c r="E16" i="14"/>
  <c r="F16" i="14"/>
  <c r="I16" i="14"/>
  <c r="E17" i="14"/>
  <c r="F17" i="14"/>
  <c r="I17" i="14"/>
  <c r="E18" i="14"/>
  <c r="F18" i="14"/>
  <c r="I18" i="14"/>
  <c r="D19" i="14"/>
  <c r="E19" i="14"/>
  <c r="F19" i="14"/>
  <c r="I19" i="14"/>
  <c r="E20" i="14"/>
  <c r="F20" i="14"/>
  <c r="I20" i="14"/>
  <c r="E21" i="14"/>
  <c r="F21" i="14"/>
  <c r="I21" i="14"/>
  <c r="E22" i="14"/>
  <c r="F22" i="14"/>
  <c r="I22" i="14"/>
  <c r="E23" i="14"/>
  <c r="F23" i="14"/>
  <c r="G23" i="14"/>
  <c r="I23" i="14"/>
  <c r="E24" i="14"/>
  <c r="F24" i="14"/>
  <c r="G24" i="14"/>
  <c r="I24" i="14"/>
  <c r="E25" i="14"/>
  <c r="F25" i="14"/>
  <c r="I25" i="14"/>
  <c r="E26" i="14"/>
  <c r="F26" i="14"/>
  <c r="I26" i="14"/>
  <c r="E27" i="14"/>
  <c r="F27" i="14"/>
  <c r="I27" i="14"/>
  <c r="E28" i="14"/>
  <c r="F28" i="14"/>
  <c r="I28" i="14"/>
  <c r="E5" i="13"/>
  <c r="F5" i="13"/>
  <c r="G5" i="13"/>
  <c r="I5" i="13"/>
  <c r="E6" i="13"/>
  <c r="F6" i="13"/>
  <c r="I6" i="13"/>
  <c r="E7" i="13"/>
  <c r="F7" i="13"/>
  <c r="G7" i="13"/>
  <c r="I7" i="13"/>
  <c r="E8" i="13"/>
  <c r="F8" i="13"/>
  <c r="I8" i="13"/>
  <c r="E9" i="13"/>
  <c r="F9" i="13"/>
  <c r="I9" i="13"/>
  <c r="E10" i="13"/>
  <c r="F10" i="13"/>
  <c r="I10" i="13"/>
  <c r="E11" i="13"/>
  <c r="F11" i="13"/>
  <c r="I11" i="13"/>
  <c r="E12" i="13"/>
  <c r="F12" i="13"/>
  <c r="I12" i="13"/>
  <c r="E13" i="13"/>
  <c r="F13" i="13"/>
  <c r="I13" i="13"/>
  <c r="E14" i="13"/>
  <c r="F14" i="13"/>
  <c r="I14" i="13"/>
  <c r="E15" i="13"/>
  <c r="F15" i="13"/>
  <c r="I15" i="13"/>
  <c r="E16" i="13"/>
  <c r="F16" i="13"/>
  <c r="I16" i="13"/>
  <c r="E17" i="13"/>
  <c r="F17" i="13"/>
  <c r="I17" i="13"/>
  <c r="E18" i="13"/>
  <c r="F18" i="13"/>
  <c r="I18" i="13"/>
  <c r="E19" i="13"/>
  <c r="F19" i="13"/>
  <c r="I19" i="13"/>
  <c r="E20" i="13"/>
  <c r="F20" i="13"/>
  <c r="I20" i="13"/>
  <c r="E21" i="13"/>
  <c r="F21" i="13"/>
  <c r="G21" i="13"/>
  <c r="I21" i="13"/>
  <c r="E22" i="13"/>
  <c r="F22" i="13"/>
  <c r="I22" i="13"/>
  <c r="E23" i="13"/>
  <c r="F23" i="13"/>
  <c r="G23" i="13"/>
  <c r="I23" i="13"/>
  <c r="E24" i="13"/>
  <c r="F24" i="13"/>
  <c r="G24" i="13"/>
  <c r="I24" i="13"/>
  <c r="E25" i="13"/>
  <c r="F25" i="13"/>
  <c r="I25" i="13"/>
  <c r="D26" i="13"/>
  <c r="E26" i="13"/>
  <c r="F26" i="13"/>
  <c r="I26" i="13"/>
  <c r="E27" i="13"/>
  <c r="F27" i="13"/>
  <c r="I27" i="13"/>
  <c r="E28" i="13"/>
  <c r="F28" i="13"/>
  <c r="G28" i="13"/>
  <c r="I28" i="13"/>
  <c r="E5" i="12"/>
  <c r="I5" i="12"/>
  <c r="O5" i="12"/>
  <c r="F5" i="12"/>
  <c r="E6" i="12"/>
  <c r="I6" i="12"/>
  <c r="F6" i="12"/>
  <c r="G6" i="12"/>
  <c r="E7" i="12"/>
  <c r="I7" i="12"/>
  <c r="O6" i="12"/>
  <c r="F7" i="12"/>
  <c r="E8" i="12"/>
  <c r="F8" i="12"/>
  <c r="I8" i="12"/>
  <c r="N6" i="12"/>
  <c r="E9" i="12"/>
  <c r="F9" i="12"/>
  <c r="I9" i="12"/>
  <c r="O7" i="12"/>
  <c r="E10" i="12"/>
  <c r="I10" i="12"/>
  <c r="F10" i="12"/>
  <c r="E11" i="12"/>
  <c r="I11" i="12"/>
  <c r="O8" i="12"/>
  <c r="F11" i="12"/>
  <c r="G11" i="12"/>
  <c r="E12" i="12"/>
  <c r="I12" i="12"/>
  <c r="F12" i="12"/>
  <c r="G12" i="12"/>
  <c r="E13" i="12"/>
  <c r="I13" i="12"/>
  <c r="O9" i="12"/>
  <c r="F13" i="12"/>
  <c r="E14" i="12"/>
  <c r="F14" i="12"/>
  <c r="I14" i="12"/>
  <c r="G14" i="12"/>
  <c r="E15" i="12"/>
  <c r="F15" i="12"/>
  <c r="I15" i="12"/>
  <c r="O10" i="12"/>
  <c r="G15" i="12"/>
  <c r="E16" i="12"/>
  <c r="F16" i="12"/>
  <c r="I16" i="12"/>
  <c r="G16" i="12"/>
  <c r="E17" i="12"/>
  <c r="F17" i="12"/>
  <c r="I17" i="12"/>
  <c r="O11" i="12"/>
  <c r="G17" i="12"/>
  <c r="E18" i="12"/>
  <c r="F18" i="12"/>
  <c r="I18" i="12"/>
  <c r="N11" i="12"/>
  <c r="P11" i="12"/>
  <c r="D19" i="12"/>
  <c r="E19" i="12"/>
  <c r="F19" i="12"/>
  <c r="I19" i="12"/>
  <c r="O12" i="12"/>
  <c r="G19" i="12"/>
  <c r="E20" i="12"/>
  <c r="F20" i="12"/>
  <c r="I20" i="12"/>
  <c r="G20" i="12"/>
  <c r="I28" i="12"/>
  <c r="T3" i="10"/>
  <c r="T4" i="10"/>
  <c r="U3" i="10"/>
  <c r="V3" i="10"/>
  <c r="V4" i="10"/>
  <c r="W3" i="10"/>
  <c r="X3" i="10"/>
  <c r="X4" i="10"/>
  <c r="Y3" i="10"/>
  <c r="Z3" i="10"/>
  <c r="Z4" i="10"/>
  <c r="AA3" i="10"/>
  <c r="AA4" i="10"/>
  <c r="U4" i="10"/>
  <c r="AP8" i="10"/>
  <c r="AQ8" i="10" s="1"/>
  <c r="AR8" i="10" s="1"/>
  <c r="W4" i="10"/>
  <c r="Y4" i="10"/>
  <c r="I13" i="10"/>
  <c r="AF18" i="10"/>
  <c r="AF22" i="10"/>
  <c r="S25" i="10"/>
  <c r="T30" i="10"/>
  <c r="U30" i="10"/>
  <c r="V30" i="10"/>
  <c r="W30" i="10"/>
  <c r="W31" i="10"/>
  <c r="W35" i="10"/>
  <c r="X30" i="10"/>
  <c r="Y30" i="10"/>
  <c r="Y31" i="10"/>
  <c r="Z30" i="10"/>
  <c r="Z31" i="10"/>
  <c r="AA30" i="10"/>
  <c r="AA31" i="10"/>
  <c r="AB30" i="10"/>
  <c r="AC30" i="10"/>
  <c r="AD30" i="10"/>
  <c r="AE30" i="10"/>
  <c r="AE31" i="10"/>
  <c r="AE35" i="10"/>
  <c r="T31" i="10"/>
  <c r="U31" i="10"/>
  <c r="U35" i="10"/>
  <c r="V31" i="10"/>
  <c r="X31" i="10"/>
  <c r="AB31" i="10"/>
  <c r="AC31" i="10"/>
  <c r="AD31" i="10"/>
  <c r="AF9" i="10"/>
  <c r="AF10" i="10"/>
  <c r="AF11" i="10"/>
  <c r="AF12" i="10"/>
  <c r="AF14" i="10"/>
  <c r="AF15" i="10"/>
  <c r="AF16" i="10"/>
  <c r="AF19" i="10"/>
  <c r="AF20" i="10"/>
  <c r="AF21" i="10"/>
  <c r="AF23" i="10"/>
  <c r="S35" i="10"/>
  <c r="AA54" i="10"/>
  <c r="U61" i="10"/>
  <c r="V61" i="10"/>
  <c r="W61" i="10"/>
  <c r="Z61" i="10"/>
  <c r="AA56" i="10"/>
  <c r="AA61" i="10" s="1"/>
  <c r="T62" i="10"/>
  <c r="U62" i="10"/>
  <c r="W62" i="10"/>
  <c r="X62" i="10"/>
  <c r="Y62" i="10"/>
  <c r="Z62" i="10"/>
  <c r="AA57" i="10"/>
  <c r="X63" i="10"/>
  <c r="Y63" i="10"/>
  <c r="Z63" i="10"/>
  <c r="AA58" i="10"/>
  <c r="AB58" i="10" s="1"/>
  <c r="Y61" i="10"/>
  <c r="V63" i="10"/>
  <c r="A1" i="9"/>
  <c r="A1" i="10" s="1"/>
  <c r="A1" i="6" s="1"/>
  <c r="A1" i="8" s="1"/>
  <c r="E7" i="9"/>
  <c r="G7" i="9"/>
  <c r="E8" i="9"/>
  <c r="G8" i="9"/>
  <c r="E9" i="9"/>
  <c r="G9" i="9"/>
  <c r="E10" i="9"/>
  <c r="G10" i="9"/>
  <c r="E11" i="9"/>
  <c r="G11" i="9"/>
  <c r="E12" i="9"/>
  <c r="G12" i="9"/>
  <c r="E13" i="9"/>
  <c r="G13" i="9"/>
  <c r="E14" i="9"/>
  <c r="G14" i="9"/>
  <c r="E15" i="9"/>
  <c r="G15" i="9"/>
  <c r="E16" i="9"/>
  <c r="G16" i="9"/>
  <c r="E17" i="9"/>
  <c r="G17" i="9"/>
  <c r="E18" i="9"/>
  <c r="G18" i="9"/>
  <c r="E19" i="9"/>
  <c r="G19" i="9"/>
  <c r="E20" i="9"/>
  <c r="G20" i="9"/>
  <c r="E21" i="9"/>
  <c r="G21" i="9"/>
  <c r="E22" i="9"/>
  <c r="G22" i="9"/>
  <c r="G24" i="9" s="1"/>
  <c r="G26" i="9" s="1"/>
  <c r="C24" i="9"/>
  <c r="C26" i="9" s="1"/>
  <c r="D24" i="9"/>
  <c r="E24" i="9" s="1"/>
  <c r="E26" i="9" s="1"/>
  <c r="D19" i="6"/>
  <c r="E20" i="6" s="1"/>
  <c r="D26" i="9"/>
  <c r="D18" i="1"/>
  <c r="D21" i="1" s="1"/>
  <c r="I18" i="1"/>
  <c r="N18" i="1"/>
  <c r="O18" i="1" s="1"/>
  <c r="O21" i="1" s="1"/>
  <c r="T18" i="1"/>
  <c r="T21" i="1" s="1"/>
  <c r="Y18" i="1"/>
  <c r="Z18" i="1" s="1"/>
  <c r="D19" i="1"/>
  <c r="I19" i="1"/>
  <c r="N19" i="1"/>
  <c r="O19" i="1" s="1"/>
  <c r="P19" i="1" s="1"/>
  <c r="T19" i="1"/>
  <c r="Y19" i="1"/>
  <c r="Z19" i="1" s="1"/>
  <c r="D24" i="1"/>
  <c r="I24" i="1"/>
  <c r="N24" i="1"/>
  <c r="O24" i="1" s="1"/>
  <c r="T24" i="1"/>
  <c r="Y24" i="1"/>
  <c r="Z24" i="1" s="1"/>
  <c r="T25" i="1"/>
  <c r="T43" i="1" s="1"/>
  <c r="D26" i="1"/>
  <c r="I26" i="1"/>
  <c r="N26" i="1"/>
  <c r="O26" i="1" s="1"/>
  <c r="T26" i="1"/>
  <c r="Y26" i="1"/>
  <c r="Z26" i="1" s="1"/>
  <c r="D27" i="1"/>
  <c r="I27" i="1"/>
  <c r="N27" i="1"/>
  <c r="O27" i="1" s="1"/>
  <c r="T27" i="1"/>
  <c r="V27" i="1"/>
  <c r="W27" i="1"/>
  <c r="W41" i="1" s="1"/>
  <c r="X27" i="1"/>
  <c r="AF27" i="1"/>
  <c r="U27" i="1" s="1"/>
  <c r="U41" i="1" s="1"/>
  <c r="D28" i="1"/>
  <c r="I28" i="1"/>
  <c r="N28" i="1"/>
  <c r="O28" i="1" s="1"/>
  <c r="T28" i="1"/>
  <c r="Y28" i="1"/>
  <c r="Z28" i="1"/>
  <c r="D29" i="1"/>
  <c r="I29" i="1"/>
  <c r="N29" i="1"/>
  <c r="O29" i="1"/>
  <c r="T29" i="1"/>
  <c r="Y29" i="1"/>
  <c r="Z29" i="1" s="1"/>
  <c r="D30" i="1"/>
  <c r="I30" i="1"/>
  <c r="N30" i="1"/>
  <c r="O30" i="1" s="1"/>
  <c r="T30" i="1"/>
  <c r="Y30" i="1"/>
  <c r="Z30" i="1" s="1"/>
  <c r="D31" i="1"/>
  <c r="I31" i="1"/>
  <c r="N31" i="1"/>
  <c r="O31" i="1" s="1"/>
  <c r="T31" i="1"/>
  <c r="Y31" i="1"/>
  <c r="Z31" i="1" s="1"/>
  <c r="D32" i="1"/>
  <c r="I32" i="1"/>
  <c r="N32" i="1"/>
  <c r="O32" i="1" s="1"/>
  <c r="T32" i="1"/>
  <c r="Y32" i="1"/>
  <c r="Z32" i="1"/>
  <c r="D33" i="1"/>
  <c r="I33" i="1"/>
  <c r="N33" i="1"/>
  <c r="O33" i="1" s="1"/>
  <c r="P33" i="1" s="1"/>
  <c r="T33" i="1"/>
  <c r="Y33" i="1"/>
  <c r="Z33" i="1" s="1"/>
  <c r="D34" i="1"/>
  <c r="I34" i="1"/>
  <c r="N34" i="1"/>
  <c r="O34" i="1" s="1"/>
  <c r="T34" i="1"/>
  <c r="Y34" i="1"/>
  <c r="Z34" i="1" s="1"/>
  <c r="D35" i="1"/>
  <c r="I35" i="1"/>
  <c r="N35" i="1"/>
  <c r="O35" i="1"/>
  <c r="T35" i="1"/>
  <c r="Y35" i="1"/>
  <c r="Z35" i="1" s="1"/>
  <c r="D36" i="1"/>
  <c r="I36" i="1"/>
  <c r="N36" i="1"/>
  <c r="O36" i="1" s="1"/>
  <c r="T36" i="1"/>
  <c r="Y36" i="1"/>
  <c r="Z36" i="1" s="1"/>
  <c r="D37" i="1"/>
  <c r="I37" i="1"/>
  <c r="N37" i="1"/>
  <c r="O37" i="1" s="1"/>
  <c r="P37" i="1" s="1"/>
  <c r="T37" i="1"/>
  <c r="Y37" i="1"/>
  <c r="Z37" i="1" s="1"/>
  <c r="D38" i="1"/>
  <c r="I38" i="1"/>
  <c r="N38" i="1"/>
  <c r="O38" i="1" s="1"/>
  <c r="T38" i="1"/>
  <c r="Y38" i="1"/>
  <c r="Z38" i="1" s="1"/>
  <c r="D39" i="1"/>
  <c r="I39" i="1"/>
  <c r="N39" i="1"/>
  <c r="O39" i="1" s="1"/>
  <c r="P39" i="1" s="1"/>
  <c r="T39" i="1"/>
  <c r="Y39" i="1"/>
  <c r="Z39" i="1" s="1"/>
  <c r="D40" i="1"/>
  <c r="I40" i="1"/>
  <c r="N40" i="1"/>
  <c r="O40" i="1" s="1"/>
  <c r="T40" i="1"/>
  <c r="Y40" i="1"/>
  <c r="Z40" i="1" s="1"/>
  <c r="R41" i="1"/>
  <c r="S41" i="1"/>
  <c r="AB41" i="1"/>
  <c r="AD41" i="1"/>
  <c r="R43" i="1"/>
  <c r="R44" i="1" s="1"/>
  <c r="S43" i="1"/>
  <c r="AB43" i="1"/>
  <c r="AB44" i="1" s="1"/>
  <c r="AD43" i="1"/>
  <c r="E44" i="1"/>
  <c r="AB50" i="1"/>
  <c r="W53" i="1"/>
  <c r="I66" i="1"/>
  <c r="P66" i="1" s="1"/>
  <c r="N66" i="1"/>
  <c r="Y66" i="1"/>
  <c r="Y69" i="1" s="1"/>
  <c r="AA66" i="1"/>
  <c r="Y67" i="1"/>
  <c r="AD67" i="1" s="1"/>
  <c r="AA67" i="1"/>
  <c r="AC67" i="1" s="1"/>
  <c r="C69" i="1"/>
  <c r="I69" i="1"/>
  <c r="P69" i="1" s="1"/>
  <c r="N69" i="1"/>
  <c r="S69" i="1"/>
  <c r="V69" i="1"/>
  <c r="W69" i="1"/>
  <c r="X69" i="1"/>
  <c r="I72" i="1"/>
  <c r="P72" i="1"/>
  <c r="N72" i="1"/>
  <c r="Y72" i="1"/>
  <c r="AA72" i="1"/>
  <c r="I74" i="1"/>
  <c r="P74" i="1" s="1"/>
  <c r="AC74" i="1" s="1"/>
  <c r="Y74" i="1"/>
  <c r="AD74" i="1" s="1"/>
  <c r="AA74" i="1"/>
  <c r="I75" i="1"/>
  <c r="P75" i="1"/>
  <c r="V75" i="1"/>
  <c r="AA75" i="1" s="1"/>
  <c r="W75" i="1"/>
  <c r="X75" i="1"/>
  <c r="X89" i="1" s="1"/>
  <c r="I76" i="1"/>
  <c r="P76" i="1" s="1"/>
  <c r="AC76" i="1" s="1"/>
  <c r="Y76" i="1"/>
  <c r="AD76" i="1" s="1"/>
  <c r="AA76" i="1"/>
  <c r="I77" i="1"/>
  <c r="P77" i="1" s="1"/>
  <c r="AC77" i="1" s="1"/>
  <c r="Y77" i="1"/>
  <c r="AD77" i="1" s="1"/>
  <c r="AA77" i="1"/>
  <c r="I78" i="1"/>
  <c r="P78" i="1" s="1"/>
  <c r="Y78" i="1"/>
  <c r="AD78" i="1" s="1"/>
  <c r="AA78" i="1"/>
  <c r="I79" i="1"/>
  <c r="P79" i="1" s="1"/>
  <c r="Y79" i="1"/>
  <c r="AD79" i="1" s="1"/>
  <c r="AA79" i="1"/>
  <c r="I80" i="1"/>
  <c r="P80" i="1" s="1"/>
  <c r="AC80" i="1" s="1"/>
  <c r="Y80" i="1"/>
  <c r="AA80" i="1"/>
  <c r="I81" i="1"/>
  <c r="P81" i="1" s="1"/>
  <c r="AC81" i="1" s="1"/>
  <c r="Y81" i="1"/>
  <c r="AD81" i="1" s="1"/>
  <c r="AA81" i="1"/>
  <c r="I82" i="1"/>
  <c r="P82" i="1" s="1"/>
  <c r="Y82" i="1"/>
  <c r="AD82" i="1" s="1"/>
  <c r="AA82" i="1"/>
  <c r="I83" i="1"/>
  <c r="P83" i="1"/>
  <c r="Y83" i="1"/>
  <c r="AD83" i="1" s="1"/>
  <c r="AA83" i="1"/>
  <c r="I84" i="1"/>
  <c r="P84" i="1"/>
  <c r="Y84" i="1"/>
  <c r="AD84" i="1" s="1"/>
  <c r="AA84" i="1"/>
  <c r="I85" i="1"/>
  <c r="P85" i="1" s="1"/>
  <c r="Y85" i="1"/>
  <c r="AD85" i="1" s="1"/>
  <c r="AA85" i="1"/>
  <c r="I86" i="1"/>
  <c r="P86" i="1" s="1"/>
  <c r="Y86" i="1"/>
  <c r="AD86" i="1" s="1"/>
  <c r="AA86" i="1"/>
  <c r="I87" i="1"/>
  <c r="P87" i="1" s="1"/>
  <c r="Y87" i="1"/>
  <c r="AD87" i="1" s="1"/>
  <c r="AA87" i="1"/>
  <c r="I88" i="1"/>
  <c r="P88" i="1" s="1"/>
  <c r="Y88" i="1"/>
  <c r="AD88" i="1" s="1"/>
  <c r="AA88" i="1"/>
  <c r="S89" i="1"/>
  <c r="AB89" i="1"/>
  <c r="AB91" i="1" s="1"/>
  <c r="S93" i="1"/>
  <c r="AB93" i="1"/>
  <c r="P98" i="1"/>
  <c r="AB100" i="1"/>
  <c r="AF13" i="10"/>
  <c r="U63" i="10"/>
  <c r="U64" i="10" s="1"/>
  <c r="U66" i="10" s="1"/>
  <c r="AF17" i="10"/>
  <c r="AF7" i="10"/>
  <c r="D34" i="6"/>
  <c r="I8" i="15"/>
  <c r="N6" i="15" s="1"/>
  <c r="P6" i="15" s="1"/>
  <c r="I16" i="15"/>
  <c r="N10" i="15" s="1"/>
  <c r="P10" i="15" s="1"/>
  <c r="I15" i="15"/>
  <c r="O10" i="15" s="1"/>
  <c r="V62" i="10"/>
  <c r="AB56" i="10"/>
  <c r="AC25" i="10"/>
  <c r="AD25" i="10"/>
  <c r="H29" i="10"/>
  <c r="AE25" i="10"/>
  <c r="L93" i="1"/>
  <c r="L89" i="1"/>
  <c r="L91" i="1" s="1"/>
  <c r="W93" i="1"/>
  <c r="N9" i="12"/>
  <c r="P9" i="12"/>
  <c r="P6" i="12"/>
  <c r="N15" i="12"/>
  <c r="P15" i="12"/>
  <c r="AD35" i="10"/>
  <c r="N12" i="12"/>
  <c r="P12" i="12"/>
  <c r="N7" i="12"/>
  <c r="P7" i="12"/>
  <c r="V35" i="10"/>
  <c r="N10" i="12"/>
  <c r="P10" i="12"/>
  <c r="N8" i="12"/>
  <c r="P8" i="12"/>
  <c r="N5" i="12"/>
  <c r="P16" i="12"/>
  <c r="M89" i="1"/>
  <c r="M94" i="1" s="1"/>
  <c r="X93" i="1"/>
  <c r="T35" i="10"/>
  <c r="P5" i="12"/>
  <c r="X35" i="10"/>
  <c r="AD80" i="1"/>
  <c r="M93" i="1"/>
  <c r="W89" i="1"/>
  <c r="W94" i="1" s="1"/>
  <c r="C41" i="1"/>
  <c r="C43" i="1"/>
  <c r="L41" i="1"/>
  <c r="AJ33" i="10"/>
  <c r="Y35" i="10"/>
  <c r="AP33" i="10"/>
  <c r="AL33" i="10"/>
  <c r="AA35" i="10"/>
  <c r="W63" i="10"/>
  <c r="X61" i="10"/>
  <c r="T63" i="10"/>
  <c r="AK33" i="10"/>
  <c r="Z35" i="10"/>
  <c r="AI33" i="10"/>
  <c r="AO33" i="10"/>
  <c r="T61" i="10"/>
  <c r="T64" i="10" s="1"/>
  <c r="T66" i="10" s="1"/>
  <c r="H43" i="1"/>
  <c r="W52" i="1"/>
  <c r="W64" i="10" l="1"/>
  <c r="W66" i="10" s="1"/>
  <c r="V64" i="10"/>
  <c r="V66" i="10" s="1"/>
  <c r="Z64" i="10"/>
  <c r="Z66" i="10" s="1"/>
  <c r="P12" i="18"/>
  <c r="H26" i="10"/>
  <c r="H28" i="10"/>
  <c r="AE29" i="10"/>
  <c r="AE27" i="10" s="1"/>
  <c r="AF27" i="10" s="1"/>
  <c r="Y27" i="1"/>
  <c r="AA63" i="10"/>
  <c r="AB63" i="10" s="1"/>
  <c r="AA59" i="10"/>
  <c r="X64" i="10"/>
  <c r="X66" i="10" s="1"/>
  <c r="Y64" i="10"/>
  <c r="Y66" i="10" s="1"/>
  <c r="AB61" i="10"/>
  <c r="AB57" i="10"/>
  <c r="AA62" i="10"/>
  <c r="AB62" i="10" s="1"/>
  <c r="X94" i="1"/>
  <c r="AC84" i="1"/>
  <c r="AC83" i="1"/>
  <c r="AC82" i="1"/>
  <c r="S94" i="1"/>
  <c r="AC79" i="1"/>
  <c r="AC66" i="1"/>
  <c r="AA30" i="1"/>
  <c r="P18" i="1"/>
  <c r="P36" i="1"/>
  <c r="AA33" i="1"/>
  <c r="AC72" i="1"/>
  <c r="S91" i="1"/>
  <c r="AC85" i="1"/>
  <c r="Y75" i="1"/>
  <c r="AD75" i="1" s="1"/>
  <c r="X91" i="1"/>
  <c r="S44" i="1"/>
  <c r="AA32" i="1"/>
  <c r="P29" i="1"/>
  <c r="AA28" i="1"/>
  <c r="P26" i="1"/>
  <c r="AA24" i="1"/>
  <c r="P38" i="1"/>
  <c r="AA35" i="1"/>
  <c r="P32" i="1"/>
  <c r="AC32" i="1" s="1"/>
  <c r="AC78" i="1"/>
  <c r="P30" i="1"/>
  <c r="AC30" i="1" s="1"/>
  <c r="AA19" i="1"/>
  <c r="B107" i="6"/>
  <c r="AD73" i="1"/>
  <c r="AD93" i="1" s="1"/>
  <c r="AC33" i="1"/>
  <c r="AC29" i="1"/>
  <c r="AD69" i="1"/>
  <c r="AD44" i="1"/>
  <c r="AA36" i="1"/>
  <c r="AC36" i="1" s="1"/>
  <c r="P31" i="1"/>
  <c r="AA29" i="1"/>
  <c r="I21" i="1"/>
  <c r="AC87" i="1"/>
  <c r="AC86" i="1"/>
  <c r="AC75" i="1"/>
  <c r="AD72" i="1"/>
  <c r="AA69" i="1"/>
  <c r="AC69" i="1" s="1"/>
  <c r="AD66" i="1"/>
  <c r="AA39" i="1"/>
  <c r="AA38" i="1"/>
  <c r="AC38" i="1" s="1"/>
  <c r="AA37" i="1"/>
  <c r="AC37" i="1" s="1"/>
  <c r="AA34" i="1"/>
  <c r="AC34" i="1" s="1"/>
  <c r="AA31" i="1"/>
  <c r="AA26" i="1"/>
  <c r="AC19" i="1"/>
  <c r="W44" i="1"/>
  <c r="P34" i="1"/>
  <c r="M91" i="1"/>
  <c r="L94" i="1"/>
  <c r="AB94" i="1"/>
  <c r="AC88" i="1"/>
  <c r="AA40" i="1"/>
  <c r="P40" i="1"/>
  <c r="AC40" i="1" s="1"/>
  <c r="P35" i="1"/>
  <c r="P28" i="1"/>
  <c r="P27" i="1"/>
  <c r="P24" i="1"/>
  <c r="AC24" i="1" s="1"/>
  <c r="U44" i="1"/>
  <c r="P21" i="1"/>
  <c r="AC39" i="1"/>
  <c r="AA18" i="1"/>
  <c r="Z21" i="1"/>
  <c r="Z27" i="1"/>
  <c r="AA27" i="1" s="1"/>
  <c r="Y21" i="1"/>
  <c r="W91" i="1"/>
  <c r="N21" i="1"/>
  <c r="T41" i="1"/>
  <c r="T44" i="1" s="1"/>
  <c r="L43" i="1"/>
  <c r="L44" i="1" s="1"/>
  <c r="X41" i="1"/>
  <c r="Y41" i="1" s="1"/>
  <c r="M43" i="1"/>
  <c r="M44" i="1" s="1"/>
  <c r="C44" i="1"/>
  <c r="H44" i="1"/>
  <c r="F31" i="12"/>
  <c r="H89" i="1"/>
  <c r="H91" i="1" s="1"/>
  <c r="H100" i="1" s="1"/>
  <c r="I73" i="1"/>
  <c r="P73" i="1" s="1"/>
  <c r="C96" i="6" s="1"/>
  <c r="O33" i="16"/>
  <c r="P33" i="16" s="1"/>
  <c r="G93" i="1"/>
  <c r="G94" i="1" s="1"/>
  <c r="Y93" i="1"/>
  <c r="Y89" i="1"/>
  <c r="Y91" i="1" s="1"/>
  <c r="N93" i="1"/>
  <c r="O26" i="16"/>
  <c r="P26" i="16" s="1"/>
  <c r="G91" i="1"/>
  <c r="M2" i="10"/>
  <c r="AA93" i="1"/>
  <c r="C75" i="6" s="1"/>
  <c r="C78" i="6" s="1"/>
  <c r="C113" i="6" s="1"/>
  <c r="AA89" i="1"/>
  <c r="E12" i="10"/>
  <c r="F12" i="10" s="1"/>
  <c r="H93" i="1"/>
  <c r="V89" i="1"/>
  <c r="V93" i="1"/>
  <c r="B121" i="6"/>
  <c r="C73" i="1"/>
  <c r="I21" i="12"/>
  <c r="O13" i="12" s="1"/>
  <c r="D30" i="12"/>
  <c r="D31" i="12"/>
  <c r="D21" i="6"/>
  <c r="H27" i="10"/>
  <c r="N41" i="1"/>
  <c r="D41" i="1"/>
  <c r="I22" i="12"/>
  <c r="N13" i="12" s="1"/>
  <c r="V41" i="1"/>
  <c r="I24" i="12"/>
  <c r="N14" i="12" s="1"/>
  <c r="I23" i="12"/>
  <c r="O14" i="12" s="1"/>
  <c r="F30" i="12"/>
  <c r="B122" i="6"/>
  <c r="X43" i="1"/>
  <c r="B44" i="1"/>
  <c r="E31" i="12"/>
  <c r="E30" i="12"/>
  <c r="P7" i="18"/>
  <c r="N9" i="15"/>
  <c r="P9" i="15" s="1"/>
  <c r="X25" i="10"/>
  <c r="N8" i="15"/>
  <c r="P8" i="15" s="1"/>
  <c r="W25" i="10"/>
  <c r="N12" i="15"/>
  <c r="P12" i="15" s="1"/>
  <c r="AA25" i="10"/>
  <c r="N7" i="15"/>
  <c r="P7" i="15" s="1"/>
  <c r="V25" i="10"/>
  <c r="N5" i="15"/>
  <c r="P5" i="15" s="1"/>
  <c r="P15" i="15"/>
  <c r="N15" i="15"/>
  <c r="U25" i="10"/>
  <c r="Z25" i="10"/>
  <c r="Y25" i="10"/>
  <c r="P16" i="15"/>
  <c r="P14" i="15"/>
  <c r="P13" i="15"/>
  <c r="P8" i="18"/>
  <c r="P13" i="18"/>
  <c r="P6" i="18"/>
  <c r="P9" i="18"/>
  <c r="N17" i="18"/>
  <c r="P11" i="18"/>
  <c r="P14" i="18"/>
  <c r="P10" i="18"/>
  <c r="J20" i="18"/>
  <c r="O5" i="18"/>
  <c r="O17" i="18" s="1"/>
  <c r="G13" i="10"/>
  <c r="AB64" i="10" l="1"/>
  <c r="AC63" i="10" s="1"/>
  <c r="F28" i="10" s="1"/>
  <c r="C12" i="10" s="1"/>
  <c r="H12" i="10" s="1"/>
  <c r="K12" i="10" s="1"/>
  <c r="D26" i="6" s="1"/>
  <c r="D51" i="6" s="1"/>
  <c r="AA64" i="10"/>
  <c r="AA66" i="10" s="1"/>
  <c r="AB59" i="10"/>
  <c r="I31" i="12"/>
  <c r="X44" i="1"/>
  <c r="AC28" i="1"/>
  <c r="AA21" i="1"/>
  <c r="AC35" i="1"/>
  <c r="AC26" i="1"/>
  <c r="AC27" i="1"/>
  <c r="AC31" i="1"/>
  <c r="AC73" i="1"/>
  <c r="B108" i="6"/>
  <c r="N43" i="1"/>
  <c r="N44" i="1" s="1"/>
  <c r="AC18" i="1"/>
  <c r="AC21" i="1" s="1"/>
  <c r="I89" i="1"/>
  <c r="I91" i="1" s="1"/>
  <c r="H94" i="1"/>
  <c r="O17" i="12"/>
  <c r="I93" i="1"/>
  <c r="P93" i="1"/>
  <c r="C69" i="6" s="1"/>
  <c r="C72" i="6" s="1"/>
  <c r="C99" i="6"/>
  <c r="Y94" i="1"/>
  <c r="AD89" i="1"/>
  <c r="AD94" i="1" s="1"/>
  <c r="N94" i="1"/>
  <c r="AA91" i="1"/>
  <c r="AA100" i="1" s="1"/>
  <c r="AA94" i="1"/>
  <c r="AG94" i="1" s="1"/>
  <c r="V94" i="1"/>
  <c r="V91" i="1"/>
  <c r="K93" i="1"/>
  <c r="K89" i="1"/>
  <c r="B104" i="6"/>
  <c r="C89" i="1"/>
  <c r="E10" i="10"/>
  <c r="F10" i="10" s="1"/>
  <c r="C93" i="1"/>
  <c r="C64" i="6" s="1"/>
  <c r="C66" i="6" s="1"/>
  <c r="P14" i="12"/>
  <c r="I30" i="12"/>
  <c r="V44" i="1"/>
  <c r="Z41" i="1"/>
  <c r="D46" i="1"/>
  <c r="D50" i="1" s="1"/>
  <c r="G49" i="6"/>
  <c r="D43" i="1"/>
  <c r="D44" i="1" s="1"/>
  <c r="B125" i="6"/>
  <c r="Y43" i="1"/>
  <c r="Y44" i="1" s="1"/>
  <c r="T25" i="10"/>
  <c r="AF8" i="10"/>
  <c r="AF25" i="10" s="1"/>
  <c r="G29" i="10"/>
  <c r="AA29" i="10"/>
  <c r="O18" i="18"/>
  <c r="P5" i="18"/>
  <c r="AN33" i="10"/>
  <c r="AC35" i="10"/>
  <c r="AB35" i="10"/>
  <c r="AF33" i="10"/>
  <c r="AF35" i="10" s="1"/>
  <c r="AM33" i="10"/>
  <c r="N17" i="12"/>
  <c r="P13" i="12"/>
  <c r="AC62" i="10" l="1"/>
  <c r="F27" i="10" s="1"/>
  <c r="C11" i="10" s="1"/>
  <c r="H11" i="10" s="1"/>
  <c r="K11" i="10" s="1"/>
  <c r="D25" i="6" s="1"/>
  <c r="D50" i="6" s="1"/>
  <c r="D52" i="6" s="1"/>
  <c r="AC56" i="10"/>
  <c r="AC58" i="10"/>
  <c r="AC61" i="10"/>
  <c r="F26" i="10" s="1"/>
  <c r="AC57" i="10"/>
  <c r="O18" i="12"/>
  <c r="B127" i="6"/>
  <c r="C122" i="6" s="1"/>
  <c r="I94" i="1"/>
  <c r="AC93" i="1"/>
  <c r="P89" i="1"/>
  <c r="P94" i="1" s="1"/>
  <c r="AD91" i="1"/>
  <c r="E11" i="10"/>
  <c r="F11" i="10" s="1"/>
  <c r="K94" i="1"/>
  <c r="K91" i="1"/>
  <c r="C80" i="6"/>
  <c r="B66" i="6" s="1"/>
  <c r="C91" i="1"/>
  <c r="C94" i="1"/>
  <c r="Z43" i="1"/>
  <c r="Z44" i="1" s="1"/>
  <c r="AF44" i="1" s="1"/>
  <c r="AA25" i="1"/>
  <c r="AA41" i="1"/>
  <c r="AC29" i="10"/>
  <c r="AC27" i="10" s="1"/>
  <c r="Y29" i="10"/>
  <c r="AA27" i="10"/>
  <c r="G28" i="10"/>
  <c r="I28" i="10" s="1"/>
  <c r="K28" i="10" s="1"/>
  <c r="D31" i="6" s="1"/>
  <c r="G27" i="10"/>
  <c r="I27" i="10" s="1"/>
  <c r="K27" i="10" s="1"/>
  <c r="D30" i="6" s="1"/>
  <c r="E30" i="6" s="1"/>
  <c r="G26" i="10" l="1"/>
  <c r="I26" i="10" s="1"/>
  <c r="M29" i="10"/>
  <c r="M13" i="10"/>
  <c r="I29" i="10"/>
  <c r="K31" i="10" s="1"/>
  <c r="C10" i="10"/>
  <c r="H10" i="10" s="1"/>
  <c r="F29" i="10"/>
  <c r="C125" i="6"/>
  <c r="C127" i="6" s="1"/>
  <c r="AC89" i="1"/>
  <c r="AC91" i="1" s="1"/>
  <c r="AC100" i="1" s="1"/>
  <c r="P91" i="1"/>
  <c r="P100" i="1" s="1"/>
  <c r="E13" i="10"/>
  <c r="F13" i="10"/>
  <c r="B72" i="6"/>
  <c r="C81" i="6"/>
  <c r="B78" i="6"/>
  <c r="AA46" i="1"/>
  <c r="AA50" i="1" s="1"/>
  <c r="G51" i="6"/>
  <c r="AA43" i="1"/>
  <c r="AA44" i="1" s="1"/>
  <c r="AF29" i="10"/>
  <c r="AB29" i="10" s="1"/>
  <c r="K26" i="10"/>
  <c r="K10" i="10" l="1"/>
  <c r="H13" i="10"/>
  <c r="AC94" i="1"/>
  <c r="B80" i="6"/>
  <c r="Z29" i="10"/>
  <c r="D29" i="6"/>
  <c r="K29" i="10"/>
  <c r="D24" i="6" l="1"/>
  <c r="K13" i="10"/>
  <c r="D32" i="6"/>
  <c r="E32" i="6" l="1"/>
  <c r="D49" i="6"/>
  <c r="D53" i="6" s="1"/>
  <c r="D27" i="6"/>
  <c r="E27" i="6" s="1"/>
  <c r="I18" i="16"/>
  <c r="M1" i="10" s="1"/>
  <c r="O18" i="16"/>
  <c r="J18" i="16"/>
  <c r="J35" i="16" s="1"/>
  <c r="AD102" i="1" s="1"/>
  <c r="B18" i="16"/>
  <c r="B28" i="16" s="1"/>
  <c r="H18" i="16"/>
  <c r="H28" i="16" s="1"/>
  <c r="C18" i="16"/>
  <c r="C35" i="16" s="1"/>
  <c r="K18" i="16"/>
  <c r="K28" i="16" s="1"/>
  <c r="E18" i="16"/>
  <c r="E35" i="16" s="1"/>
  <c r="F18" i="16"/>
  <c r="F28" i="16" s="1"/>
  <c r="D18" i="16"/>
  <c r="D28" i="16" s="1"/>
  <c r="G18" i="16"/>
  <c r="G28" i="16" s="1"/>
  <c r="O43" i="1" s="1"/>
  <c r="D40" i="6" l="1"/>
  <c r="O28" i="16"/>
  <c r="P18" i="16"/>
  <c r="F35" i="16"/>
  <c r="K35" i="16"/>
  <c r="E28" i="16"/>
  <c r="F25" i="1"/>
  <c r="I25" i="1" s="1"/>
  <c r="P25" i="1" s="1"/>
  <c r="G50" i="6" s="1"/>
  <c r="G53" i="6" s="1"/>
  <c r="J28" i="16"/>
  <c r="O35" i="16"/>
  <c r="L30" i="8" s="1"/>
  <c r="B35" i="16"/>
  <c r="C28" i="16"/>
  <c r="G43" i="1"/>
  <c r="I35" i="16"/>
  <c r="AC102" i="1" s="1"/>
  <c r="M3" i="10"/>
  <c r="O2" i="10" s="1"/>
  <c r="B105" i="6"/>
  <c r="B110" i="6" s="1"/>
  <c r="K41" i="1"/>
  <c r="K43" i="1"/>
  <c r="J41" i="1"/>
  <c r="J43" i="1"/>
  <c r="G35" i="16"/>
  <c r="D35" i="16"/>
  <c r="H35" i="16"/>
  <c r="I28" i="16"/>
  <c r="P28" i="16" s="1"/>
  <c r="F41" i="1" l="1"/>
  <c r="F43" i="1"/>
  <c r="P43" i="1"/>
  <c r="P35" i="16"/>
  <c r="AC25" i="1"/>
  <c r="AC41" i="1" s="1"/>
  <c r="K44" i="1"/>
  <c r="O1" i="10"/>
  <c r="O3" i="10" s="1"/>
  <c r="F44" i="1"/>
  <c r="G41" i="1"/>
  <c r="G44" i="1" s="1"/>
  <c r="I43" i="1"/>
  <c r="C108" i="6"/>
  <c r="F50" i="6"/>
  <c r="G52" i="6"/>
  <c r="J44" i="1"/>
  <c r="O41" i="1"/>
  <c r="O44" i="1" s="1"/>
  <c r="T19" i="8" l="1"/>
  <c r="AC43" i="1"/>
  <c r="C105" i="6"/>
  <c r="C110" i="6" s="1"/>
  <c r="I41" i="1"/>
  <c r="D37" i="6"/>
  <c r="C51" i="6" s="1"/>
  <c r="F49" i="6"/>
  <c r="F51" i="6"/>
  <c r="E51" i="6" s="1"/>
  <c r="D35" i="6"/>
  <c r="E50" i="6"/>
  <c r="D36" i="6"/>
  <c r="C50" i="6" s="1"/>
  <c r="AC46" i="1"/>
  <c r="AC50" i="1" s="1"/>
  <c r="AC44" i="1"/>
  <c r="B50" i="6" l="1"/>
  <c r="D72" i="6" s="1"/>
  <c r="E72" i="6" s="1"/>
  <c r="P41" i="1"/>
  <c r="I44" i="1"/>
  <c r="E52" i="6"/>
  <c r="E49" i="6"/>
  <c r="E53" i="6" s="1"/>
  <c r="F53" i="6"/>
  <c r="F52" i="6"/>
  <c r="B51" i="6"/>
  <c r="D78" i="6" s="1"/>
  <c r="C52" i="6"/>
  <c r="C49" i="6"/>
  <c r="D38" i="6"/>
  <c r="D42" i="6" s="1"/>
  <c r="B49" i="6" l="1"/>
  <c r="B85" i="6"/>
  <c r="D85" i="6" s="1"/>
  <c r="E96" i="6" s="1"/>
  <c r="B52" i="6"/>
  <c r="P46" i="1"/>
  <c r="P50" i="1" s="1"/>
  <c r="P44" i="1"/>
  <c r="B86" i="6"/>
  <c r="D86" i="6" s="1"/>
  <c r="E78" i="6"/>
  <c r="G31" i="8"/>
  <c r="D41" i="6"/>
  <c r="C53" i="6"/>
  <c r="E130" i="6"/>
  <c r="G13" i="8" l="1"/>
  <c r="M13" i="8" s="1"/>
  <c r="D99" i="6"/>
  <c r="E99" i="6" s="1"/>
  <c r="D97" i="6"/>
  <c r="M30" i="8"/>
  <c r="S19" i="8"/>
  <c r="L31" i="8"/>
  <c r="B53" i="6"/>
  <c r="D66" i="6"/>
  <c r="G14" i="8"/>
  <c r="D116" i="6"/>
  <c r="E113" i="6"/>
  <c r="D114" i="6"/>
  <c r="K13" i="8" l="1"/>
  <c r="S9" i="8"/>
  <c r="U9" i="8" s="1"/>
  <c r="G27" i="8"/>
  <c r="K27" i="8" s="1"/>
  <c r="D100" i="6"/>
  <c r="D105" i="6" s="1"/>
  <c r="E104" i="6" s="1"/>
  <c r="G20" i="8" s="1"/>
  <c r="D117" i="6"/>
  <c r="D125" i="6" s="1"/>
  <c r="E124" i="6" s="1"/>
  <c r="G24" i="8" s="1"/>
  <c r="S10" i="8"/>
  <c r="U10" i="8" s="1"/>
  <c r="K14" i="8"/>
  <c r="M14" i="8"/>
  <c r="S20" i="8"/>
  <c r="U19" i="8"/>
  <c r="D80" i="6"/>
  <c r="D131" i="6"/>
  <c r="B84" i="6"/>
  <c r="E66" i="6"/>
  <c r="D84" i="6" l="1"/>
  <c r="G12" i="8" s="1"/>
  <c r="S17" i="8"/>
  <c r="U17" i="8" s="1"/>
  <c r="M27" i="8"/>
  <c r="D122" i="6"/>
  <c r="D127" i="6" s="1"/>
  <c r="D108" i="6"/>
  <c r="E107" i="6" s="1"/>
  <c r="G21" i="8" s="1"/>
  <c r="K21" i="8" s="1"/>
  <c r="M20" i="8"/>
  <c r="K20" i="8"/>
  <c r="S12" i="8"/>
  <c r="U12" i="8" s="1"/>
  <c r="B87" i="6"/>
  <c r="D87" i="6" s="1"/>
  <c r="E80" i="6"/>
  <c r="D81" i="6"/>
  <c r="S16" i="8"/>
  <c r="U16" i="8" s="1"/>
  <c r="K24" i="8"/>
  <c r="M24" i="8"/>
  <c r="E121" i="6" l="1"/>
  <c r="G23" i="8" s="1"/>
  <c r="S15" i="8" s="1"/>
  <c r="U15" i="8" s="1"/>
  <c r="K12" i="8"/>
  <c r="M12" i="8"/>
  <c r="S8" i="8"/>
  <c r="U8" i="8" s="1"/>
  <c r="M21" i="8"/>
  <c r="S13" i="8"/>
  <c r="U13" i="8" s="1"/>
  <c r="D110" i="6"/>
  <c r="D130" i="6" s="1"/>
  <c r="K23" i="8"/>
  <c r="M23" i="8"/>
  <c r="D132" i="6" l="1"/>
  <c r="E132" i="6" s="1"/>
  <c r="F130" i="6"/>
  <c r="D133"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sean.foley</author>
  </authors>
  <commentList>
    <comment ref="U27" authorId="0" shapeId="0" xr:uid="{00000000-0006-0000-0200-000003000000}">
      <text>
        <r>
          <rPr>
            <b/>
            <sz val="9"/>
            <color indexed="81"/>
            <rFont val="Tahoma"/>
            <family val="2"/>
          </rPr>
          <t>sean.foley:</t>
        </r>
        <r>
          <rPr>
            <sz val="9"/>
            <color indexed="81"/>
            <rFont val="Tahoma"/>
            <family val="2"/>
          </rPr>
          <t xml:space="preserve">
These cells are on a togle for OYMA load in or out</t>
        </r>
      </text>
    </comment>
    <comment ref="V75" authorId="0" shapeId="0" xr:uid="{00000000-0006-0000-0200-000006000000}">
      <text>
        <r>
          <rPr>
            <b/>
            <sz val="9"/>
            <color indexed="81"/>
            <rFont val="Tahoma"/>
            <family val="2"/>
          </rPr>
          <t>sean.foley:</t>
        </r>
        <r>
          <rPr>
            <sz val="9"/>
            <color indexed="81"/>
            <rFont val="Tahoma"/>
            <family val="2"/>
          </rPr>
          <t xml:space="preserve">
These cells are on a togle for OYMA load in or out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Tom Lyle</author>
    <author>tc={A682D0F5-5FD5-4374-9DAF-E714B90F75EE}</author>
  </authors>
  <commentList>
    <comment ref="B19" authorId="0" shapeId="0" xr:uid="{00000000-0006-0000-0400-000005000000}">
      <text>
        <r>
          <rPr>
            <b/>
            <sz val="9"/>
            <color indexed="81"/>
            <rFont val="Tahoma"/>
            <family val="2"/>
          </rPr>
          <t>Tom Lyle:</t>
        </r>
        <r>
          <rPr>
            <sz val="9"/>
            <color indexed="81"/>
            <rFont val="Tahoma"/>
            <family val="2"/>
          </rPr>
          <t xml:space="preserve">
Actual 2022, and est </t>
        </r>
      </text>
    </comment>
    <comment ref="S40" authorId="1" shapeId="0" xr:uid="{A682D0F5-5FD5-4374-9DAF-E714B90F75EE}">
      <text>
        <t>[Threaded comment]
Your version of Excel allows you to read this threaded comment; however, any edits to it will get removed if the file is opened in a newer version of Excel. Learn more: https://go.microsoft.com/fwlink/?linkid=870924
Comment:
    Amanda updated green highlighted cells 9/26 with 2022 amounts</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Tom Lyle</author>
  </authors>
  <commentList>
    <comment ref="B66" authorId="0" shapeId="0" xr:uid="{7C9E4AA1-14BB-4574-8A1E-2E41F7D60BE1}">
      <text>
        <r>
          <rPr>
            <b/>
            <sz val="9"/>
            <color indexed="81"/>
            <rFont val="Tahoma"/>
            <charset val="1"/>
          </rPr>
          <t>Tom Lyle:</t>
        </r>
        <r>
          <rPr>
            <sz val="9"/>
            <color indexed="81"/>
            <rFont val="Tahoma"/>
            <charset val="1"/>
          </rPr>
          <t xml:space="preserve">
check prior yrs… if lower percentage than 27.9 that would be the reason for increasing rate this year.. 
Collections is catching up 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Tom Lyle</author>
  </authors>
  <commentList>
    <comment ref="R10" authorId="0" shapeId="0" xr:uid="{00000000-0006-0000-0B00-000001000000}">
      <text>
        <r>
          <rPr>
            <b/>
            <sz val="9"/>
            <color indexed="81"/>
            <rFont val="Tahoma"/>
            <family val="2"/>
          </rPr>
          <t>Tom Lyle:</t>
        </r>
        <r>
          <rPr>
            <sz val="9"/>
            <color indexed="81"/>
            <rFont val="Tahoma"/>
            <family val="2"/>
          </rPr>
          <t xml:space="preserve">
no customer exists here</t>
        </r>
      </text>
    </comment>
  </commentList>
</comments>
</file>

<file path=xl/sharedStrings.xml><?xml version="1.0" encoding="utf-8"?>
<sst xmlns="http://schemas.openxmlformats.org/spreadsheetml/2006/main" count="1013" uniqueCount="517">
  <si>
    <t>Revenue</t>
  </si>
  <si>
    <t>kWh</t>
  </si>
  <si>
    <t>kW</t>
  </si>
  <si>
    <t>Residential</t>
  </si>
  <si>
    <t>Commercial</t>
  </si>
  <si>
    <t>Non Demand</t>
  </si>
  <si>
    <t>Energy</t>
  </si>
  <si>
    <t>Capacity</t>
  </si>
  <si>
    <t>Total Demand</t>
  </si>
  <si>
    <t>Total Company</t>
  </si>
  <si>
    <t>Total</t>
  </si>
  <si>
    <t>Company</t>
  </si>
  <si>
    <t>Demand Customers</t>
  </si>
  <si>
    <t>Commercial (less than 1,000 kw)</t>
  </si>
  <si>
    <t>Industrial (1,000 or greater kW)</t>
  </si>
  <si>
    <t xml:space="preserve">Industrial </t>
  </si>
  <si>
    <t>Other</t>
  </si>
  <si>
    <t>Difference</t>
  </si>
  <si>
    <t xml:space="preserve">kWh </t>
  </si>
  <si>
    <t>xxx</t>
  </si>
  <si>
    <t>ENERGY EFFICIENCY CHARGE</t>
  </si>
  <si>
    <t>$</t>
  </si>
  <si>
    <t>Non Demand Customers</t>
  </si>
  <si>
    <t>Customer</t>
  </si>
  <si>
    <t>Charge</t>
  </si>
  <si>
    <t>Energy and</t>
  </si>
  <si>
    <t xml:space="preserve">Total </t>
  </si>
  <si>
    <t xml:space="preserve">Customer </t>
  </si>
  <si>
    <t xml:space="preserve">Energy &amp; </t>
  </si>
  <si>
    <t>Authorized EEC Exclusions</t>
  </si>
  <si>
    <t>Barton</t>
  </si>
  <si>
    <t>Burlington Electric Dept (BED)</t>
  </si>
  <si>
    <t>Enosburg Falls</t>
  </si>
  <si>
    <t>Green Mountain Power</t>
  </si>
  <si>
    <t>Hardwick</t>
  </si>
  <si>
    <t>Hyde Park</t>
  </si>
  <si>
    <t>Jacksonville</t>
  </si>
  <si>
    <t>Johnson</t>
  </si>
  <si>
    <t>Ludlow</t>
  </si>
  <si>
    <t>Lyndonville</t>
  </si>
  <si>
    <t>Morrisville</t>
  </si>
  <si>
    <t>Northfield</t>
  </si>
  <si>
    <t>Orleans</t>
  </si>
  <si>
    <t>Stowe</t>
  </si>
  <si>
    <t>Swanton</t>
  </si>
  <si>
    <t>Vermont Electric Coop (VEC).</t>
  </si>
  <si>
    <t xml:space="preserve">Washington Electric Coop (WEC) </t>
  </si>
  <si>
    <t>Industrial</t>
  </si>
  <si>
    <t>EEC</t>
  </si>
  <si>
    <t>EEC To Be Collected</t>
  </si>
  <si>
    <t>BED</t>
  </si>
  <si>
    <t>Gross Revenue &amp; Weather Tax</t>
  </si>
  <si>
    <t xml:space="preserve">EEC To Be </t>
  </si>
  <si>
    <t>Adjusted</t>
  </si>
  <si>
    <t>% of</t>
  </si>
  <si>
    <t>By Rate Class</t>
  </si>
  <si>
    <t>Rate Rev</t>
  </si>
  <si>
    <t xml:space="preserve">     Sub Total Com and Industrial</t>
  </si>
  <si>
    <t>Volumetric Rate Development for energy (kWh) and demand/capacity (kw)</t>
  </si>
  <si>
    <t>RATE</t>
  </si>
  <si>
    <t xml:space="preserve">per kWh </t>
  </si>
  <si>
    <t xml:space="preserve">% of Total kWh </t>
  </si>
  <si>
    <t>w/o Tax</t>
  </si>
  <si>
    <t xml:space="preserve">Final Rates with Gross Receipts and </t>
  </si>
  <si>
    <t>WX tax Adjustment (formula=rate w/o tax/.99)</t>
  </si>
  <si>
    <t>$/kWh</t>
  </si>
  <si>
    <t>kWh Sales</t>
  </si>
  <si>
    <t>Reported Energy Revenue</t>
  </si>
  <si>
    <t>EEC To Be</t>
  </si>
  <si>
    <t>COMMERCIAL CUSTOMERS</t>
  </si>
  <si>
    <t>EEC Rate</t>
  </si>
  <si>
    <t>Billing Unit</t>
  </si>
  <si>
    <t xml:space="preserve">     Total Revenue</t>
  </si>
  <si>
    <t>INDUSTRIAL CUSTOMERS</t>
  </si>
  <si>
    <t>All Other Utilities</t>
  </si>
  <si>
    <t>Burlington Electric Department (BED)</t>
  </si>
  <si>
    <t>Total kWh for demand and non-demand customers</t>
  </si>
  <si>
    <t>Balance To Be Collected from Commercial Demand Customers</t>
  </si>
  <si>
    <t>Amount to be collected from Industrial Customers</t>
  </si>
  <si>
    <t>Balance To Be Collected from Industrial Demand Customers</t>
  </si>
  <si>
    <t>Burlington Electric Division (BED)</t>
  </si>
  <si>
    <t xml:space="preserve">Burlington Electric Department (BED) </t>
  </si>
  <si>
    <t>Rate</t>
  </si>
  <si>
    <t>Unit</t>
  </si>
  <si>
    <t>Residence</t>
  </si>
  <si>
    <t>Commercial-non demand customers</t>
  </si>
  <si>
    <t>Industrial customers-non demand customers</t>
  </si>
  <si>
    <t>$/kW</t>
  </si>
  <si>
    <t xml:space="preserve">     Commercial -demand customers </t>
  </si>
  <si>
    <t xml:space="preserve">     Industrial customers-demand customers</t>
  </si>
  <si>
    <t>(4)  Other:</t>
  </si>
  <si>
    <t>Billed</t>
  </si>
  <si>
    <t>EEU Charge To Be Billed</t>
  </si>
  <si>
    <t>Revenue Based EEC Allocation</t>
  </si>
  <si>
    <t>INFORMATION REQUIREMENT SUMMARY</t>
  </si>
  <si>
    <t xml:space="preserve">A </t>
  </si>
  <si>
    <t>B</t>
  </si>
  <si>
    <t xml:space="preserve">C </t>
  </si>
  <si>
    <t>D</t>
  </si>
  <si>
    <t>E</t>
  </si>
  <si>
    <t>F</t>
  </si>
  <si>
    <t>G</t>
  </si>
  <si>
    <t>H</t>
  </si>
  <si>
    <t>I</t>
  </si>
  <si>
    <t>J</t>
  </si>
  <si>
    <t>K</t>
  </si>
  <si>
    <t>L</t>
  </si>
  <si>
    <t>M</t>
  </si>
  <si>
    <t>N</t>
  </si>
  <si>
    <t>O</t>
  </si>
  <si>
    <t>P</t>
  </si>
  <si>
    <t>Q</t>
  </si>
  <si>
    <t>R</t>
  </si>
  <si>
    <t>S</t>
  </si>
  <si>
    <t xml:space="preserve">T </t>
  </si>
  <si>
    <t>U</t>
  </si>
  <si>
    <t>V.</t>
  </si>
  <si>
    <t>W</t>
  </si>
  <si>
    <t>X</t>
  </si>
  <si>
    <t>Y</t>
  </si>
  <si>
    <t>Z</t>
  </si>
  <si>
    <t>AA</t>
  </si>
  <si>
    <t>AB</t>
  </si>
  <si>
    <t>AC</t>
  </si>
  <si>
    <t>AD</t>
  </si>
  <si>
    <t>Commercial (less than 1,000 kW)</t>
  </si>
  <si>
    <t>Annual</t>
  </si>
  <si>
    <t>Capacity (Billed)</t>
  </si>
  <si>
    <t>Report and or</t>
  </si>
  <si>
    <t>On-Peak</t>
  </si>
  <si>
    <t>Off Peak</t>
  </si>
  <si>
    <t>FERC Form 1</t>
  </si>
  <si>
    <t xml:space="preserve">Unit of Measure </t>
  </si>
  <si>
    <t>Cell Formula</t>
  </si>
  <si>
    <t>B+C</t>
  </si>
  <si>
    <t>F+G+H</t>
  </si>
  <si>
    <t>L+M</t>
  </si>
  <si>
    <t>J+K+N</t>
  </si>
  <si>
    <t>I+O</t>
  </si>
  <si>
    <t>R+S</t>
  </si>
  <si>
    <t>W+X</t>
  </si>
  <si>
    <t>U+V+Y</t>
  </si>
  <si>
    <t>T+Z</t>
  </si>
  <si>
    <t>D+P+AA+AB</t>
  </si>
  <si>
    <t>Retail Sales Subject To EEC Charge:</t>
  </si>
  <si>
    <t>Total Subject to EEC Charge</t>
  </si>
  <si>
    <t xml:space="preserve">All Other Utilities </t>
  </si>
  <si>
    <t xml:space="preserve">Total Statewide </t>
  </si>
  <si>
    <t>As Reported To FERC/Annual Report</t>
  </si>
  <si>
    <t xml:space="preserve">Capacity (Billed) </t>
  </si>
  <si>
    <t>G+H</t>
  </si>
  <si>
    <t xml:space="preserve">S+V </t>
  </si>
  <si>
    <t>C+P+AA+AB</t>
  </si>
  <si>
    <t>N+Y</t>
  </si>
  <si>
    <t>kWh and kW Subject To EEC Charge:</t>
  </si>
  <si>
    <t xml:space="preserve">All Others </t>
  </si>
  <si>
    <t xml:space="preserve">"Rate Classes" and "Total Company" revenues and kWh as reported here and as reported to FERC should agree, however, if they do not the information reported here must be in accordance with the definitions shown above and any differences reconciled and reported on the Reconciliation Worksheets within this Workbook.  </t>
  </si>
  <si>
    <t>EEU Amounts To Be Billed</t>
  </si>
  <si>
    <t xml:space="preserve">   Sub Total-Amount To Be Allocated to Rate Class </t>
  </si>
  <si>
    <t>Adjustment</t>
  </si>
  <si>
    <t>Rate Classifications</t>
  </si>
  <si>
    <t xml:space="preserve">Rates for Customers Without Demand Charges </t>
  </si>
  <si>
    <t xml:space="preserve">Rates for Customers With Demand Charges </t>
  </si>
  <si>
    <t>Less BED</t>
  </si>
  <si>
    <t xml:space="preserve">           Residential</t>
  </si>
  <si>
    <t xml:space="preserve">           Commercial</t>
  </si>
  <si>
    <t xml:space="preserve">           Industrial</t>
  </si>
  <si>
    <t>Percent of EEC Related Rate Revenues</t>
  </si>
  <si>
    <t>% Change</t>
  </si>
  <si>
    <t>Rates for Unmetered Street and Security Light Customers</t>
  </si>
  <si>
    <t>EEC Rate Comparison</t>
  </si>
  <si>
    <t xml:space="preserve">BED </t>
  </si>
  <si>
    <t xml:space="preserve">Stowe </t>
  </si>
  <si>
    <t>I+K</t>
  </si>
  <si>
    <t>Over/under-collection</t>
  </si>
  <si>
    <t>Included in</t>
  </si>
  <si>
    <t xml:space="preserve">Projected </t>
  </si>
  <si>
    <t>Actual</t>
  </si>
  <si>
    <t>EEC calculation</t>
  </si>
  <si>
    <t>Collection</t>
  </si>
  <si>
    <t>Residential EEC</t>
  </si>
  <si>
    <t>Commercial EEC</t>
  </si>
  <si>
    <t>Industrial EEC</t>
  </si>
  <si>
    <t>Note: A Negative Difference indicates a need to increase collections by that amount.</t>
  </si>
  <si>
    <t>Over/under-collection estimate</t>
  </si>
  <si>
    <t>Estimated</t>
  </si>
  <si>
    <t>BED Total</t>
  </si>
  <si>
    <t>Grand Total</t>
  </si>
  <si>
    <t>Note: A Positive Difference indicates a need to decrease collections by that amount.</t>
  </si>
  <si>
    <t>(Note A)</t>
  </si>
  <si>
    <t>Note (B)</t>
  </si>
  <si>
    <t>Note (C)</t>
  </si>
  <si>
    <t>Barton Village Inc. Electric Dept</t>
  </si>
  <si>
    <t>Enosburg Falls Water &amp; Light Dept</t>
  </si>
  <si>
    <t>Hardwick Electric Dept</t>
  </si>
  <si>
    <t>Hyde Park Electric Dept</t>
  </si>
  <si>
    <t>Jacksonville Electric Company</t>
  </si>
  <si>
    <t>Johnson Electric Dept</t>
  </si>
  <si>
    <t>Ludlow Electric Light Dept</t>
  </si>
  <si>
    <t>Lyndonville Electric Dept</t>
  </si>
  <si>
    <t>Morrisville Water &amp; Light Dept</t>
  </si>
  <si>
    <t>Northfield Electric Dept</t>
  </si>
  <si>
    <t>Orleans Electric Dept</t>
  </si>
  <si>
    <t>Stowe Electric Dept</t>
  </si>
  <si>
    <t>Swanton Village Inc. Electric Dept</t>
  </si>
  <si>
    <t>Vermont Electric Co-Operative</t>
  </si>
  <si>
    <t>Washington Electric Co-Operative</t>
  </si>
  <si>
    <t xml:space="preserve">Burlington </t>
  </si>
  <si>
    <t>Note A</t>
  </si>
  <si>
    <t>From Utility Invoice</t>
  </si>
  <si>
    <t>Note B</t>
  </si>
  <si>
    <t>Negative Difference indicates a need to increase collections by that amount.</t>
  </si>
  <si>
    <t>Note C</t>
  </si>
  <si>
    <t>Positive Difference indicates a need to decrease collections by that amount.</t>
  </si>
  <si>
    <t>True-Up</t>
  </si>
  <si>
    <t>Other Adjustments</t>
  </si>
  <si>
    <t xml:space="preserve">Source: EEC Summary Template reconciled with FERC Annual Report (see Summary-Rev and Units Worksheet)    </t>
  </si>
  <si>
    <t>(1)  Uncollectible</t>
  </si>
  <si>
    <t>Uncollectible</t>
  </si>
  <si>
    <t>Total of all Elec. Utilities except BED</t>
  </si>
  <si>
    <t>Variance</t>
  </si>
  <si>
    <t>GMP</t>
  </si>
  <si>
    <t>Note (D)</t>
  </si>
  <si>
    <t>Note D</t>
  </si>
  <si>
    <t>From prior year EEC calculation</t>
  </si>
  <si>
    <t>Source</t>
  </si>
  <si>
    <t>VTEEU</t>
  </si>
  <si>
    <t>Fiscal Year</t>
  </si>
  <si>
    <t>CODE</t>
  </si>
  <si>
    <t>NAME</t>
  </si>
  <si>
    <t>JAN</t>
  </si>
  <si>
    <t>FEB</t>
  </si>
  <si>
    <t>MAR</t>
  </si>
  <si>
    <t>APR</t>
  </si>
  <si>
    <t>MAY</t>
  </si>
  <si>
    <t>JUN</t>
  </si>
  <si>
    <t>JUL</t>
  </si>
  <si>
    <t>AUG</t>
  </si>
  <si>
    <t>SEP</t>
  </si>
  <si>
    <t>OCT</t>
  </si>
  <si>
    <t>NOV</t>
  </si>
  <si>
    <t>DEC</t>
  </si>
  <si>
    <t>To Date</t>
  </si>
  <si>
    <t>VTE001</t>
  </si>
  <si>
    <t>Barton Village, Inc. Electric Dept.</t>
  </si>
  <si>
    <t>VTE002</t>
  </si>
  <si>
    <t>Burlington Electric Dept., City of</t>
  </si>
  <si>
    <t>VTE005</t>
  </si>
  <si>
    <t>Enosburg Falls Water &amp; Light Dept.</t>
  </si>
  <si>
    <t>VTE006</t>
  </si>
  <si>
    <t>Green Mountain Power Corporation</t>
  </si>
  <si>
    <t>VTE007</t>
  </si>
  <si>
    <t>Hardwick Electric Dept., Town of</t>
  </si>
  <si>
    <t>VTE008</t>
  </si>
  <si>
    <t>Hyde Park Electric Dept., Village of</t>
  </si>
  <si>
    <t>VTE009</t>
  </si>
  <si>
    <t>Jacksonville Electric Company, Village of</t>
  </si>
  <si>
    <t>VTE010</t>
  </si>
  <si>
    <t>Johnson Water &amp; Light Dept., Village of</t>
  </si>
  <si>
    <t>VTE011</t>
  </si>
  <si>
    <t>Ludlow Electric Light Dept., Village of</t>
  </si>
  <si>
    <t>VTE012</t>
  </si>
  <si>
    <t>Lyndonville Electric Dept., Village of</t>
  </si>
  <si>
    <t>VTE013</t>
  </si>
  <si>
    <t>Morrisville Water &amp; Light Dept., Village of</t>
  </si>
  <si>
    <t>VTE014</t>
  </si>
  <si>
    <t>Northfield Electric Dept., Village of</t>
  </si>
  <si>
    <t>VTE016</t>
  </si>
  <si>
    <t>Orleans Electric Dept., Village of</t>
  </si>
  <si>
    <t>VTE019</t>
  </si>
  <si>
    <t>Stowe Electric Dept., Town of</t>
  </si>
  <si>
    <t>VTE020</t>
  </si>
  <si>
    <t>Swanton Village Inc. Electric Dept.</t>
  </si>
  <si>
    <t>VTE021</t>
  </si>
  <si>
    <t>VTE022</t>
  </si>
  <si>
    <t>Washington Electric Cooperative, Inc.</t>
  </si>
  <si>
    <t xml:space="preserve">   TOTAL CONTRIBUTIONS:</t>
  </si>
  <si>
    <r>
      <t xml:space="preserve">Prior Period </t>
    </r>
    <r>
      <rPr>
        <b/>
        <sz val="11"/>
        <rFont val="Calibri"/>
        <family val="2"/>
      </rPr>
      <t>Collection</t>
    </r>
    <r>
      <rPr>
        <sz val="11"/>
        <rFont val="Calibri"/>
        <family val="2"/>
      </rPr>
      <t xml:space="preserve"> Adjustments </t>
    </r>
  </si>
  <si>
    <t>Commercial (includes Pub Street and Other)</t>
  </si>
  <si>
    <t>Vermont Electric Cooperative, Inc.</t>
  </si>
  <si>
    <t>`</t>
  </si>
  <si>
    <t>PER PUC RULE 5.300</t>
  </si>
  <si>
    <t>EEC Collection True-Up By Rate Class</t>
  </si>
  <si>
    <r>
      <t xml:space="preserve">Total Exclusions </t>
    </r>
    <r>
      <rPr>
        <b/>
        <sz val="11"/>
        <rFont val="Calibri"/>
        <family val="2"/>
      </rPr>
      <t xml:space="preserve">(see Note 2) </t>
    </r>
  </si>
  <si>
    <r>
      <t>Note 1</t>
    </r>
    <r>
      <rPr>
        <sz val="11"/>
        <rFont val="Calibri"/>
        <family val="2"/>
      </rPr>
      <t xml:space="preserve">: The following definitions shall apply for  "Commercial" and "Industrial"  Customer/Rate Classes; Commercial-less than 1,000 kw per month for all months during the preceding calendar year; Industrial-1,000 kW or more per month for any month during the preceding calendar year. </t>
    </r>
  </si>
  <si>
    <r>
      <t xml:space="preserve">Note 2:  </t>
    </r>
    <r>
      <rPr>
        <sz val="11"/>
        <rFont val="Calibri"/>
        <family val="2"/>
      </rPr>
      <t>Authorized Exclusions (if any) apply only where Public Service Board Approval has been specifically granted:</t>
    </r>
  </si>
  <si>
    <t>Over/Under</t>
  </si>
  <si>
    <t>Rates</t>
  </si>
  <si>
    <t>w/o GRT</t>
  </si>
  <si>
    <t>Calculated EEC</t>
  </si>
  <si>
    <t>w/ GRT</t>
  </si>
  <si>
    <t xml:space="preserve"> GMP Customer 1</t>
  </si>
  <si>
    <t>GMP Customer 2</t>
  </si>
  <si>
    <t>OYMA</t>
  </si>
  <si>
    <t>TOGGLE</t>
  </si>
  <si>
    <t>GMP data OYMA included</t>
  </si>
  <si>
    <t>Industrial Load for EEC collection True Up</t>
  </si>
  <si>
    <t>Allocated Actual</t>
  </si>
  <si>
    <t>EEC Payments</t>
  </si>
  <si>
    <t>Burlington Electric</t>
  </si>
  <si>
    <t>Jan</t>
  </si>
  <si>
    <t>Feb</t>
  </si>
  <si>
    <t>Mar</t>
  </si>
  <si>
    <t>Apr</t>
  </si>
  <si>
    <t>May</t>
  </si>
  <si>
    <t>Jun</t>
  </si>
  <si>
    <t>Residential Energy</t>
  </si>
  <si>
    <t xml:space="preserve">Commercial </t>
  </si>
  <si>
    <t>Non-Demand Energy</t>
  </si>
  <si>
    <t>Demand Energy</t>
  </si>
  <si>
    <t>Demand Capacity</t>
  </si>
  <si>
    <t>Street and Area Lights:</t>
  </si>
  <si>
    <t>Kilowatt Hours</t>
  </si>
  <si>
    <t>Res</t>
  </si>
  <si>
    <t>W/O GTR Weather tax</t>
  </si>
  <si>
    <t>Allocation</t>
  </si>
  <si>
    <t>BURLINGTON ELECTRIC DEPARTMENT</t>
  </si>
  <si>
    <t>RATE CALCULATION</t>
  </si>
  <si>
    <t>Individual Monthly EEC collections filings</t>
  </si>
  <si>
    <t>January</t>
  </si>
  <si>
    <t>February</t>
  </si>
  <si>
    <t>March</t>
  </si>
  <si>
    <t>April</t>
  </si>
  <si>
    <t>June</t>
  </si>
  <si>
    <t>July</t>
  </si>
  <si>
    <t>August</t>
  </si>
  <si>
    <t>September</t>
  </si>
  <si>
    <t>October</t>
  </si>
  <si>
    <t>November</t>
  </si>
  <si>
    <t>December</t>
  </si>
  <si>
    <t>Street Lights</t>
  </si>
  <si>
    <t>Totals</t>
  </si>
  <si>
    <t>For estimates</t>
  </si>
  <si>
    <t>Jul</t>
  </si>
  <si>
    <t>Aug</t>
  </si>
  <si>
    <t>Forecast</t>
  </si>
  <si>
    <t>Total EEC to be Billed By BED</t>
  </si>
  <si>
    <t>weighted avg</t>
  </si>
  <si>
    <t>GRT .525% and Weather .5% = 1.03%</t>
  </si>
  <si>
    <t>weatherization</t>
  </si>
  <si>
    <t>GRT</t>
  </si>
  <si>
    <t>% diff</t>
  </si>
  <si>
    <t>w/o Demand Charges</t>
  </si>
  <si>
    <t>w/ Demand charges</t>
  </si>
  <si>
    <t xml:space="preserve">Collections </t>
  </si>
  <si>
    <t>Sept</t>
  </si>
  <si>
    <t>Oct</t>
  </si>
  <si>
    <t>FY 1/21 - 12/21 - ALL ACTUALS</t>
  </si>
  <si>
    <t>EEC Collections</t>
  </si>
  <si>
    <t>Sources</t>
  </si>
  <si>
    <t xml:space="preserve">Reference w/o credits </t>
  </si>
  <si>
    <t>Proposed Budget (Approved 19-3272 - 8/26/2021), less adjustments</t>
  </si>
  <si>
    <t xml:space="preserve"> 2015- 2017 Carry forward amounts</t>
  </si>
  <si>
    <t>See PUC Order 20-2241 11/13/2020</t>
  </si>
  <si>
    <t>2018-2020 Carry forward amounts</t>
  </si>
  <si>
    <t>See PUC Order 21-1616 08/31/2021</t>
  </si>
  <si>
    <t xml:space="preserve">Initial EEC to be Billed </t>
  </si>
  <si>
    <t xml:space="preserve">StreetLights </t>
  </si>
  <si>
    <t>RS</t>
  </si>
  <si>
    <t>RT</t>
  </si>
  <si>
    <t>ST</t>
  </si>
  <si>
    <t>S4</t>
  </si>
  <si>
    <t>LG</t>
  </si>
  <si>
    <t>LT</t>
  </si>
  <si>
    <t>L4</t>
  </si>
  <si>
    <t>PS</t>
  </si>
  <si>
    <t>P4</t>
  </si>
  <si>
    <t>L2</t>
  </si>
  <si>
    <t>P2</t>
  </si>
  <si>
    <t>SL</t>
  </si>
  <si>
    <t>Total Utility</t>
  </si>
  <si>
    <t>Commercial (&lt;1,000 KW), Demand</t>
  </si>
  <si>
    <t>Industrial (&gt;=1,000 KW), Demand</t>
  </si>
  <si>
    <t>Commercial (&lt;1,000 KW), Non-Demand</t>
  </si>
  <si>
    <t>Rate Class</t>
  </si>
  <si>
    <t xml:space="preserve">Confirmed to be close as possible. </t>
  </si>
  <si>
    <t>Notes:</t>
  </si>
  <si>
    <t>LG kWh</t>
  </si>
  <si>
    <t>SG kWh</t>
  </si>
  <si>
    <t>Reductions</t>
  </si>
  <si>
    <t>Public street lighting</t>
  </si>
  <si>
    <t>Mike L</t>
  </si>
  <si>
    <t>Util Rev and Load Data</t>
  </si>
  <si>
    <t>Cheryl M/D Roy</t>
  </si>
  <si>
    <t>EEC UnCollectibles</t>
  </si>
  <si>
    <t>EEC Collections True Up</t>
  </si>
  <si>
    <t>EEC 2021 Data (now 2022)</t>
  </si>
  <si>
    <t>EEC 2020 data</t>
  </si>
  <si>
    <t>EEC 2019 data</t>
  </si>
  <si>
    <t xml:space="preserve">Tlyle </t>
  </si>
  <si>
    <t xml:space="preserve">EEC Calculation </t>
  </si>
  <si>
    <t xml:space="preserve">EEC Rates Report </t>
  </si>
  <si>
    <t>PUC Filing lettter</t>
  </si>
  <si>
    <t>Jen B.</t>
  </si>
  <si>
    <t xml:space="preserve">Customer Notice </t>
  </si>
  <si>
    <t>Change EEC rate in Billing system</t>
  </si>
  <si>
    <t xml:space="preserve">EEC Billing Determinates (need to remember NM customers w/o production meters) etc. </t>
  </si>
  <si>
    <t>CY 21</t>
  </si>
  <si>
    <t>CY 22</t>
  </si>
  <si>
    <t>Source = T:\Finance Share\Energy Efficiency Utility\EEC Collections for fiscal agent\CY 2021 / tab "Payment Form"</t>
  </si>
  <si>
    <t>Source = T:\Finance Share\Energy Efficiency Utility\EEC Collections for fiscal agent\CY 2022 / tab "Payment Form"</t>
  </si>
  <si>
    <t>&lt;&lt;Source = "T:\Finance Share\Energy Efficiency Utility\Utilities EEC Reimbursement (Due February annually)\CY 2021 Filing (due 2-20-22)\Calendar year EEU payments and ISO Capacity Payment.xlsx" , Tab "2021 Filing</t>
  </si>
  <si>
    <t>Only updated for BED's EEC</t>
  </si>
  <si>
    <t>2021 REVENUES (See Note 1)</t>
  </si>
  <si>
    <t>2021 BILLING DETERMINANTS  (See Note 1)</t>
  </si>
  <si>
    <t>2021 EEC calculation</t>
  </si>
  <si>
    <t>2022 EEC Calculation</t>
  </si>
  <si>
    <t>EEC Rates in effect</t>
  </si>
  <si>
    <t>Task Area</t>
  </si>
  <si>
    <t>Tab</t>
  </si>
  <si>
    <t>Col</t>
  </si>
  <si>
    <t>Row</t>
  </si>
  <si>
    <t>descriptor</t>
  </si>
  <si>
    <t>status</t>
  </si>
  <si>
    <t>EEC Billing determinates CY21</t>
  </si>
  <si>
    <t>Mike</t>
  </si>
  <si>
    <t>All data missing</t>
  </si>
  <si>
    <t>Util. Rev Load data</t>
  </si>
  <si>
    <t>25(green)</t>
  </si>
  <si>
    <t>bluebookdata,rev data by class &amp; billing determinate</t>
  </si>
  <si>
    <t>missing</t>
  </si>
  <si>
    <t>73(green)</t>
  </si>
  <si>
    <t>bluebookdata,kWH data by class &amp; billing determinate</t>
  </si>
  <si>
    <t>EEC Collection true up</t>
  </si>
  <si>
    <t>10-13</t>
  </si>
  <si>
    <t>13 (green)</t>
  </si>
  <si>
    <t>Placeholder, but unclear source of data, ColD says source is the 2019 EEC report ( 2020 EEC report now)</t>
  </si>
  <si>
    <t>EEC then projected EEC Collections</t>
  </si>
  <si>
    <t>need to pull data from most recent EEC data (in this case EEC 2021 data)</t>
  </si>
  <si>
    <t>ok, corrected links</t>
  </si>
  <si>
    <t>10-12</t>
  </si>
  <si>
    <t>need to reflect most recent EEC rates in effect</t>
  </si>
  <si>
    <t>ok, updated</t>
  </si>
  <si>
    <t>T</t>
  </si>
  <si>
    <t>need to update with actual collections in current CY, then estimated thru end of CY</t>
  </si>
  <si>
    <t>C</t>
  </si>
  <si>
    <t>26-29</t>
  </si>
  <si>
    <t xml:space="preserve">EEC collections </t>
  </si>
  <si>
    <t>unclear, souce stated to be from 2020 EEC report(rate reports tab)</t>
  </si>
  <si>
    <t>Cheryl/Finance</t>
  </si>
  <si>
    <t>FY 1/22 - 12/22 - HALF ACTUALS, HALF ESTIMATES</t>
  </si>
  <si>
    <t>Estimated Actual</t>
  </si>
  <si>
    <t>Customers</t>
  </si>
  <si>
    <t>Total Commercial</t>
  </si>
  <si>
    <t>R4</t>
  </si>
  <si>
    <t>average rate</t>
  </si>
  <si>
    <t xml:space="preserve">Street Lights </t>
  </si>
  <si>
    <t xml:space="preserve"> See 2023 budget to right</t>
  </si>
  <si>
    <t>Total 2023 EEC to be Billed</t>
  </si>
  <si>
    <t>2021 EEC report (EEC Calc tab B49)</t>
  </si>
  <si>
    <t>2021 EEC report (EEC Calc tab B50)</t>
  </si>
  <si>
    <t>2021 EEC report (EEC Calc tab B51)</t>
  </si>
  <si>
    <t>EEC Rates for the Calendar Year 2023</t>
  </si>
  <si>
    <t>2023 Starting amount</t>
  </si>
  <si>
    <t xml:space="preserve">          2021 True-Up</t>
  </si>
  <si>
    <t xml:space="preserve">          2022 Estimate-net</t>
  </si>
  <si>
    <t>(2)  2021 Collections True Up (Over) Under Collections Actuals</t>
  </si>
  <si>
    <t>(3)  2022 Collections True-Up (Over) Under Collections Estimate</t>
  </si>
  <si>
    <t>2022 Actual</t>
  </si>
  <si>
    <t>Billed Sales</t>
  </si>
  <si>
    <t>EEU</t>
  </si>
  <si>
    <t xml:space="preserve">Amount to be collected from Commercial Customers </t>
  </si>
  <si>
    <t>Total kWh for Demand and Non-Demand Customers</t>
  </si>
  <si>
    <t>Reported kW Revenues (Total)</t>
  </si>
  <si>
    <t>Billed kW Demand (subject to EEC charge)</t>
  </si>
  <si>
    <t>(Apportion balance of EEC to be collected between kWh and kW)</t>
  </si>
  <si>
    <t>EEC Charge - Commercial Demand Customers</t>
  </si>
  <si>
    <t>EEC Charge - Commercial Non-Demand Customers</t>
  </si>
  <si>
    <t xml:space="preserve">     Total Revenue (excluding Customer Charge Revenues)</t>
  </si>
  <si>
    <t>Reported Energy Revenues</t>
  </si>
  <si>
    <t>EEC Charge - Industrial Non-Demand Customers</t>
  </si>
  <si>
    <t>EEC Charge - Industrial Demand Customers</t>
  </si>
  <si>
    <t>(Cust Chrg)</t>
  </si>
  <si>
    <t>(Energy)</t>
  </si>
  <si>
    <t>(Demand)</t>
  </si>
  <si>
    <t>(Total)</t>
  </si>
  <si>
    <t>(Revenues)</t>
  </si>
  <si>
    <t>(KWH)</t>
  </si>
  <si>
    <t>BTM Gen</t>
  </si>
  <si>
    <r>
      <t>(KWH)</t>
    </r>
    <r>
      <rPr>
        <b/>
        <vertAlign val="superscript"/>
        <sz val="11"/>
        <color theme="1"/>
        <rFont val="Calibri"/>
        <family val="2"/>
        <scheme val="minor"/>
      </rPr>
      <t>(2)</t>
    </r>
  </si>
  <si>
    <t>Current</t>
  </si>
  <si>
    <t>KWH Rate</t>
  </si>
  <si>
    <t>KW Rate</t>
  </si>
  <si>
    <t>Flat Rate</t>
  </si>
  <si>
    <t>Calculated</t>
  </si>
  <si>
    <t>BILLING DETERMINANTS - CY2021</t>
  </si>
  <si>
    <t>RATE YEAR: 2021</t>
  </si>
  <si>
    <t>Cheryl completed January - July (all available data to date) - 9/02/22</t>
  </si>
  <si>
    <t>Calculation of BED EEC Rates for 2023</t>
  </si>
  <si>
    <t>BED 2022 Energy Efficiency Charge Rates</t>
  </si>
  <si>
    <t>Change from 2022 EEC rates</t>
  </si>
  <si>
    <t>2022 Rate</t>
  </si>
  <si>
    <t>from2021 EEC Report filed 10/1/21, EEC Collection True-Up tab, C29</t>
  </si>
  <si>
    <t>SG</t>
  </si>
  <si>
    <t>EU Revenues</t>
  </si>
  <si>
    <r>
      <t>(KW)</t>
    </r>
    <r>
      <rPr>
        <b/>
        <vertAlign val="superscript"/>
        <sz val="11"/>
        <color theme="1"/>
        <rFont val="Calibri"/>
        <family val="2"/>
        <scheme val="minor"/>
      </rPr>
      <t>(3)</t>
    </r>
  </si>
  <si>
    <r>
      <t>S3</t>
    </r>
    <r>
      <rPr>
        <vertAlign val="superscript"/>
        <sz val="11"/>
        <rFont val="Calibri"/>
        <family val="2"/>
        <scheme val="minor"/>
      </rPr>
      <t>(4)</t>
    </r>
  </si>
  <si>
    <r>
      <t>R3</t>
    </r>
    <r>
      <rPr>
        <vertAlign val="superscript"/>
        <sz val="11"/>
        <rFont val="Calibri"/>
        <family val="2"/>
        <scheme val="minor"/>
      </rPr>
      <t>(4)</t>
    </r>
  </si>
  <si>
    <t>1) Source: CY2021 BED Revenue Report (unbilled sales &amp; revenues not included).</t>
  </si>
  <si>
    <t>3) The reported KW Demands, are those subject to EEC Charges.</t>
  </si>
  <si>
    <t>4) Legacy net-metering customers on the R3 and S3 rates (having no Production Meter), are billed a flat monthly EEC charge (PUC change - effective July 1, 2021).</t>
  </si>
  <si>
    <t>2) EEC charge is applied to Gross KWH Sales for individual net-metering and group net-metering customers (PUC change - effective July 1, 2021).</t>
  </si>
  <si>
    <t xml:space="preserve">      Over collections are shown in brackets (over) and are subtracted from the amounts to be collected in 2023</t>
  </si>
  <si>
    <t xml:space="preserve">      Under collections are shown without brackets and are added to the amounts to be collected in 2023</t>
  </si>
  <si>
    <t>Total EEC to be Billed in 2023 compared to the calculated EEC using 2021 Billing determinates and 2022 EEC rates</t>
  </si>
  <si>
    <t>SG Rate</t>
  </si>
  <si>
    <t>RS Rate</t>
  </si>
  <si>
    <t>Month</t>
  </si>
  <si>
    <t>(CUST)</t>
  </si>
  <si>
    <t>(EEKH)</t>
  </si>
  <si>
    <t>Average Annual Use Per Customer</t>
  </si>
  <si>
    <t>Average Monthly Use Per Customer</t>
  </si>
  <si>
    <t>Proposed EEC Rates</t>
  </si>
  <si>
    <t>Proposed Mo. EEC Flat Fee</t>
  </si>
  <si>
    <t>Total reduction in 2023 relative to 2022 Estimates</t>
  </si>
  <si>
    <t>Jan - Aug</t>
  </si>
  <si>
    <t>Sep - Dec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</si>
</sst>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6">
    <numFmt numFmtId="5" formatCode="&quot;$&quot;#,##0_);\(&quot;$&quot;#,##0\)"/>
    <numFmt numFmtId="6" formatCode="&quot;$&quot;#,##0_);[Red]\(&quot;$&quot;#,##0\)"/>
    <numFmt numFmtId="7" formatCode="&quot;$&quot;#,##0.00_);\(&quot;$&quot;#,##0.0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 numFmtId="166" formatCode="0.0%"/>
    <numFmt numFmtId="167" formatCode="m/d/yy\ h:mm\ AM/PM"/>
    <numFmt numFmtId="168" formatCode="&quot;$&quot;#,##0.00000_);[Red]\(&quot;$&quot;#,##0.00000\)"/>
    <numFmt numFmtId="169" formatCode="&quot;$&quot;#,##0.000000_);[Red]\(&quot;$&quot;#,##0.000000\)"/>
    <numFmt numFmtId="170" formatCode="_(&quot;$&quot;* #,##0.0000_);_(&quot;$&quot;* \(#,##0.0000\);_(&quot;$&quot;* &quot;-&quot;??_);_(@_)"/>
    <numFmt numFmtId="171" formatCode="_(&quot;$&quot;* #,##0.00000_);_(&quot;$&quot;* \(#,##0.00000\);_(&quot;$&quot;* &quot;-&quot;??_);_(@_)"/>
    <numFmt numFmtId="172" formatCode="_(&quot;$&quot;* #,##0.000000_);_(&quot;$&quot;* \(#,##0.000000\);_(&quot;$&quot;* &quot;-&quot;??_);_(@_)"/>
    <numFmt numFmtId="173" formatCode="&quot;$&quot;#,##0.000000_);\(&quot;$&quot;#,##0.000000\)"/>
    <numFmt numFmtId="174" formatCode="&quot;$&quot;#,##0.00000"/>
    <numFmt numFmtId="175" formatCode="&quot;$&quot;#,##0"/>
    <numFmt numFmtId="176" formatCode="_(&quot;$&quot;* #,##0.000000_);_(&quot;$&quot;* \(#,##0.000000\);_(&quot;$&quot;* &quot;-&quot;??????_);_(@_)"/>
    <numFmt numFmtId="177" formatCode="_-[$$-C09]* #,##0.000000_-;\-[$$-C09]* #,##0.000000_-;_-[$$-C09]* &quot;-&quot;??????_-;_-@_-"/>
    <numFmt numFmtId="178" formatCode="0.0000%"/>
    <numFmt numFmtId="179" formatCode="_(&quot;$&quot;* #,##0.00000_);_(&quot;$&quot;* \(#,##0.00000\);_(&quot;$&quot;* &quot;-&quot;??????_);_(@_)"/>
    <numFmt numFmtId="180" formatCode="_(&quot;$&quot;* #,##0.0000_);_(&quot;$&quot;* \(#,##0.0000\);_(&quot;$&quot;* &quot;-&quot;??????_);_(@_)"/>
    <numFmt numFmtId="181" formatCode="_ [$$-500A]\ * #,##0.00000_ ;_ [$$-500A]\ * \-#,##0.00000_ ;_ [$$-500A]\ * &quot;-&quot;?????_ ;_ @_ "/>
    <numFmt numFmtId="182" formatCode="_([$$-409]* #,##0.00000_);_([$$-409]* \(#,##0.00000\);_([$$-409]* &quot;-&quot;?????_);_(@_)"/>
    <numFmt numFmtId="183" formatCode="_ [$$-500A]\ * #,##0.0000_ ;_ [$$-500A]\ * \-#,##0.0000_ ;_ [$$-500A]\ * &quot;-&quot;????_ ;_ @_ "/>
    <numFmt numFmtId="184" formatCode="_([$$-409]* #,##0.0000_);_([$$-409]* \(#,##0.0000\);_([$$-409]* &quot;-&quot;????_);_(@_)"/>
    <numFmt numFmtId="185" formatCode="_(* #,##0.0_);_(* \(#,##0.0\);_(* &quot;-&quot;??_);_(@_)"/>
    <numFmt numFmtId="186" formatCode="_([$$-409]* #,##0.00000_);_([$$-409]* \(#,##0.00000\);_([$$-409]* &quot;-&quot;????_);_(@_)"/>
    <numFmt numFmtId="187" formatCode="&quot;$&quot;#,##0.00"/>
    <numFmt numFmtId="188" formatCode="&quot;$&quot;#,##0.000_);\(&quot;$&quot;#,##0.000\)"/>
    <numFmt numFmtId="189" formatCode="_(* #,##0.0000_);_(* \(#,##0.0000\);_(* &quot;-&quot;??_);_(@_)"/>
    <numFmt numFmtId="190" formatCode="&quot;$&quot;#,##0.0"/>
    <numFmt numFmtId="191" formatCode="0.000%"/>
    <numFmt numFmtId="192" formatCode="_(&quot;$&quot;* #,##0.0000_);_(&quot;$&quot;* \(#,##0.0000\);_(&quot;$&quot;* &quot;-&quot;_);_(@_)"/>
    <numFmt numFmtId="193" formatCode="0.0000"/>
    <numFmt numFmtId="194" formatCode="&quot;$&quot;#,##0.0000_);[Red]\(&quot;$&quot;#,##0.0000\)"/>
    <numFmt numFmtId="195" formatCode="0.00000"/>
    <numFmt numFmtId="196" formatCode="&quot;$&quot;#,##0.0000"/>
    <numFmt numFmtId="197" formatCode="_(* #,##0.000000_);_(* \(#,##0.000000\);_(* &quot;-&quot;??_);_(@_)"/>
    <numFmt numFmtId="198" formatCode="&quot;$&quot;#,##0.0000000"/>
    <numFmt numFmtId="199" formatCode="_(&quot;$&quot;* #,##0.0000000_);_(&quot;$&quot;* \(#,##0.0000000\);_(&quot;$&quot;* &quot;-&quot;??_);_(@_)"/>
    <numFmt numFmtId="200" formatCode="_([$$-409]* #,##0.000000_);_([$$-409]* \(#,##0.000000\);_([$$-409]* &quot;-&quot;?????_);_(@_)"/>
    <numFmt numFmtId="201" formatCode="&quot;$&quot;#,##0.0000_);\(&quot;$&quot;#,##0.0000\)"/>
  </numFmts>
  <fonts count="68" x14ac:knownFonts="1">
    <font>
      <sz val="10"/>
      <name val="Arial"/>
    </font>
    <font>
      <sz val="11"/>
      <color theme="1"/>
      <name val="Palatino Linotype"/>
      <family val="2"/>
    </font>
    <font>
      <sz val="10"/>
      <name val="Arial"/>
      <family val="2"/>
    </font>
    <font>
      <u/>
      <sz val="10"/>
      <color indexed="12"/>
      <name val="Arial"/>
      <family val="2"/>
    </font>
    <font>
      <sz val="10"/>
      <name val="Arial"/>
      <family val="2"/>
    </font>
    <font>
      <sz val="11"/>
      <name val="Calibri"/>
      <family val="2"/>
    </font>
    <font>
      <b/>
      <sz val="11"/>
      <name val="Calibri"/>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sz val="9"/>
      <color indexed="81"/>
      <name val="Tahoma"/>
      <family val="2"/>
    </font>
    <font>
      <b/>
      <sz val="9"/>
      <color indexed="81"/>
      <name val="Tahoma"/>
      <family val="2"/>
    </font>
    <font>
      <b/>
      <sz val="10"/>
      <name val="Arial"/>
      <family val="2"/>
    </font>
    <font>
      <sz val="8"/>
      <name val="Arial"/>
      <family val="2"/>
    </font>
    <font>
      <sz val="10"/>
      <name val="Arial"/>
      <family val="2"/>
    </font>
    <font>
      <sz val="11"/>
      <name val="Palatino Linotype"/>
      <family val="1"/>
    </font>
    <font>
      <b/>
      <sz val="11"/>
      <name val="Palatino Linotype"/>
      <family val="1"/>
    </font>
    <font>
      <i/>
      <sz val="10"/>
      <name val="Arial"/>
      <family val="2"/>
    </font>
    <font>
      <sz val="10"/>
      <name val="Arial"/>
      <family val="2"/>
    </font>
    <font>
      <sz val="11"/>
      <color theme="1"/>
      <name val="Calibri"/>
      <family val="2"/>
      <scheme val="minor"/>
    </font>
    <font>
      <b/>
      <sz val="11"/>
      <color theme="1"/>
      <name val="Calibri"/>
      <family val="2"/>
      <scheme val="minor"/>
    </font>
    <font>
      <sz val="11"/>
      <color rgb="FFFF0000"/>
      <name val="Calibri"/>
      <family val="2"/>
      <scheme val="minor"/>
    </font>
    <font>
      <sz val="11"/>
      <name val="Calibri"/>
      <family val="2"/>
      <scheme val="minor"/>
    </font>
    <font>
      <b/>
      <sz val="11"/>
      <color indexed="8"/>
      <name val="Calibri"/>
      <family val="2"/>
      <scheme val="minor"/>
    </font>
    <font>
      <sz val="11"/>
      <color indexed="8"/>
      <name val="Calibri"/>
      <family val="2"/>
      <scheme val="minor"/>
    </font>
    <font>
      <b/>
      <sz val="11"/>
      <name val="Calibri"/>
      <family val="2"/>
      <scheme val="minor"/>
    </font>
    <font>
      <u/>
      <sz val="11"/>
      <name val="Calibri"/>
      <family val="2"/>
      <scheme val="minor"/>
    </font>
    <font>
      <b/>
      <u/>
      <sz val="11"/>
      <name val="Calibri"/>
      <family val="2"/>
      <scheme val="minor"/>
    </font>
    <font>
      <sz val="11"/>
      <color rgb="FF00B050"/>
      <name val="Calibri"/>
      <family val="2"/>
      <scheme val="minor"/>
    </font>
    <font>
      <b/>
      <sz val="11"/>
      <color rgb="FFFFFFFF"/>
      <name val="Palatino Linotype"/>
      <family val="1"/>
    </font>
    <font>
      <b/>
      <i/>
      <sz val="11"/>
      <color indexed="8"/>
      <name val="Calibri"/>
      <family val="2"/>
      <scheme val="minor"/>
    </font>
    <font>
      <sz val="10"/>
      <color rgb="FFFF0000"/>
      <name val="Arial"/>
      <family val="2"/>
    </font>
    <font>
      <sz val="11"/>
      <color rgb="FF000000"/>
      <name val="Palatino Linotype"/>
      <family val="1"/>
    </font>
    <font>
      <i/>
      <sz val="9"/>
      <color indexed="8"/>
      <name val="Calibri"/>
      <family val="2"/>
      <scheme val="minor"/>
    </font>
    <font>
      <b/>
      <sz val="10"/>
      <color theme="0"/>
      <name val="Arial"/>
      <family val="2"/>
    </font>
    <font>
      <b/>
      <vertAlign val="superscript"/>
      <sz val="11"/>
      <color theme="1"/>
      <name val="Calibri"/>
      <family val="2"/>
      <scheme val="minor"/>
    </font>
    <font>
      <i/>
      <sz val="11"/>
      <name val="Calibri"/>
      <family val="2"/>
      <scheme val="minor"/>
    </font>
    <font>
      <vertAlign val="superscript"/>
      <sz val="11"/>
      <name val="Calibri"/>
      <family val="2"/>
      <scheme val="minor"/>
    </font>
    <font>
      <b/>
      <i/>
      <u/>
      <sz val="11"/>
      <name val="Calibri"/>
      <family val="2"/>
      <scheme val="minor"/>
    </font>
    <font>
      <i/>
      <sz val="11"/>
      <color theme="1"/>
      <name val="Calibri"/>
      <family val="2"/>
      <scheme val="minor"/>
    </font>
    <font>
      <b/>
      <i/>
      <sz val="11"/>
      <name val="Calibri"/>
      <family val="2"/>
      <scheme val="minor"/>
    </font>
    <font>
      <sz val="11"/>
      <color rgb="FFC00000"/>
      <name val="Calibri"/>
      <family val="2"/>
      <scheme val="minor"/>
    </font>
    <font>
      <b/>
      <i/>
      <sz val="11"/>
      <color theme="1"/>
      <name val="Calibri"/>
      <family val="2"/>
      <scheme val="minor"/>
    </font>
    <font>
      <sz val="11"/>
      <color rgb="FF0070C0"/>
      <name val="Calibri"/>
      <family val="2"/>
      <scheme val="minor"/>
    </font>
    <font>
      <b/>
      <sz val="12"/>
      <name val="Calibri"/>
      <family val="2"/>
      <scheme val="minor"/>
    </font>
    <font>
      <sz val="11"/>
      <color theme="1"/>
      <name val="Palatino Linotype"/>
      <family val="1"/>
    </font>
    <font>
      <sz val="11"/>
      <color theme="1"/>
      <name val="Calibri"/>
      <family val="2"/>
    </font>
    <font>
      <b/>
      <i/>
      <sz val="11"/>
      <color rgb="FF000000"/>
      <name val="Palatino Linotype"/>
      <family val="1"/>
    </font>
    <font>
      <i/>
      <sz val="11"/>
      <color rgb="FF000000"/>
      <name val="Palatino Linotype"/>
      <family val="1"/>
    </font>
    <font>
      <i/>
      <sz val="11"/>
      <color theme="1"/>
      <name val="Palatino Linotype"/>
      <family val="1"/>
    </font>
    <font>
      <b/>
      <i/>
      <sz val="12"/>
      <color rgb="FF000000"/>
      <name val="Palatino Linotype"/>
      <family val="1"/>
    </font>
    <font>
      <sz val="9"/>
      <color indexed="81"/>
      <name val="Tahoma"/>
      <charset val="1"/>
    </font>
    <font>
      <b/>
      <sz val="9"/>
      <color indexed="81"/>
      <name val="Tahoma"/>
      <charset val="1"/>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2"/>
        <bgColor indexed="64"/>
      </patternFill>
    </fill>
    <fill>
      <patternFill patternType="solid">
        <fgColor indexed="40"/>
        <bgColor indexed="64"/>
      </patternFill>
    </fill>
    <fill>
      <patternFill patternType="solid">
        <fgColor indexed="44"/>
        <bgColor indexed="64"/>
      </patternFill>
    </fill>
    <fill>
      <patternFill patternType="solid">
        <fgColor theme="8" tint="0.79998168889431442"/>
        <bgColor indexed="64"/>
      </patternFill>
    </fill>
    <fill>
      <patternFill patternType="solid">
        <fgColor rgb="FFFFFF00"/>
        <bgColor indexed="64"/>
      </patternFill>
    </fill>
    <fill>
      <patternFill patternType="solid">
        <fgColor theme="6" tint="0.79998168889431442"/>
        <bgColor indexed="64"/>
      </patternFill>
    </fill>
    <fill>
      <patternFill patternType="solid">
        <fgColor theme="4" tint="0.39997558519241921"/>
        <bgColor indexed="64"/>
      </patternFill>
    </fill>
    <fill>
      <patternFill patternType="solid">
        <fgColor rgb="FF92D050"/>
        <bgColor indexed="64"/>
      </patternFill>
    </fill>
    <fill>
      <patternFill patternType="solid">
        <fgColor rgb="FF1F497D"/>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3" tint="0.79998168889431442"/>
        <bgColor indexed="64"/>
      </patternFill>
    </fill>
    <fill>
      <patternFill patternType="solid">
        <fgColor rgb="FFE6B8B7"/>
        <bgColor indexed="64"/>
      </patternFill>
    </fill>
    <fill>
      <patternFill patternType="solid">
        <fgColor rgb="FFB8CCE4"/>
        <bgColor indexed="64"/>
      </patternFill>
    </fill>
    <fill>
      <patternFill patternType="solid">
        <fgColor rgb="FFC4D79B"/>
        <bgColor indexed="64"/>
      </patternFill>
    </fill>
    <fill>
      <patternFill patternType="solid">
        <fgColor theme="6" tint="0.39997558519241921"/>
        <bgColor indexed="64"/>
      </patternFill>
    </fill>
    <fill>
      <patternFill patternType="solid">
        <fgColor theme="3"/>
        <bgColor indexed="64"/>
      </patternFill>
    </fill>
    <fill>
      <patternFill patternType="solid">
        <fgColor rgb="FF305496"/>
        <bgColor indexed="64"/>
      </patternFill>
    </fill>
  </fills>
  <borders count="5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top/>
      <bottom style="medium">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s>
  <cellStyleXfs count="54">
    <xf numFmtId="0" fontId="0"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9" fillId="3" borderId="0" applyNumberFormat="0" applyBorder="0" applyAlignment="0" applyProtection="0"/>
    <xf numFmtId="0" fontId="10" fillId="20" borderId="1" applyNumberFormat="0" applyAlignment="0" applyProtection="0"/>
    <xf numFmtId="0" fontId="11" fillId="21" borderId="2" applyNumberFormat="0" applyAlignment="0" applyProtection="0"/>
    <xf numFmtId="43" fontId="2" fillId="0" borderId="0" applyFont="0" applyFill="0" applyBorder="0" applyAlignment="0" applyProtection="0"/>
    <xf numFmtId="44" fontId="2"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34" fillId="0" borderId="0" applyFont="0" applyFill="0" applyBorder="0" applyAlignment="0" applyProtection="0"/>
    <xf numFmtId="44" fontId="24" fillId="0" borderId="0" applyFont="0" applyFill="0" applyBorder="0" applyAlignment="0" applyProtection="0"/>
    <xf numFmtId="0" fontId="12" fillId="0" borderId="0" applyNumberFormat="0" applyFill="0" applyBorder="0" applyAlignment="0" applyProtection="0"/>
    <xf numFmtId="0" fontId="13" fillId="4" borderId="0" applyNumberFormat="0" applyBorder="0" applyAlignment="0" applyProtection="0"/>
    <xf numFmtId="0" fontId="14" fillId="0" borderId="3" applyNumberFormat="0" applyFill="0" applyAlignment="0" applyProtection="0"/>
    <xf numFmtId="0" fontId="15" fillId="0" borderId="4" applyNumberFormat="0" applyFill="0" applyAlignment="0" applyProtection="0"/>
    <xf numFmtId="0" fontId="16" fillId="0" borderId="5" applyNumberFormat="0" applyFill="0" applyAlignment="0" applyProtection="0"/>
    <xf numFmtId="0" fontId="16" fillId="0" borderId="0" applyNumberFormat="0" applyFill="0" applyBorder="0" applyAlignment="0" applyProtection="0"/>
    <xf numFmtId="0" fontId="3" fillId="0" borderId="0" applyNumberFormat="0" applyFill="0" applyBorder="0" applyAlignment="0" applyProtection="0">
      <alignment vertical="top"/>
      <protection locked="0"/>
    </xf>
    <xf numFmtId="0" fontId="17" fillId="7" borderId="1" applyNumberFormat="0" applyAlignment="0" applyProtection="0"/>
    <xf numFmtId="0" fontId="18" fillId="0" borderId="6" applyNumberFormat="0" applyFill="0" applyAlignment="0" applyProtection="0"/>
    <xf numFmtId="0" fontId="19" fillId="22" borderId="0" applyNumberFormat="0" applyBorder="0" applyAlignment="0" applyProtection="0"/>
    <xf numFmtId="0" fontId="4" fillId="0" borderId="0"/>
    <xf numFmtId="0" fontId="34" fillId="0" borderId="0"/>
    <xf numFmtId="0" fontId="7" fillId="23" borderId="7" applyNumberFormat="0" applyFont="0" applyAlignment="0" applyProtection="0"/>
    <xf numFmtId="0" fontId="20" fillId="20" borderId="8" applyNumberFormat="0" applyAlignment="0" applyProtection="0"/>
    <xf numFmtId="9" fontId="2" fillId="0" borderId="0" applyFont="0" applyFill="0" applyBorder="0" applyAlignment="0" applyProtection="0"/>
    <xf numFmtId="0" fontId="21" fillId="0" borderId="0" applyNumberFormat="0" applyFill="0" applyBorder="0" applyAlignment="0" applyProtection="0"/>
    <xf numFmtId="0" fontId="22" fillId="0" borderId="9" applyNumberFormat="0" applyFill="0" applyAlignment="0" applyProtection="0"/>
    <xf numFmtId="0" fontId="22" fillId="0" borderId="9" applyNumberFormat="0" applyFill="0" applyAlignment="0" applyProtection="0"/>
    <xf numFmtId="0" fontId="23" fillId="0" borderId="0" applyNumberFormat="0" applyFill="0" applyBorder="0" applyAlignment="0" applyProtection="0"/>
    <xf numFmtId="0" fontId="1" fillId="0" borderId="0"/>
  </cellStyleXfs>
  <cellXfs count="570">
    <xf numFmtId="0" fontId="0" fillId="0" borderId="0" xfId="0"/>
    <xf numFmtId="0" fontId="37" fillId="0" borderId="0" xfId="0" applyFont="1"/>
    <xf numFmtId="175" fontId="37" fillId="0" borderId="0" xfId="0" applyNumberFormat="1" applyFont="1"/>
    <xf numFmtId="5" fontId="37" fillId="0" borderId="0" xfId="0" applyNumberFormat="1" applyFont="1"/>
    <xf numFmtId="5" fontId="37" fillId="0" borderId="10" xfId="0" applyNumberFormat="1" applyFont="1" applyBorder="1"/>
    <xf numFmtId="175" fontId="37" fillId="0" borderId="10" xfId="0" applyNumberFormat="1" applyFont="1" applyBorder="1"/>
    <xf numFmtId="0" fontId="38" fillId="0" borderId="0" xfId="0" applyFont="1"/>
    <xf numFmtId="0" fontId="39" fillId="0" borderId="0" xfId="0" applyFont="1"/>
    <xf numFmtId="0" fontId="38" fillId="0" borderId="11" xfId="0" applyFont="1" applyBorder="1"/>
    <xf numFmtId="0" fontId="38" fillId="0" borderId="11" xfId="0" applyFont="1" applyBorder="1" applyAlignment="1">
      <alignment horizontal="left"/>
    </xf>
    <xf numFmtId="0" fontId="39" fillId="0" borderId="11" xfId="0" applyFont="1" applyBorder="1"/>
    <xf numFmtId="0" fontId="37" fillId="0" borderId="11" xfId="0" applyFont="1" applyBorder="1"/>
    <xf numFmtId="0" fontId="40" fillId="0" borderId="0" xfId="0" applyFont="1"/>
    <xf numFmtId="0" fontId="40" fillId="0" borderId="0" xfId="0" applyFont="1" applyAlignment="1">
      <alignment horizontal="center"/>
    </xf>
    <xf numFmtId="0" fontId="40" fillId="0" borderId="0" xfId="0" applyFont="1" applyAlignment="1">
      <alignment horizontal="center" vertical="center"/>
    </xf>
    <xf numFmtId="0" fontId="38" fillId="0" borderId="0" xfId="0" applyFont="1" applyAlignment="1">
      <alignment horizontal="center"/>
    </xf>
    <xf numFmtId="0" fontId="38" fillId="0" borderId="0" xfId="0" applyFont="1" applyAlignment="1">
      <alignment horizontal="center" vertical="center"/>
    </xf>
    <xf numFmtId="175" fontId="39" fillId="0" borderId="0" xfId="0" applyNumberFormat="1" applyFont="1" applyAlignment="1">
      <alignment horizontal="right"/>
    </xf>
    <xf numFmtId="166" fontId="39" fillId="0" borderId="0" xfId="48" applyNumberFormat="1" applyFont="1" applyBorder="1"/>
    <xf numFmtId="175" fontId="39" fillId="0" borderId="0" xfId="0" applyNumberFormat="1" applyFont="1"/>
    <xf numFmtId="0" fontId="39" fillId="0" borderId="0" xfId="0" applyFont="1" applyAlignment="1">
      <alignment horizontal="right"/>
    </xf>
    <xf numFmtId="166" fontId="39" fillId="0" borderId="0" xfId="48" applyNumberFormat="1" applyFont="1" applyFill="1" applyBorder="1"/>
    <xf numFmtId="0" fontId="37" fillId="0" borderId="12" xfId="0" applyFont="1" applyBorder="1"/>
    <xf numFmtId="0" fontId="39" fillId="0" borderId="0" xfId="0" applyFont="1" applyAlignment="1">
      <alignment horizontal="center"/>
    </xf>
    <xf numFmtId="6" fontId="37" fillId="0" borderId="0" xfId="0" applyNumberFormat="1" applyFont="1"/>
    <xf numFmtId="166" fontId="37" fillId="0" borderId="0" xfId="48" applyNumberFormat="1" applyFont="1"/>
    <xf numFmtId="3" fontId="37" fillId="0" borderId="0" xfId="0" applyNumberFormat="1" applyFont="1"/>
    <xf numFmtId="165" fontId="37" fillId="0" borderId="0" xfId="28" applyNumberFormat="1" applyFont="1"/>
    <xf numFmtId="0" fontId="37" fillId="0" borderId="0" xfId="0" applyFont="1" applyAlignment="1">
      <alignment horizontal="center"/>
    </xf>
    <xf numFmtId="0" fontId="41" fillId="0" borderId="0" xfId="0" applyFont="1" applyAlignment="1">
      <alignment horizontal="center"/>
    </xf>
    <xf numFmtId="42" fontId="37" fillId="0" borderId="0" xfId="0" applyNumberFormat="1" applyFont="1"/>
    <xf numFmtId="165" fontId="37" fillId="0" borderId="0" xfId="0" applyNumberFormat="1" applyFont="1"/>
    <xf numFmtId="0" fontId="37" fillId="0" borderId="13" xfId="0" applyFont="1" applyBorder="1"/>
    <xf numFmtId="0" fontId="37" fillId="0" borderId="11" xfId="0" applyFont="1" applyBorder="1" applyAlignment="1">
      <alignment horizontal="center"/>
    </xf>
    <xf numFmtId="0" fontId="37" fillId="0" borderId="14" xfId="0" applyFont="1" applyBorder="1"/>
    <xf numFmtId="164" fontId="37" fillId="0" borderId="0" xfId="29" applyNumberFormat="1" applyFont="1"/>
    <xf numFmtId="165" fontId="40" fillId="0" borderId="0" xfId="28" applyNumberFormat="1" applyFont="1"/>
    <xf numFmtId="6" fontId="39" fillId="0" borderId="0" xfId="0" applyNumberFormat="1" applyFont="1" applyAlignment="1">
      <alignment horizontal="right"/>
    </xf>
    <xf numFmtId="6" fontId="39" fillId="0" borderId="11" xfId="0" applyNumberFormat="1" applyFont="1" applyBorder="1" applyAlignment="1">
      <alignment horizontal="right"/>
    </xf>
    <xf numFmtId="175" fontId="39" fillId="0" borderId="11" xfId="0" applyNumberFormat="1" applyFont="1" applyBorder="1"/>
    <xf numFmtId="6" fontId="39" fillId="0" borderId="0" xfId="0" applyNumberFormat="1" applyFont="1"/>
    <xf numFmtId="175" fontId="39" fillId="0" borderId="0" xfId="0" applyNumberFormat="1" applyFont="1" applyAlignment="1">
      <alignment horizontal="center"/>
    </xf>
    <xf numFmtId="0" fontId="37" fillId="0" borderId="0" xfId="0" applyFont="1" applyAlignment="1">
      <alignment horizontal="left"/>
    </xf>
    <xf numFmtId="37" fontId="37" fillId="0" borderId="0" xfId="0" applyNumberFormat="1" applyFont="1"/>
    <xf numFmtId="42" fontId="40" fillId="0" borderId="0" xfId="0" applyNumberFormat="1" applyFont="1"/>
    <xf numFmtId="0" fontId="40" fillId="0" borderId="15" xfId="0" applyFont="1" applyBorder="1"/>
    <xf numFmtId="0" fontId="42" fillId="0" borderId="0" xfId="0" applyFont="1" applyAlignment="1">
      <alignment horizontal="center"/>
    </xf>
    <xf numFmtId="167" fontId="42" fillId="0" borderId="0" xfId="0" applyNumberFormat="1" applyFont="1" applyAlignment="1">
      <alignment horizontal="center"/>
    </xf>
    <xf numFmtId="178" fontId="37" fillId="0" borderId="0" xfId="48" applyNumberFormat="1" applyFont="1" applyFill="1"/>
    <xf numFmtId="6" fontId="37" fillId="0" borderId="10" xfId="0" applyNumberFormat="1" applyFont="1" applyBorder="1"/>
    <xf numFmtId="6" fontId="37" fillId="0" borderId="0" xfId="29" applyNumberFormat="1" applyFont="1" applyFill="1"/>
    <xf numFmtId="6" fontId="37" fillId="0" borderId="11" xfId="0" applyNumberFormat="1" applyFont="1" applyBorder="1"/>
    <xf numFmtId="6" fontId="41" fillId="0" borderId="0" xfId="0" applyNumberFormat="1" applyFont="1"/>
    <xf numFmtId="0" fontId="40" fillId="0" borderId="16" xfId="0" applyFont="1" applyBorder="1"/>
    <xf numFmtId="6" fontId="37" fillId="0" borderId="16" xfId="0" applyNumberFormat="1" applyFont="1" applyBorder="1"/>
    <xf numFmtId="0" fontId="40" fillId="0" borderId="14" xfId="0" applyFont="1" applyBorder="1" applyAlignment="1">
      <alignment horizontal="center"/>
    </xf>
    <xf numFmtId="0" fontId="40" fillId="0" borderId="13" xfId="0" applyFont="1" applyBorder="1" applyAlignment="1">
      <alignment horizontal="center"/>
    </xf>
    <xf numFmtId="0" fontId="40" fillId="0" borderId="17" xfId="0" applyFont="1" applyBorder="1" applyAlignment="1">
      <alignment horizontal="center"/>
    </xf>
    <xf numFmtId="166" fontId="37" fillId="0" borderId="0" xfId="48" applyNumberFormat="1" applyFont="1" applyFill="1"/>
    <xf numFmtId="9" fontId="37" fillId="0" borderId="0" xfId="48" applyFont="1"/>
    <xf numFmtId="6" fontId="41" fillId="0" borderId="0" xfId="29" applyNumberFormat="1" applyFont="1" applyFill="1"/>
    <xf numFmtId="166" fontId="41" fillId="0" borderId="0" xfId="48" applyNumberFormat="1" applyFont="1" applyFill="1"/>
    <xf numFmtId="6" fontId="37" fillId="0" borderId="10" xfId="29" applyNumberFormat="1" applyFont="1" applyFill="1" applyBorder="1"/>
    <xf numFmtId="9" fontId="37" fillId="0" borderId="10" xfId="48" applyFont="1" applyFill="1" applyBorder="1"/>
    <xf numFmtId="0" fontId="37" fillId="0" borderId="16" xfId="0" applyFont="1" applyBorder="1"/>
    <xf numFmtId="166" fontId="37" fillId="0" borderId="16" xfId="0" applyNumberFormat="1" applyFont="1" applyBorder="1"/>
    <xf numFmtId="164" fontId="37" fillId="0" borderId="16" xfId="29" applyNumberFormat="1" applyFont="1" applyBorder="1"/>
    <xf numFmtId="166" fontId="37" fillId="0" borderId="0" xfId="0" applyNumberFormat="1" applyFont="1"/>
    <xf numFmtId="164" fontId="37" fillId="0" borderId="0" xfId="29" applyNumberFormat="1" applyFont="1" applyBorder="1"/>
    <xf numFmtId="0" fontId="41" fillId="0" borderId="0" xfId="0" applyFont="1"/>
    <xf numFmtId="168" fontId="37" fillId="0" borderId="0" xfId="0" applyNumberFormat="1" applyFont="1"/>
    <xf numFmtId="0" fontId="37" fillId="0" borderId="18" xfId="0" applyFont="1" applyBorder="1"/>
    <xf numFmtId="0" fontId="37" fillId="0" borderId="19" xfId="0" applyFont="1" applyBorder="1"/>
    <xf numFmtId="0" fontId="37" fillId="0" borderId="20" xfId="0" applyFont="1" applyBorder="1"/>
    <xf numFmtId="173" fontId="37" fillId="0" borderId="0" xfId="29" applyNumberFormat="1" applyFont="1" applyFill="1"/>
    <xf numFmtId="169" fontId="37" fillId="0" borderId="0" xfId="0" applyNumberFormat="1" applyFont="1"/>
    <xf numFmtId="173" fontId="37" fillId="0" borderId="0" xfId="29" applyNumberFormat="1" applyFont="1"/>
    <xf numFmtId="8" fontId="37" fillId="0" borderId="0" xfId="0" applyNumberFormat="1" applyFont="1"/>
    <xf numFmtId="0" fontId="42" fillId="0" borderId="0" xfId="0" applyFont="1"/>
    <xf numFmtId="171" fontId="40" fillId="0" borderId="0" xfId="29" applyNumberFormat="1" applyFont="1"/>
    <xf numFmtId="37" fontId="40" fillId="0" borderId="0" xfId="0" applyNumberFormat="1" applyFont="1"/>
    <xf numFmtId="6" fontId="40" fillId="0" borderId="0" xfId="0" applyNumberFormat="1" applyFont="1"/>
    <xf numFmtId="165" fontId="37" fillId="0" borderId="0" xfId="0" applyNumberFormat="1" applyFont="1" applyAlignment="1">
      <alignment horizontal="center"/>
    </xf>
    <xf numFmtId="164" fontId="37" fillId="0" borderId="0" xfId="0" applyNumberFormat="1" applyFont="1"/>
    <xf numFmtId="170" fontId="40" fillId="0" borderId="0" xfId="29" applyNumberFormat="1" applyFont="1"/>
    <xf numFmtId="8" fontId="40" fillId="0" borderId="0" xfId="0" applyNumberFormat="1" applyFont="1"/>
    <xf numFmtId="172" fontId="40" fillId="0" borderId="0" xfId="29" applyNumberFormat="1" applyFont="1"/>
    <xf numFmtId="185" fontId="37" fillId="0" borderId="0" xfId="28" applyNumberFormat="1" applyFont="1"/>
    <xf numFmtId="0" fontId="40" fillId="24" borderId="0" xfId="0" applyFont="1" applyFill="1"/>
    <xf numFmtId="0" fontId="37" fillId="24" borderId="0" xfId="0" applyFont="1" applyFill="1"/>
    <xf numFmtId="0" fontId="42" fillId="24" borderId="0" xfId="0" applyFont="1" applyFill="1" applyAlignment="1">
      <alignment horizontal="center"/>
    </xf>
    <xf numFmtId="0" fontId="42" fillId="24" borderId="0" xfId="0" quotePrefix="1" applyFont="1" applyFill="1" applyAlignment="1">
      <alignment horizontal="center"/>
    </xf>
    <xf numFmtId="0" fontId="42" fillId="24" borderId="21" xfId="0" applyFont="1" applyFill="1" applyBorder="1" applyAlignment="1">
      <alignment horizontal="center"/>
    </xf>
    <xf numFmtId="176" fontId="37" fillId="24" borderId="0" xfId="0" applyNumberFormat="1" applyFont="1" applyFill="1"/>
    <xf numFmtId="0" fontId="37" fillId="24" borderId="13" xfId="0" applyFont="1" applyFill="1" applyBorder="1"/>
    <xf numFmtId="177" fontId="37" fillId="24" borderId="13" xfId="0" applyNumberFormat="1" applyFont="1" applyFill="1" applyBorder="1"/>
    <xf numFmtId="176" fontId="37" fillId="24" borderId="0" xfId="29" applyNumberFormat="1" applyFont="1" applyFill="1"/>
    <xf numFmtId="179" fontId="37" fillId="24" borderId="0" xfId="29" applyNumberFormat="1" applyFont="1" applyFill="1"/>
    <xf numFmtId="182" fontId="37" fillId="24" borderId="13" xfId="0" applyNumberFormat="1" applyFont="1" applyFill="1" applyBorder="1"/>
    <xf numFmtId="181" fontId="37" fillId="24" borderId="13" xfId="0" applyNumberFormat="1" applyFont="1" applyFill="1" applyBorder="1"/>
    <xf numFmtId="182" fontId="37" fillId="24" borderId="13" xfId="0" applyNumberFormat="1" applyFont="1" applyFill="1" applyBorder="1" applyAlignment="1">
      <alignment horizontal="center"/>
    </xf>
    <xf numFmtId="176" fontId="37" fillId="24" borderId="0" xfId="0" applyNumberFormat="1" applyFont="1" applyFill="1" applyAlignment="1">
      <alignment horizontal="center"/>
    </xf>
    <xf numFmtId="180" fontId="37" fillId="24" borderId="0" xfId="29" applyNumberFormat="1" applyFont="1" applyFill="1"/>
    <xf numFmtId="183" fontId="37" fillId="24" borderId="13" xfId="0" applyNumberFormat="1" applyFont="1" applyFill="1" applyBorder="1"/>
    <xf numFmtId="184" fontId="37" fillId="24" borderId="13" xfId="0" applyNumberFormat="1" applyFont="1" applyFill="1" applyBorder="1"/>
    <xf numFmtId="186" fontId="37" fillId="24" borderId="13" xfId="0" applyNumberFormat="1" applyFont="1" applyFill="1" applyBorder="1"/>
    <xf numFmtId="166" fontId="40" fillId="0" borderId="0" xfId="48" applyNumberFormat="1" applyFont="1" applyFill="1"/>
    <xf numFmtId="6" fontId="37" fillId="0" borderId="0" xfId="0" applyNumberFormat="1" applyFont="1" applyAlignment="1">
      <alignment horizontal="center"/>
    </xf>
    <xf numFmtId="187" fontId="37" fillId="0" borderId="0" xfId="0" applyNumberFormat="1" applyFont="1"/>
    <xf numFmtId="187" fontId="37" fillId="0" borderId="0" xfId="0" applyNumberFormat="1" applyFont="1" applyAlignment="1">
      <alignment horizontal="center"/>
    </xf>
    <xf numFmtId="6" fontId="37" fillId="0" borderId="11" xfId="0" applyNumberFormat="1" applyFont="1" applyBorder="1" applyAlignment="1">
      <alignment horizontal="center"/>
    </xf>
    <xf numFmtId="187" fontId="37" fillId="0" borderId="11" xfId="0" applyNumberFormat="1" applyFont="1" applyBorder="1" applyAlignment="1">
      <alignment horizontal="center"/>
    </xf>
    <xf numFmtId="0" fontId="37" fillId="0" borderId="22" xfId="0" applyFont="1" applyBorder="1" applyAlignment="1">
      <alignment horizontal="left"/>
    </xf>
    <xf numFmtId="44" fontId="37" fillId="0" borderId="0" xfId="29" applyFont="1" applyFill="1"/>
    <xf numFmtId="42" fontId="40" fillId="0" borderId="13" xfId="0" applyNumberFormat="1" applyFont="1" applyBorder="1"/>
    <xf numFmtId="165" fontId="37" fillId="0" borderId="0" xfId="28" applyNumberFormat="1" applyFont="1" applyAlignment="1">
      <alignment horizontal="center"/>
    </xf>
    <xf numFmtId="164" fontId="37" fillId="0" borderId="0" xfId="29" applyNumberFormat="1" applyFont="1" applyAlignment="1">
      <alignment horizontal="center"/>
    </xf>
    <xf numFmtId="3" fontId="37" fillId="0" borderId="0" xfId="0" applyNumberFormat="1" applyFont="1" applyAlignment="1">
      <alignment horizontal="center"/>
    </xf>
    <xf numFmtId="0" fontId="37" fillId="0" borderId="13" xfId="0" applyFont="1" applyBorder="1" applyAlignment="1">
      <alignment horizontal="center"/>
    </xf>
    <xf numFmtId="0" fontId="37" fillId="0" borderId="23" xfId="0" applyFont="1" applyBorder="1" applyAlignment="1">
      <alignment horizontal="center"/>
    </xf>
    <xf numFmtId="0" fontId="37" fillId="0" borderId="14" xfId="0" applyFont="1" applyBorder="1" applyAlignment="1">
      <alignment horizontal="center"/>
    </xf>
    <xf numFmtId="165" fontId="37" fillId="0" borderId="14" xfId="28" applyNumberFormat="1" applyFont="1" applyFill="1" applyBorder="1" applyAlignment="1">
      <alignment horizontal="center"/>
    </xf>
    <xf numFmtId="0" fontId="37" fillId="0" borderId="24" xfId="0" applyFont="1" applyBorder="1" applyAlignment="1">
      <alignment horizontal="center"/>
    </xf>
    <xf numFmtId="0" fontId="37" fillId="0" borderId="25" xfId="0" applyFont="1" applyBorder="1"/>
    <xf numFmtId="0" fontId="41" fillId="0" borderId="13" xfId="0" applyFont="1" applyBorder="1" applyAlignment="1">
      <alignment horizontal="center"/>
    </xf>
    <xf numFmtId="165" fontId="37" fillId="0" borderId="13" xfId="28" applyNumberFormat="1" applyFont="1" applyFill="1" applyBorder="1" applyAlignment="1">
      <alignment horizontal="center"/>
    </xf>
    <xf numFmtId="0" fontId="41" fillId="0" borderId="14" xfId="0" applyFont="1" applyBorder="1" applyAlignment="1">
      <alignment horizontal="center"/>
    </xf>
    <xf numFmtId="0" fontId="41" fillId="0" borderId="26" xfId="0" applyFont="1" applyBorder="1" applyAlignment="1">
      <alignment horizontal="center"/>
    </xf>
    <xf numFmtId="0" fontId="41" fillId="0" borderId="25" xfId="0" applyFont="1" applyBorder="1" applyAlignment="1">
      <alignment horizontal="center"/>
    </xf>
    <xf numFmtId="165" fontId="41" fillId="0" borderId="13" xfId="28" applyNumberFormat="1" applyFont="1" applyFill="1" applyBorder="1" applyAlignment="1">
      <alignment horizontal="center"/>
    </xf>
    <xf numFmtId="3" fontId="37" fillId="0" borderId="13" xfId="0" applyNumberFormat="1" applyFont="1" applyBorder="1"/>
    <xf numFmtId="42" fontId="37" fillId="0" borderId="27" xfId="0" applyNumberFormat="1" applyFont="1" applyBorder="1"/>
    <xf numFmtId="42" fontId="37" fillId="0" borderId="13" xfId="0" applyNumberFormat="1" applyFont="1" applyBorder="1"/>
    <xf numFmtId="165" fontId="37" fillId="0" borderId="13" xfId="28" applyNumberFormat="1" applyFont="1" applyFill="1" applyBorder="1"/>
    <xf numFmtId="42" fontId="37" fillId="0" borderId="14" xfId="0" applyNumberFormat="1" applyFont="1" applyBorder="1"/>
    <xf numFmtId="42" fontId="37" fillId="0" borderId="13" xfId="29" applyNumberFormat="1" applyFont="1" applyFill="1" applyBorder="1"/>
    <xf numFmtId="42" fontId="37" fillId="27" borderId="13" xfId="0" applyNumberFormat="1" applyFont="1" applyFill="1" applyBorder="1"/>
    <xf numFmtId="42" fontId="37" fillId="27" borderId="0" xfId="0" applyNumberFormat="1" applyFont="1" applyFill="1"/>
    <xf numFmtId="42" fontId="37" fillId="27" borderId="14" xfId="0" applyNumberFormat="1" applyFont="1" applyFill="1" applyBorder="1"/>
    <xf numFmtId="42" fontId="37" fillId="0" borderId="28" xfId="0" applyNumberFormat="1" applyFont="1" applyBorder="1"/>
    <xf numFmtId="165" fontId="37" fillId="0" borderId="28" xfId="28" applyNumberFormat="1" applyFont="1" applyFill="1" applyBorder="1"/>
    <xf numFmtId="42" fontId="37" fillId="0" borderId="28" xfId="29" applyNumberFormat="1" applyFont="1" applyFill="1" applyBorder="1"/>
    <xf numFmtId="42" fontId="37" fillId="0" borderId="22" xfId="0" applyNumberFormat="1" applyFont="1" applyBorder="1"/>
    <xf numFmtId="165" fontId="37" fillId="0" borderId="22" xfId="28" applyNumberFormat="1" applyFont="1" applyFill="1" applyBorder="1"/>
    <xf numFmtId="42" fontId="37" fillId="0" borderId="29" xfId="0" applyNumberFormat="1" applyFont="1" applyBorder="1"/>
    <xf numFmtId="42" fontId="37" fillId="0" borderId="13" xfId="48" applyNumberFormat="1" applyFont="1" applyFill="1" applyBorder="1"/>
    <xf numFmtId="164" fontId="37" fillId="0" borderId="14" xfId="29" applyNumberFormat="1" applyFont="1" applyFill="1" applyBorder="1"/>
    <xf numFmtId="41" fontId="37" fillId="0" borderId="14" xfId="29" applyNumberFormat="1" applyFont="1" applyFill="1" applyBorder="1"/>
    <xf numFmtId="165" fontId="37" fillId="0" borderId="14" xfId="28" applyNumberFormat="1" applyFont="1" applyFill="1" applyBorder="1"/>
    <xf numFmtId="42" fontId="37" fillId="24" borderId="22" xfId="0" applyNumberFormat="1" applyFont="1" applyFill="1" applyBorder="1"/>
    <xf numFmtId="42" fontId="37" fillId="28" borderId="27" xfId="0" applyNumberFormat="1" applyFont="1" applyFill="1" applyBorder="1"/>
    <xf numFmtId="42" fontId="37" fillId="0" borderId="13" xfId="0" applyNumberFormat="1" applyFont="1" applyBorder="1" applyAlignment="1">
      <alignment horizontal="center"/>
    </xf>
    <xf numFmtId="42" fontId="37" fillId="0" borderId="13" xfId="29" applyNumberFormat="1" applyFont="1" applyFill="1" applyBorder="1" applyAlignment="1">
      <alignment horizontal="center"/>
    </xf>
    <xf numFmtId="41" fontId="37" fillId="0" borderId="13" xfId="0" applyNumberFormat="1" applyFont="1" applyBorder="1"/>
    <xf numFmtId="41" fontId="37" fillId="0" borderId="28" xfId="0" applyNumberFormat="1" applyFont="1" applyBorder="1" applyAlignment="1">
      <alignment horizontal="center"/>
    </xf>
    <xf numFmtId="165" fontId="37" fillId="0" borderId="28" xfId="28" applyNumberFormat="1" applyFont="1" applyFill="1" applyBorder="1" applyAlignment="1">
      <alignment horizontal="center"/>
    </xf>
    <xf numFmtId="41" fontId="37" fillId="0" borderId="27" xfId="0" applyNumberFormat="1" applyFont="1" applyBorder="1" applyAlignment="1">
      <alignment horizontal="center"/>
    </xf>
    <xf numFmtId="41" fontId="37" fillId="0" borderId="28" xfId="29" applyNumberFormat="1" applyFont="1" applyFill="1" applyBorder="1" applyAlignment="1">
      <alignment horizontal="center"/>
    </xf>
    <xf numFmtId="41" fontId="37" fillId="25" borderId="28" xfId="0" applyNumberFormat="1" applyFont="1" applyFill="1" applyBorder="1" applyAlignment="1">
      <alignment horizontal="center"/>
    </xf>
    <xf numFmtId="165" fontId="37" fillId="0" borderId="13" xfId="28" applyNumberFormat="1" applyFont="1" applyBorder="1"/>
    <xf numFmtId="42" fontId="37" fillId="0" borderId="13" xfId="29" applyNumberFormat="1" applyFont="1" applyBorder="1"/>
    <xf numFmtId="42" fontId="37" fillId="0" borderId="25" xfId="0" applyNumberFormat="1" applyFont="1" applyBorder="1"/>
    <xf numFmtId="42" fontId="37" fillId="0" borderId="30" xfId="0" applyNumberFormat="1" applyFont="1" applyBorder="1" applyAlignment="1">
      <alignment horizontal="center"/>
    </xf>
    <xf numFmtId="42" fontId="37" fillId="0" borderId="31" xfId="0" applyNumberFormat="1" applyFont="1" applyBorder="1" applyAlignment="1">
      <alignment horizontal="center"/>
    </xf>
    <xf numFmtId="165" fontId="37" fillId="0" borderId="31" xfId="28" applyNumberFormat="1" applyFont="1" applyBorder="1" applyAlignment="1">
      <alignment horizontal="center"/>
    </xf>
    <xf numFmtId="42" fontId="37" fillId="0" borderId="31" xfId="29" applyNumberFormat="1" applyFont="1" applyBorder="1" applyAlignment="1">
      <alignment horizontal="center"/>
    </xf>
    <xf numFmtId="42" fontId="37" fillId="0" borderId="0" xfId="0" applyNumberFormat="1" applyFont="1" applyAlignment="1">
      <alignment horizontal="center"/>
    </xf>
    <xf numFmtId="165" fontId="37" fillId="0" borderId="0" xfId="28" applyNumberFormat="1" applyFont="1" applyBorder="1" applyAlignment="1">
      <alignment horizontal="center"/>
    </xf>
    <xf numFmtId="42" fontId="37" fillId="0" borderId="0" xfId="29" applyNumberFormat="1" applyFont="1" applyBorder="1" applyAlignment="1">
      <alignment horizontal="center"/>
    </xf>
    <xf numFmtId="188" fontId="37" fillId="0" borderId="0" xfId="0" applyNumberFormat="1" applyFont="1"/>
    <xf numFmtId="7" fontId="37" fillId="0" borderId="0" xfId="0" applyNumberFormat="1" applyFont="1"/>
    <xf numFmtId="0" fontId="37" fillId="0" borderId="32" xfId="0" applyFont="1" applyBorder="1" applyAlignment="1">
      <alignment horizontal="center"/>
    </xf>
    <xf numFmtId="0" fontId="37" fillId="0" borderId="21" xfId="0" applyFont="1" applyBorder="1"/>
    <xf numFmtId="0" fontId="37" fillId="0" borderId="33" xfId="0" applyFont="1" applyBorder="1"/>
    <xf numFmtId="165" fontId="37" fillId="0" borderId="13" xfId="28" applyNumberFormat="1" applyFont="1" applyBorder="1" applyAlignment="1">
      <alignment horizontal="center"/>
    </xf>
    <xf numFmtId="0" fontId="37" fillId="0" borderId="25" xfId="0" applyFont="1" applyBorder="1" applyAlignment="1">
      <alignment horizontal="center"/>
    </xf>
    <xf numFmtId="165" fontId="41" fillId="0" borderId="13" xfId="28" applyNumberFormat="1" applyFont="1" applyBorder="1" applyAlignment="1">
      <alignment horizontal="center"/>
    </xf>
    <xf numFmtId="164" fontId="37" fillId="0" borderId="13" xfId="29" applyNumberFormat="1" applyFont="1" applyBorder="1"/>
    <xf numFmtId="43" fontId="37" fillId="0" borderId="13" xfId="28" applyFont="1" applyFill="1" applyBorder="1"/>
    <xf numFmtId="165" fontId="37" fillId="27" borderId="13" xfId="28" applyNumberFormat="1" applyFont="1" applyFill="1" applyBorder="1"/>
    <xf numFmtId="165" fontId="37" fillId="27" borderId="14" xfId="28" applyNumberFormat="1" applyFont="1" applyFill="1" applyBorder="1"/>
    <xf numFmtId="43" fontId="37" fillId="0" borderId="28" xfId="28" applyFont="1" applyBorder="1"/>
    <xf numFmtId="43" fontId="37" fillId="0" borderId="28" xfId="28" applyFont="1" applyFill="1" applyBorder="1"/>
    <xf numFmtId="165" fontId="37" fillId="0" borderId="27" xfId="28" applyNumberFormat="1" applyFont="1" applyFill="1" applyBorder="1"/>
    <xf numFmtId="165" fontId="37" fillId="0" borderId="28" xfId="28" applyNumberFormat="1" applyFont="1" applyBorder="1"/>
    <xf numFmtId="3" fontId="37" fillId="0" borderId="28" xfId="28" applyNumberFormat="1" applyFont="1" applyFill="1" applyBorder="1"/>
    <xf numFmtId="43" fontId="37" fillId="0" borderId="22" xfId="28" applyFont="1" applyBorder="1"/>
    <xf numFmtId="43" fontId="37" fillId="0" borderId="22" xfId="28" applyFont="1" applyFill="1" applyBorder="1"/>
    <xf numFmtId="165" fontId="37" fillId="0" borderId="29" xfId="28" applyNumberFormat="1" applyFont="1" applyFill="1" applyBorder="1"/>
    <xf numFmtId="43" fontId="37" fillId="0" borderId="13" xfId="28" applyFont="1" applyBorder="1"/>
    <xf numFmtId="3" fontId="37" fillId="0" borderId="13" xfId="28" applyNumberFormat="1" applyFont="1" applyFill="1" applyBorder="1"/>
    <xf numFmtId="43" fontId="37" fillId="0" borderId="14" xfId="28" applyFont="1" applyFill="1" applyBorder="1"/>
    <xf numFmtId="43" fontId="37" fillId="26" borderId="28" xfId="28" applyFont="1" applyFill="1" applyBorder="1"/>
    <xf numFmtId="165" fontId="37" fillId="26" borderId="28" xfId="28" applyNumberFormat="1" applyFont="1" applyFill="1" applyBorder="1"/>
    <xf numFmtId="165" fontId="37" fillId="26" borderId="27" xfId="28" applyNumberFormat="1" applyFont="1" applyFill="1" applyBorder="1"/>
    <xf numFmtId="166" fontId="37" fillId="0" borderId="13" xfId="48" applyNumberFormat="1" applyFont="1" applyFill="1" applyBorder="1"/>
    <xf numFmtId="43" fontId="37" fillId="0" borderId="28" xfId="28" applyFont="1" applyFill="1" applyBorder="1" applyAlignment="1">
      <alignment horizontal="center"/>
    </xf>
    <xf numFmtId="165" fontId="37" fillId="0" borderId="27" xfId="28" applyNumberFormat="1" applyFont="1" applyFill="1" applyBorder="1" applyAlignment="1">
      <alignment horizontal="center"/>
    </xf>
    <xf numFmtId="43" fontId="37" fillId="0" borderId="27" xfId="28" applyFont="1" applyFill="1" applyBorder="1" applyAlignment="1">
      <alignment horizontal="center"/>
    </xf>
    <xf numFmtId="165" fontId="37" fillId="25" borderId="28" xfId="28" applyNumberFormat="1" applyFont="1" applyFill="1" applyBorder="1" applyAlignment="1">
      <alignment horizontal="center"/>
    </xf>
    <xf numFmtId="165" fontId="37" fillId="0" borderId="25" xfId="28" applyNumberFormat="1" applyFont="1" applyBorder="1"/>
    <xf numFmtId="43" fontId="37" fillId="0" borderId="10" xfId="28" applyFont="1" applyBorder="1"/>
    <xf numFmtId="43" fontId="37" fillId="0" borderId="26" xfId="28" applyFont="1" applyBorder="1"/>
    <xf numFmtId="43" fontId="37" fillId="0" borderId="25" xfId="28" applyFont="1" applyBorder="1"/>
    <xf numFmtId="43" fontId="37" fillId="0" borderId="14" xfId="28" applyFont="1" applyBorder="1"/>
    <xf numFmtId="0" fontId="37" fillId="0" borderId="30" xfId="0" applyFont="1" applyBorder="1" applyAlignment="1">
      <alignment horizontal="center"/>
    </xf>
    <xf numFmtId="43" fontId="37" fillId="0" borderId="31" xfId="28" applyFont="1" applyBorder="1" applyAlignment="1">
      <alignment horizontal="center"/>
    </xf>
    <xf numFmtId="165" fontId="37" fillId="0" borderId="30" xfId="28" applyNumberFormat="1" applyFont="1" applyBorder="1" applyAlignment="1">
      <alignment horizontal="right"/>
    </xf>
    <xf numFmtId="43" fontId="37" fillId="0" borderId="30" xfId="28" applyFont="1" applyBorder="1" applyAlignment="1">
      <alignment horizontal="center"/>
    </xf>
    <xf numFmtId="43" fontId="37" fillId="0" borderId="30" xfId="28" applyFont="1" applyBorder="1" applyAlignment="1">
      <alignment horizontal="right"/>
    </xf>
    <xf numFmtId="178" fontId="37" fillId="0" borderId="0" xfId="48" applyNumberFormat="1" applyFont="1"/>
    <xf numFmtId="0" fontId="40" fillId="0" borderId="0" xfId="0" applyFont="1" applyAlignment="1">
      <alignment horizontal="left"/>
    </xf>
    <xf numFmtId="3" fontId="37" fillId="0" borderId="0" xfId="29" applyNumberFormat="1" applyFont="1"/>
    <xf numFmtId="165" fontId="39" fillId="0" borderId="0" xfId="28" applyNumberFormat="1" applyFont="1" applyFill="1" applyBorder="1" applyAlignment="1">
      <alignment horizontal="right"/>
    </xf>
    <xf numFmtId="166" fontId="37" fillId="24" borderId="0" xfId="48" applyNumberFormat="1" applyFont="1" applyFill="1"/>
    <xf numFmtId="166" fontId="37" fillId="24" borderId="0" xfId="0" applyNumberFormat="1" applyFont="1" applyFill="1"/>
    <xf numFmtId="6" fontId="37" fillId="0" borderId="0" xfId="0" applyNumberFormat="1" applyFont="1" applyAlignment="1">
      <alignment horizontal="right"/>
    </xf>
    <xf numFmtId="164" fontId="37" fillId="0" borderId="0" xfId="29" applyNumberFormat="1" applyFont="1" applyFill="1"/>
    <xf numFmtId="166" fontId="37" fillId="29" borderId="0" xfId="48" applyNumberFormat="1" applyFont="1" applyFill="1"/>
    <xf numFmtId="42" fontId="37" fillId="30" borderId="13" xfId="0" applyNumberFormat="1" applyFont="1" applyFill="1" applyBorder="1"/>
    <xf numFmtId="42" fontId="37" fillId="30" borderId="14" xfId="0" applyNumberFormat="1" applyFont="1" applyFill="1" applyBorder="1"/>
    <xf numFmtId="42" fontId="37" fillId="30" borderId="0" xfId="0" applyNumberFormat="1" applyFont="1" applyFill="1"/>
    <xf numFmtId="0" fontId="37" fillId="0" borderId="29" xfId="0" applyFont="1" applyBorder="1"/>
    <xf numFmtId="175" fontId="37" fillId="31" borderId="0" xfId="0" applyNumberFormat="1" applyFont="1" applyFill="1"/>
    <xf numFmtId="42" fontId="37" fillId="31" borderId="13" xfId="0" applyNumberFormat="1" applyFont="1" applyFill="1" applyBorder="1"/>
    <xf numFmtId="42" fontId="37" fillId="31" borderId="14" xfId="0" applyNumberFormat="1" applyFont="1" applyFill="1" applyBorder="1"/>
    <xf numFmtId="165" fontId="37" fillId="31" borderId="13" xfId="28" applyNumberFormat="1" applyFont="1" applyFill="1" applyBorder="1"/>
    <xf numFmtId="10" fontId="39" fillId="0" borderId="0" xfId="48" applyNumberFormat="1" applyFont="1"/>
    <xf numFmtId="166" fontId="39" fillId="0" borderId="0" xfId="48" applyNumberFormat="1" applyFont="1" applyFill="1" applyBorder="1" applyAlignment="1">
      <alignment horizontal="right"/>
    </xf>
    <xf numFmtId="0" fontId="35" fillId="0" borderId="0" xfId="0" applyFont="1"/>
    <xf numFmtId="14" fontId="0" fillId="0" borderId="0" xfId="0" applyNumberFormat="1"/>
    <xf numFmtId="164" fontId="0" fillId="0" borderId="0" xfId="0" applyNumberFormat="1"/>
    <xf numFmtId="0" fontId="0" fillId="0" borderId="11" xfId="0" applyBorder="1"/>
    <xf numFmtId="164" fontId="39" fillId="0" borderId="0" xfId="0" applyNumberFormat="1" applyFont="1"/>
    <xf numFmtId="164" fontId="39" fillId="0" borderId="0" xfId="29" applyNumberFormat="1" applyFont="1"/>
    <xf numFmtId="187" fontId="39" fillId="0" borderId="0" xfId="0" applyNumberFormat="1" applyFont="1"/>
    <xf numFmtId="9" fontId="39" fillId="0" borderId="0" xfId="48" applyFont="1"/>
    <xf numFmtId="164" fontId="39" fillId="0" borderId="11" xfId="29" applyNumberFormat="1" applyFont="1" applyBorder="1"/>
    <xf numFmtId="164" fontId="39" fillId="0" borderId="11" xfId="0" applyNumberFormat="1" applyFont="1" applyBorder="1"/>
    <xf numFmtId="0" fontId="27" fillId="0" borderId="0" xfId="0" applyFont="1"/>
    <xf numFmtId="190" fontId="39" fillId="0" borderId="0" xfId="0" applyNumberFormat="1" applyFont="1"/>
    <xf numFmtId="0" fontId="40" fillId="0" borderId="11" xfId="0" applyFont="1" applyBorder="1" applyAlignment="1">
      <alignment horizontal="left"/>
    </xf>
    <xf numFmtId="0" fontId="37" fillId="31" borderId="0" xfId="0" applyFont="1" applyFill="1"/>
    <xf numFmtId="42" fontId="37" fillId="31" borderId="0" xfId="0" applyNumberFormat="1" applyFont="1" applyFill="1"/>
    <xf numFmtId="6" fontId="39" fillId="31" borderId="11" xfId="0" applyNumberFormat="1" applyFont="1" applyFill="1" applyBorder="1"/>
    <xf numFmtId="175" fontId="37" fillId="31" borderId="11" xfId="0" applyNumberFormat="1" applyFont="1" applyFill="1" applyBorder="1"/>
    <xf numFmtId="44" fontId="0" fillId="0" borderId="0" xfId="29" applyFont="1"/>
    <xf numFmtId="165" fontId="0" fillId="0" borderId="0" xfId="28" applyNumberFormat="1" applyFont="1"/>
    <xf numFmtId="165" fontId="37" fillId="31" borderId="14" xfId="28" applyNumberFormat="1" applyFont="1" applyFill="1" applyBorder="1"/>
    <xf numFmtId="0" fontId="36" fillId="0" borderId="0" xfId="0" applyFont="1"/>
    <xf numFmtId="164" fontId="29" fillId="31" borderId="0" xfId="32" applyNumberFormat="1" applyFont="1" applyFill="1"/>
    <xf numFmtId="164" fontId="0" fillId="31" borderId="0" xfId="0" applyNumberFormat="1" applyFill="1"/>
    <xf numFmtId="164" fontId="29" fillId="31" borderId="11" xfId="32" applyNumberFormat="1" applyFont="1" applyFill="1" applyBorder="1"/>
    <xf numFmtId="0" fontId="40" fillId="0" borderId="37" xfId="0" applyFont="1" applyBorder="1" applyAlignment="1">
      <alignment horizontal="center"/>
    </xf>
    <xf numFmtId="6" fontId="39" fillId="0" borderId="11" xfId="0" applyNumberFormat="1" applyFont="1" applyBorder="1"/>
    <xf numFmtId="9" fontId="37" fillId="0" borderId="0" xfId="0" applyNumberFormat="1" applyFont="1"/>
    <xf numFmtId="171" fontId="39" fillId="0" borderId="0" xfId="29" applyNumberFormat="1" applyFont="1" applyFill="1" applyBorder="1"/>
    <xf numFmtId="164" fontId="38" fillId="0" borderId="0" xfId="0" applyNumberFormat="1" applyFont="1"/>
    <xf numFmtId="165" fontId="37" fillId="0" borderId="29" xfId="0" applyNumberFormat="1" applyFont="1" applyBorder="1"/>
    <xf numFmtId="41" fontId="37" fillId="0" borderId="0" xfId="0" applyNumberFormat="1" applyFont="1" applyAlignment="1">
      <alignment horizontal="center"/>
    </xf>
    <xf numFmtId="6" fontId="37" fillId="0" borderId="38" xfId="0" applyNumberFormat="1" applyFont="1" applyBorder="1"/>
    <xf numFmtId="6" fontId="37" fillId="0" borderId="39" xfId="0" applyNumberFormat="1" applyFont="1" applyBorder="1"/>
    <xf numFmtId="6" fontId="37" fillId="0" borderId="40" xfId="0" applyNumberFormat="1" applyFont="1" applyBorder="1"/>
    <xf numFmtId="6" fontId="37" fillId="0" borderId="41" xfId="0" applyNumberFormat="1" applyFont="1" applyBorder="1"/>
    <xf numFmtId="0" fontId="37" fillId="0" borderId="42" xfId="0" applyFont="1" applyBorder="1"/>
    <xf numFmtId="0" fontId="37" fillId="0" borderId="0" xfId="0" applyFont="1" applyAlignment="1">
      <alignment horizontal="right"/>
    </xf>
    <xf numFmtId="168" fontId="37" fillId="0" borderId="0" xfId="29" applyNumberFormat="1" applyFont="1" applyFill="1"/>
    <xf numFmtId="192" fontId="37" fillId="0" borderId="0" xfId="0" applyNumberFormat="1" applyFont="1"/>
    <xf numFmtId="0" fontId="43" fillId="0" borderId="0" xfId="0" applyFont="1"/>
    <xf numFmtId="189" fontId="39" fillId="0" borderId="0" xfId="28" applyNumberFormat="1" applyFont="1"/>
    <xf numFmtId="10" fontId="37" fillId="0" borderId="0" xfId="0" applyNumberFormat="1" applyFont="1"/>
    <xf numFmtId="193" fontId="37" fillId="0" borderId="0" xfId="0" applyNumberFormat="1" applyFont="1"/>
    <xf numFmtId="193" fontId="40" fillId="0" borderId="0" xfId="0" applyNumberFormat="1" applyFont="1"/>
    <xf numFmtId="0" fontId="40" fillId="0" borderId="15" xfId="0" applyFont="1" applyBorder="1" applyAlignment="1">
      <alignment horizontal="center"/>
    </xf>
    <xf numFmtId="0" fontId="40" fillId="29" borderId="34" xfId="0" applyFont="1" applyFill="1" applyBorder="1" applyAlignment="1">
      <alignment horizontal="left"/>
    </xf>
    <xf numFmtId="0" fontId="40" fillId="29" borderId="43" xfId="0" applyFont="1" applyFill="1" applyBorder="1" applyAlignment="1">
      <alignment horizontal="left"/>
    </xf>
    <xf numFmtId="0" fontId="40" fillId="29" borderId="35" xfId="0" applyFont="1" applyFill="1" applyBorder="1" applyAlignment="1">
      <alignment horizontal="left"/>
    </xf>
    <xf numFmtId="0" fontId="40" fillId="29" borderId="18" xfId="0" applyFont="1" applyFill="1" applyBorder="1"/>
    <xf numFmtId="0" fontId="40" fillId="29" borderId="0" xfId="0" applyFont="1" applyFill="1"/>
    <xf numFmtId="0" fontId="40" fillId="29" borderId="19" xfId="0" applyFont="1" applyFill="1" applyBorder="1"/>
    <xf numFmtId="0" fontId="37" fillId="29" borderId="18" xfId="0" applyFont="1" applyFill="1" applyBorder="1"/>
    <xf numFmtId="168" fontId="37" fillId="29" borderId="0" xfId="0" applyNumberFormat="1" applyFont="1" applyFill="1" applyAlignment="1">
      <alignment horizontal="left" indent="1"/>
    </xf>
    <xf numFmtId="0" fontId="37" fillId="29" borderId="19" xfId="0" applyFont="1" applyFill="1" applyBorder="1"/>
    <xf numFmtId="0" fontId="37" fillId="29" borderId="36" xfId="0" applyFont="1" applyFill="1" applyBorder="1"/>
    <xf numFmtId="168" fontId="37" fillId="29" borderId="15" xfId="0" applyNumberFormat="1" applyFont="1" applyFill="1" applyBorder="1" applyAlignment="1">
      <alignment horizontal="left" indent="1"/>
    </xf>
    <xf numFmtId="0" fontId="37" fillId="29" borderId="20" xfId="0" applyFont="1" applyFill="1" applyBorder="1"/>
    <xf numFmtId="191" fontId="37" fillId="0" borderId="0" xfId="48" applyNumberFormat="1" applyFont="1"/>
    <xf numFmtId="191" fontId="37" fillId="29" borderId="0" xfId="48" applyNumberFormat="1" applyFont="1" applyFill="1"/>
    <xf numFmtId="189" fontId="39" fillId="29" borderId="0" xfId="28" applyNumberFormat="1" applyFont="1" applyFill="1"/>
    <xf numFmtId="0" fontId="44" fillId="32" borderId="34" xfId="0" applyFont="1" applyFill="1" applyBorder="1" applyAlignment="1">
      <alignment vertical="center"/>
    </xf>
    <xf numFmtId="0" fontId="44" fillId="32" borderId="43" xfId="0" applyFont="1" applyFill="1" applyBorder="1" applyAlignment="1">
      <alignment vertical="center"/>
    </xf>
    <xf numFmtId="0" fontId="44" fillId="32" borderId="35" xfId="0" applyFont="1" applyFill="1" applyBorder="1" applyAlignment="1">
      <alignment vertical="center"/>
    </xf>
    <xf numFmtId="0" fontId="44" fillId="32" borderId="15" xfId="0" applyFont="1" applyFill="1" applyBorder="1" applyAlignment="1">
      <alignment horizontal="right" vertical="center"/>
    </xf>
    <xf numFmtId="0" fontId="44" fillId="32" borderId="20" xfId="0" applyFont="1" applyFill="1" applyBorder="1" applyAlignment="1">
      <alignment horizontal="right" vertical="center"/>
    </xf>
    <xf numFmtId="0" fontId="30" fillId="0" borderId="15" xfId="0" applyFont="1" applyBorder="1" applyAlignment="1">
      <alignment vertical="center"/>
    </xf>
    <xf numFmtId="0" fontId="5" fillId="0" borderId="0" xfId="0" applyFont="1"/>
    <xf numFmtId="168" fontId="30" fillId="0" borderId="15" xfId="0" applyNumberFormat="1" applyFont="1" applyBorder="1" applyAlignment="1">
      <alignment vertical="center"/>
    </xf>
    <xf numFmtId="166" fontId="30" fillId="0" borderId="19" xfId="0" applyNumberFormat="1" applyFont="1" applyBorder="1" applyAlignment="1">
      <alignment horizontal="right" vertical="center"/>
    </xf>
    <xf numFmtId="0" fontId="30" fillId="0" borderId="43" xfId="0" applyFont="1" applyBorder="1" applyAlignment="1">
      <alignment vertical="center"/>
    </xf>
    <xf numFmtId="168" fontId="30" fillId="0" borderId="43" xfId="0" applyNumberFormat="1" applyFont="1" applyBorder="1" applyAlignment="1">
      <alignment vertical="center"/>
    </xf>
    <xf numFmtId="0" fontId="30" fillId="0" borderId="0" xfId="0" applyFont="1" applyAlignment="1">
      <alignment vertical="center"/>
    </xf>
    <xf numFmtId="168" fontId="30" fillId="0" borderId="0" xfId="0" applyNumberFormat="1" applyFont="1" applyAlignment="1">
      <alignment vertical="center"/>
    </xf>
    <xf numFmtId="0" fontId="30" fillId="0" borderId="44" xfId="0" applyFont="1" applyBorder="1" applyAlignment="1">
      <alignment vertical="center"/>
    </xf>
    <xf numFmtId="166" fontId="30" fillId="0" borderId="45" xfId="0" applyNumberFormat="1" applyFont="1" applyBorder="1" applyAlignment="1">
      <alignment horizontal="right" vertical="center"/>
    </xf>
    <xf numFmtId="164" fontId="0" fillId="0" borderId="0" xfId="29" applyNumberFormat="1" applyFont="1"/>
    <xf numFmtId="165" fontId="0" fillId="0" borderId="0" xfId="0" applyNumberFormat="1"/>
    <xf numFmtId="0" fontId="45" fillId="0" borderId="0" xfId="0" applyFont="1" applyAlignment="1">
      <alignment horizontal="right"/>
    </xf>
    <xf numFmtId="10" fontId="39" fillId="0" borderId="0" xfId="48" applyNumberFormat="1" applyFont="1" applyFill="1" applyBorder="1" applyAlignment="1">
      <alignment horizontal="right"/>
    </xf>
    <xf numFmtId="165" fontId="39" fillId="0" borderId="0" xfId="28" applyNumberFormat="1" applyFont="1" applyFill="1"/>
    <xf numFmtId="42" fontId="37" fillId="0" borderId="11" xfId="0" applyNumberFormat="1" applyFont="1" applyBorder="1"/>
    <xf numFmtId="195" fontId="0" fillId="0" borderId="0" xfId="0" applyNumberFormat="1"/>
    <xf numFmtId="6" fontId="39" fillId="28" borderId="0" xfId="0" applyNumberFormat="1" applyFont="1" applyFill="1" applyAlignment="1">
      <alignment horizontal="right"/>
    </xf>
    <xf numFmtId="6" fontId="39" fillId="28" borderId="11" xfId="0" applyNumberFormat="1" applyFont="1" applyFill="1" applyBorder="1" applyAlignment="1">
      <alignment horizontal="right"/>
    </xf>
    <xf numFmtId="0" fontId="38" fillId="31" borderId="0" xfId="0" applyFont="1" applyFill="1"/>
    <xf numFmtId="0" fontId="40" fillId="33" borderId="0" xfId="0" applyFont="1" applyFill="1"/>
    <xf numFmtId="191" fontId="39" fillId="0" borderId="0" xfId="48" applyNumberFormat="1" applyFont="1" applyBorder="1"/>
    <xf numFmtId="164" fontId="0" fillId="0" borderId="0" xfId="32" applyNumberFormat="1" applyFont="1" applyBorder="1"/>
    <xf numFmtId="166" fontId="39" fillId="0" borderId="0" xfId="0" applyNumberFormat="1" applyFont="1"/>
    <xf numFmtId="175" fontId="39" fillId="31" borderId="0" xfId="0" applyNumberFormat="1" applyFont="1" applyFill="1" applyAlignment="1">
      <alignment horizontal="right"/>
    </xf>
    <xf numFmtId="175" fontId="39" fillId="31" borderId="11" xfId="0" applyNumberFormat="1" applyFont="1" applyFill="1" applyBorder="1" applyAlignment="1">
      <alignment horizontal="right"/>
    </xf>
    <xf numFmtId="9" fontId="39" fillId="31" borderId="0" xfId="48" applyFont="1" applyFill="1" applyBorder="1"/>
    <xf numFmtId="9" fontId="39" fillId="31" borderId="11" xfId="48" applyFont="1" applyFill="1" applyBorder="1"/>
    <xf numFmtId="166" fontId="39" fillId="31" borderId="0" xfId="48" applyNumberFormat="1" applyFont="1" applyFill="1" applyBorder="1" applyAlignment="1">
      <alignment horizontal="right"/>
    </xf>
    <xf numFmtId="175" fontId="36" fillId="33" borderId="0" xfId="0" applyNumberFormat="1" applyFont="1" applyFill="1"/>
    <xf numFmtId="0" fontId="39" fillId="31" borderId="0" xfId="0" applyFont="1" applyFill="1"/>
    <xf numFmtId="6" fontId="37" fillId="31" borderId="0" xfId="0" applyNumberFormat="1" applyFont="1" applyFill="1" applyAlignment="1">
      <alignment horizontal="right"/>
    </xf>
    <xf numFmtId="6" fontId="37" fillId="31" borderId="11" xfId="0" applyNumberFormat="1" applyFont="1" applyFill="1" applyBorder="1" applyAlignment="1">
      <alignment horizontal="right"/>
    </xf>
    <xf numFmtId="0" fontId="40" fillId="31" borderId="0" xfId="0" applyFont="1" applyFill="1"/>
    <xf numFmtId="171" fontId="36" fillId="31" borderId="0" xfId="0" applyNumberFormat="1" applyFont="1" applyFill="1"/>
    <xf numFmtId="0" fontId="39" fillId="31" borderId="0" xfId="0" applyFont="1" applyFill="1" applyAlignment="1">
      <alignment horizontal="center"/>
    </xf>
    <xf numFmtId="171" fontId="39" fillId="31" borderId="0" xfId="0" applyNumberFormat="1" applyFont="1" applyFill="1"/>
    <xf numFmtId="0" fontId="37" fillId="33" borderId="0" xfId="0" applyFont="1" applyFill="1"/>
    <xf numFmtId="0" fontId="39" fillId="33" borderId="0" xfId="0" applyFont="1" applyFill="1"/>
    <xf numFmtId="175" fontId="39" fillId="34" borderId="0" xfId="0" applyNumberFormat="1" applyFont="1" applyFill="1" applyAlignment="1">
      <alignment horizontal="right"/>
    </xf>
    <xf numFmtId="37" fontId="37" fillId="0" borderId="0" xfId="29" applyNumberFormat="1" applyFont="1" applyFill="1"/>
    <xf numFmtId="0" fontId="40" fillId="0" borderId="46" xfId="0" applyFont="1" applyBorder="1"/>
    <xf numFmtId="37" fontId="41" fillId="0" borderId="0" xfId="29" applyNumberFormat="1" applyFont="1" applyFill="1"/>
    <xf numFmtId="165" fontId="37" fillId="0" borderId="0" xfId="28" applyNumberFormat="1" applyFont="1" applyFill="1"/>
    <xf numFmtId="174" fontId="37" fillId="0" borderId="0" xfId="0" applyNumberFormat="1" applyFont="1"/>
    <xf numFmtId="37" fontId="41" fillId="0" borderId="0" xfId="0" applyNumberFormat="1" applyFont="1" applyAlignment="1">
      <alignment horizontal="right"/>
    </xf>
    <xf numFmtId="3" fontId="41" fillId="0" borderId="0" xfId="0" applyNumberFormat="1" applyFont="1"/>
    <xf numFmtId="6" fontId="36" fillId="0" borderId="0" xfId="0" applyNumberFormat="1" applyFont="1"/>
    <xf numFmtId="14" fontId="37" fillId="0" borderId="0" xfId="0" applyNumberFormat="1" applyFont="1"/>
    <xf numFmtId="0" fontId="4" fillId="0" borderId="0" xfId="0" applyFont="1"/>
    <xf numFmtId="6" fontId="46" fillId="0" borderId="0" xfId="0" applyNumberFormat="1" applyFont="1"/>
    <xf numFmtId="6" fontId="0" fillId="0" borderId="0" xfId="0" applyNumberFormat="1"/>
    <xf numFmtId="0" fontId="3" fillId="0" borderId="0" xfId="40" applyAlignment="1" applyProtection="1"/>
    <xf numFmtId="42" fontId="37" fillId="0" borderId="0" xfId="0" applyNumberFormat="1" applyFont="1" applyAlignment="1">
      <alignment horizontal="right"/>
    </xf>
    <xf numFmtId="10" fontId="37" fillId="0" borderId="0" xfId="48" applyNumberFormat="1" applyFont="1" applyFill="1" applyBorder="1"/>
    <xf numFmtId="0" fontId="37" fillId="0" borderId="0" xfId="0" quotePrefix="1" applyFont="1"/>
    <xf numFmtId="16" fontId="37" fillId="0" borderId="0" xfId="0" quotePrefix="1" applyNumberFormat="1" applyFont="1"/>
    <xf numFmtId="0" fontId="37" fillId="0" borderId="0" xfId="0" quotePrefix="1" applyFont="1" applyAlignment="1">
      <alignment horizontal="right"/>
    </xf>
    <xf numFmtId="0" fontId="40" fillId="0" borderId="0" xfId="0" quotePrefix="1" applyFont="1" applyAlignment="1">
      <alignment horizontal="right"/>
    </xf>
    <xf numFmtId="0" fontId="44" fillId="32" borderId="15" xfId="0" quotePrefix="1" applyFont="1" applyFill="1" applyBorder="1" applyAlignment="1">
      <alignment horizontal="right" vertical="center"/>
    </xf>
    <xf numFmtId="166" fontId="31" fillId="28" borderId="20" xfId="0" applyNumberFormat="1" applyFont="1" applyFill="1" applyBorder="1" applyAlignment="1">
      <alignment horizontal="right" vertical="center"/>
    </xf>
    <xf numFmtId="0" fontId="44" fillId="0" borderId="0" xfId="0" applyFont="1" applyAlignment="1">
      <alignment vertical="center"/>
    </xf>
    <xf numFmtId="0" fontId="44" fillId="0" borderId="0" xfId="0" applyFont="1" applyAlignment="1">
      <alignment horizontal="right" vertical="center"/>
    </xf>
    <xf numFmtId="166" fontId="30" fillId="0" borderId="0" xfId="0" applyNumberFormat="1" applyFont="1" applyAlignment="1">
      <alignment horizontal="right" vertical="center"/>
    </xf>
    <xf numFmtId="0" fontId="47" fillId="0" borderId="0" xfId="0" applyFont="1" applyAlignment="1">
      <alignment vertical="center"/>
    </xf>
    <xf numFmtId="194" fontId="30" fillId="0" borderId="0" xfId="0" applyNumberFormat="1" applyFont="1" applyAlignment="1">
      <alignment vertical="center"/>
    </xf>
    <xf numFmtId="6" fontId="31" fillId="0" borderId="0" xfId="0" applyNumberFormat="1" applyFont="1" applyAlignment="1">
      <alignment horizontal="right" vertical="center"/>
    </xf>
    <xf numFmtId="42" fontId="41" fillId="0" borderId="0" xfId="29" applyNumberFormat="1" applyFont="1" applyFill="1"/>
    <xf numFmtId="0" fontId="32" fillId="0" borderId="0" xfId="0" applyFont="1"/>
    <xf numFmtId="44" fontId="0" fillId="0" borderId="0" xfId="0" applyNumberFormat="1"/>
    <xf numFmtId="3" fontId="4" fillId="0" borderId="0" xfId="0" applyNumberFormat="1" applyFont="1"/>
    <xf numFmtId="0" fontId="0" fillId="28" borderId="0" xfId="0" applyFill="1"/>
    <xf numFmtId="6" fontId="37" fillId="31" borderId="10" xfId="29" applyNumberFormat="1" applyFont="1" applyFill="1" applyBorder="1"/>
    <xf numFmtId="0" fontId="37" fillId="28" borderId="0" xfId="0" applyFont="1" applyFill="1"/>
    <xf numFmtId="164" fontId="0" fillId="0" borderId="0" xfId="29" applyNumberFormat="1" applyFont="1" applyFill="1"/>
    <xf numFmtId="8" fontId="39" fillId="0" borderId="0" xfId="0" applyNumberFormat="1" applyFont="1"/>
    <xf numFmtId="44" fontId="39" fillId="0" borderId="0" xfId="29" applyFont="1" applyFill="1"/>
    <xf numFmtId="10" fontId="0" fillId="0" borderId="0" xfId="48" applyNumberFormat="1" applyFont="1" applyFill="1"/>
    <xf numFmtId="10" fontId="0" fillId="0" borderId="0" xfId="48" applyNumberFormat="1" applyFont="1"/>
    <xf numFmtId="172" fontId="0" fillId="0" borderId="0" xfId="29" applyNumberFormat="1" applyFont="1" applyFill="1"/>
    <xf numFmtId="198" fontId="0" fillId="0" borderId="0" xfId="48" applyNumberFormat="1" applyFont="1"/>
    <xf numFmtId="199" fontId="0" fillId="0" borderId="0" xfId="29" applyNumberFormat="1" applyFont="1" applyFill="1"/>
    <xf numFmtId="199" fontId="0" fillId="0" borderId="0" xfId="48" applyNumberFormat="1" applyFont="1"/>
    <xf numFmtId="3" fontId="39" fillId="0" borderId="0" xfId="0" applyNumberFormat="1" applyFont="1"/>
    <xf numFmtId="166" fontId="30" fillId="0" borderId="20" xfId="0" applyNumberFormat="1" applyFont="1" applyBorder="1" applyAlignment="1">
      <alignment horizontal="right" vertical="center"/>
    </xf>
    <xf numFmtId="166" fontId="30" fillId="35" borderId="45" xfId="0" applyNumberFormat="1" applyFont="1" applyFill="1" applyBorder="1" applyAlignment="1">
      <alignment horizontal="right" vertical="center"/>
    </xf>
    <xf numFmtId="166" fontId="30" fillId="0" borderId="35" xfId="0" applyNumberFormat="1" applyFont="1" applyBorder="1" applyAlignment="1">
      <alignment vertical="center"/>
    </xf>
    <xf numFmtId="166" fontId="30" fillId="0" borderId="19" xfId="0" applyNumberFormat="1" applyFont="1" applyBorder="1" applyAlignment="1">
      <alignment vertical="center"/>
    </xf>
    <xf numFmtId="0" fontId="47" fillId="36" borderId="47" xfId="0" applyFont="1" applyFill="1" applyBorder="1" applyAlignment="1">
      <alignment vertical="center" wrapText="1"/>
    </xf>
    <xf numFmtId="170" fontId="33" fillId="0" borderId="0" xfId="29" applyNumberFormat="1" applyFont="1" applyFill="1"/>
    <xf numFmtId="0" fontId="38" fillId="0" borderId="0" xfId="0" applyFont="1" applyAlignment="1">
      <alignment horizontal="left"/>
    </xf>
    <xf numFmtId="0" fontId="0" fillId="0" borderId="29" xfId="0" applyBorder="1"/>
    <xf numFmtId="0" fontId="0" fillId="0" borderId="29" xfId="0" applyBorder="1" applyAlignment="1">
      <alignment wrapText="1"/>
    </xf>
    <xf numFmtId="44" fontId="4" fillId="0" borderId="0" xfId="29" applyFont="1"/>
    <xf numFmtId="0" fontId="48" fillId="0" borderId="0" xfId="0" applyFont="1"/>
    <xf numFmtId="0" fontId="27" fillId="28" borderId="0" xfId="0" applyFont="1" applyFill="1"/>
    <xf numFmtId="0" fontId="38" fillId="28" borderId="0" xfId="0" applyFont="1" applyFill="1" applyAlignment="1">
      <alignment horizontal="center"/>
    </xf>
    <xf numFmtId="44" fontId="0" fillId="31" borderId="0" xfId="29" applyFont="1" applyFill="1"/>
    <xf numFmtId="14" fontId="37" fillId="0" borderId="11" xfId="0" applyNumberFormat="1" applyFont="1" applyBorder="1" applyAlignment="1">
      <alignment horizontal="center"/>
    </xf>
    <xf numFmtId="43" fontId="37" fillId="0" borderId="0" xfId="0" applyNumberFormat="1" applyFont="1"/>
    <xf numFmtId="0" fontId="49" fillId="40" borderId="0" xfId="0" applyFont="1" applyFill="1"/>
    <xf numFmtId="16" fontId="0" fillId="0" borderId="29" xfId="0" quotePrefix="1" applyNumberFormat="1" applyBorder="1"/>
    <xf numFmtId="0" fontId="0" fillId="0" borderId="29" xfId="0" quotePrefix="1" applyBorder="1"/>
    <xf numFmtId="165" fontId="38" fillId="0" borderId="0" xfId="28" applyNumberFormat="1" applyFont="1" applyFill="1" applyBorder="1" applyAlignment="1">
      <alignment horizontal="left"/>
    </xf>
    <xf numFmtId="0" fontId="35" fillId="0" borderId="11" xfId="0" applyFont="1" applyBorder="1" applyAlignment="1">
      <alignment horizontal="left"/>
    </xf>
    <xf numFmtId="0" fontId="35" fillId="0" borderId="11" xfId="0" applyFont="1" applyBorder="1" applyAlignment="1">
      <alignment horizontal="center"/>
    </xf>
    <xf numFmtId="0" fontId="51" fillId="0" borderId="0" xfId="0" applyFont="1"/>
    <xf numFmtId="174" fontId="51" fillId="0" borderId="0" xfId="0" applyNumberFormat="1" applyFont="1"/>
    <xf numFmtId="0" fontId="53" fillId="0" borderId="0" xfId="0" applyFont="1"/>
    <xf numFmtId="0" fontId="54" fillId="0" borderId="0" xfId="0" applyFont="1" applyAlignment="1">
      <alignment horizontal="left"/>
    </xf>
    <xf numFmtId="175" fontId="51" fillId="0" borderId="0" xfId="0" applyNumberFormat="1" applyFont="1"/>
    <xf numFmtId="175" fontId="51" fillId="0" borderId="11" xfId="0" applyNumberFormat="1" applyFont="1" applyBorder="1"/>
    <xf numFmtId="3" fontId="55" fillId="0" borderId="0" xfId="0" applyNumberFormat="1" applyFont="1"/>
    <xf numFmtId="5" fontId="55" fillId="0" borderId="0" xfId="0" applyNumberFormat="1" applyFont="1"/>
    <xf numFmtId="175" fontId="55" fillId="0" borderId="0" xfId="0" applyNumberFormat="1" applyFont="1"/>
    <xf numFmtId="174" fontId="55" fillId="0" borderId="0" xfId="0" applyNumberFormat="1" applyFont="1"/>
    <xf numFmtId="0" fontId="55" fillId="0" borderId="0" xfId="0" applyFont="1"/>
    <xf numFmtId="175" fontId="39" fillId="0" borderId="11" xfId="0" applyNumberFormat="1" applyFont="1" applyBorder="1" applyAlignment="1">
      <alignment horizontal="right"/>
    </xf>
    <xf numFmtId="165" fontId="39" fillId="0" borderId="11" xfId="28" applyNumberFormat="1" applyFont="1" applyFill="1" applyBorder="1" applyAlignment="1">
      <alignment horizontal="right"/>
    </xf>
    <xf numFmtId="164" fontId="39" fillId="0" borderId="0" xfId="0" applyNumberFormat="1" applyFont="1" applyAlignment="1">
      <alignment horizontal="right"/>
    </xf>
    <xf numFmtId="164" fontId="39" fillId="0" borderId="11" xfId="0" applyNumberFormat="1" applyFont="1" applyBorder="1" applyAlignment="1">
      <alignment horizontal="right"/>
    </xf>
    <xf numFmtId="197" fontId="39" fillId="28" borderId="0" xfId="28" applyNumberFormat="1" applyFont="1" applyFill="1"/>
    <xf numFmtId="201" fontId="0" fillId="0" borderId="0" xfId="0" applyNumberFormat="1"/>
    <xf numFmtId="5" fontId="37" fillId="0" borderId="11" xfId="0" applyNumberFormat="1" applyFont="1" applyBorder="1"/>
    <xf numFmtId="0" fontId="35" fillId="0" borderId="28" xfId="0" applyFont="1" applyBorder="1" applyAlignment="1">
      <alignment horizontal="center"/>
    </xf>
    <xf numFmtId="174" fontId="51" fillId="0" borderId="13" xfId="0" applyNumberFormat="1" applyFont="1" applyBorder="1"/>
    <xf numFmtId="9" fontId="55" fillId="0" borderId="13" xfId="48" applyFont="1" applyBorder="1"/>
    <xf numFmtId="174" fontId="55" fillId="0" borderId="13" xfId="0" applyNumberFormat="1" applyFont="1" applyBorder="1"/>
    <xf numFmtId="0" fontId="55" fillId="0" borderId="13" xfId="0" applyFont="1" applyBorder="1"/>
    <xf numFmtId="5" fontId="56" fillId="0" borderId="0" xfId="0" applyNumberFormat="1" applyFont="1"/>
    <xf numFmtId="171" fontId="40" fillId="0" borderId="0" xfId="29" applyNumberFormat="1" applyFont="1" applyFill="1"/>
    <xf numFmtId="170" fontId="40" fillId="0" borderId="0" xfId="29" applyNumberFormat="1" applyFont="1" applyFill="1"/>
    <xf numFmtId="0" fontId="35" fillId="0" borderId="13" xfId="0" applyFont="1" applyBorder="1"/>
    <xf numFmtId="3" fontId="37" fillId="0" borderId="28" xfId="0" applyNumberFormat="1" applyFont="1" applyBorder="1"/>
    <xf numFmtId="3" fontId="55" fillId="0" borderId="13" xfId="0" applyNumberFormat="1" applyFont="1" applyBorder="1"/>
    <xf numFmtId="0" fontId="51" fillId="0" borderId="13" xfId="0" applyFont="1" applyBorder="1"/>
    <xf numFmtId="0" fontId="51" fillId="0" borderId="13" xfId="0" applyFont="1" applyBorder="1" applyAlignment="1">
      <alignment horizontal="left"/>
    </xf>
    <xf numFmtId="174" fontId="37" fillId="0" borderId="13" xfId="0" applyNumberFormat="1" applyFont="1" applyBorder="1"/>
    <xf numFmtId="174" fontId="37" fillId="0" borderId="11" xfId="0" applyNumberFormat="1" applyFont="1" applyBorder="1"/>
    <xf numFmtId="196" fontId="37" fillId="0" borderId="0" xfId="0" applyNumberFormat="1" applyFont="1"/>
    <xf numFmtId="196" fontId="37" fillId="0" borderId="11" xfId="0" applyNumberFormat="1" applyFont="1" applyBorder="1"/>
    <xf numFmtId="0" fontId="40" fillId="0" borderId="0" xfId="0" quotePrefix="1" applyFont="1" applyAlignment="1">
      <alignment horizontal="center"/>
    </xf>
    <xf numFmtId="3" fontId="40" fillId="0" borderId="13" xfId="0" applyNumberFormat="1" applyFont="1" applyBorder="1" applyAlignment="1">
      <alignment horizontal="center"/>
    </xf>
    <xf numFmtId="0" fontId="57" fillId="0" borderId="0" xfId="0" applyFont="1"/>
    <xf numFmtId="0" fontId="51" fillId="0" borderId="0" xfId="0" applyFont="1" applyAlignment="1">
      <alignment horizontal="left"/>
    </xf>
    <xf numFmtId="3" fontId="58" fillId="0" borderId="0" xfId="0" applyNumberFormat="1" applyFont="1"/>
    <xf numFmtId="5" fontId="58" fillId="0" borderId="0" xfId="0" applyNumberFormat="1" applyFont="1"/>
    <xf numFmtId="3" fontId="58" fillId="0" borderId="11" xfId="0" applyNumberFormat="1" applyFont="1" applyBorder="1"/>
    <xf numFmtId="5" fontId="58" fillId="0" borderId="11" xfId="0" applyNumberFormat="1" applyFont="1" applyBorder="1"/>
    <xf numFmtId="174" fontId="56" fillId="0" borderId="13" xfId="0" applyNumberFormat="1" applyFont="1" applyBorder="1"/>
    <xf numFmtId="187" fontId="56" fillId="0" borderId="0" xfId="0" applyNumberFormat="1" applyFont="1"/>
    <xf numFmtId="174" fontId="56" fillId="0" borderId="28" xfId="0" applyNumberFormat="1" applyFont="1" applyBorder="1"/>
    <xf numFmtId="174" fontId="56" fillId="0" borderId="11" xfId="0" applyNumberFormat="1" applyFont="1" applyBorder="1"/>
    <xf numFmtId="174" fontId="56" fillId="0" borderId="0" xfId="0" applyNumberFormat="1" applyFont="1"/>
    <xf numFmtId="0" fontId="59" fillId="0" borderId="0" xfId="0" applyFont="1"/>
    <xf numFmtId="0" fontId="40" fillId="24" borderId="15" xfId="0" applyFont="1" applyFill="1" applyBorder="1" applyAlignment="1">
      <alignment horizontal="center"/>
    </xf>
    <xf numFmtId="180" fontId="37" fillId="0" borderId="0" xfId="29" applyNumberFormat="1" applyFont="1" applyBorder="1"/>
    <xf numFmtId="0" fontId="40" fillId="24" borderId="13" xfId="0" applyFont="1" applyFill="1" applyBorder="1" applyAlignment="1">
      <alignment horizontal="center"/>
    </xf>
    <xf numFmtId="42" fontId="37" fillId="0" borderId="0" xfId="29" applyNumberFormat="1" applyFont="1" applyFill="1"/>
    <xf numFmtId="0" fontId="37" fillId="0" borderId="0" xfId="0" applyFont="1" applyBorder="1"/>
    <xf numFmtId="0" fontId="40" fillId="0" borderId="0" xfId="0" applyFont="1" applyBorder="1"/>
    <xf numFmtId="176" fontId="37" fillId="0" borderId="0" xfId="0" applyNumberFormat="1" applyFont="1" applyBorder="1"/>
    <xf numFmtId="0" fontId="42" fillId="0" borderId="18" xfId="0" applyFont="1" applyBorder="1"/>
    <xf numFmtId="0" fontId="41" fillId="0" borderId="0" xfId="0" applyFont="1" applyBorder="1"/>
    <xf numFmtId="176" fontId="37" fillId="0" borderId="0" xfId="29" applyNumberFormat="1" applyFont="1" applyBorder="1"/>
    <xf numFmtId="179" fontId="37" fillId="0" borderId="0" xfId="29" applyNumberFormat="1" applyFont="1" applyBorder="1"/>
    <xf numFmtId="176" fontId="37" fillId="0" borderId="0" xfId="0" applyNumberFormat="1" applyFont="1" applyBorder="1" applyAlignment="1">
      <alignment horizontal="center"/>
    </xf>
    <xf numFmtId="184" fontId="37" fillId="0" borderId="0" xfId="0" applyNumberFormat="1" applyFont="1" applyBorder="1"/>
    <xf numFmtId="0" fontId="37" fillId="0" borderId="36" xfId="0" applyFont="1" applyBorder="1"/>
    <xf numFmtId="0" fontId="37" fillId="0" borderId="15" xfId="0" applyFont="1" applyBorder="1"/>
    <xf numFmtId="180" fontId="37" fillId="0" borderId="15" xfId="29" applyNumberFormat="1" applyFont="1" applyBorder="1"/>
    <xf numFmtId="186" fontId="37" fillId="0" borderId="15" xfId="0" applyNumberFormat="1" applyFont="1" applyBorder="1"/>
    <xf numFmtId="0" fontId="40" fillId="0" borderId="18" xfId="0" applyFont="1" applyBorder="1" applyAlignment="1">
      <alignment horizontal="left"/>
    </xf>
    <xf numFmtId="0" fontId="37" fillId="0" borderId="0" xfId="0" applyFont="1" applyBorder="1" applyAlignment="1">
      <alignment horizontal="left"/>
    </xf>
    <xf numFmtId="0" fontId="37" fillId="0" borderId="18" xfId="0" applyFont="1" applyBorder="1" applyAlignment="1">
      <alignment horizontal="left"/>
    </xf>
    <xf numFmtId="0" fontId="40" fillId="0" borderId="0" xfId="0" applyFont="1" applyBorder="1" applyAlignment="1">
      <alignment horizontal="left"/>
    </xf>
    <xf numFmtId="177" fontId="37" fillId="0" borderId="0" xfId="0" applyNumberFormat="1" applyFont="1" applyBorder="1"/>
    <xf numFmtId="182" fontId="37" fillId="0" borderId="0" xfId="0" applyNumberFormat="1" applyFont="1" applyBorder="1"/>
    <xf numFmtId="181" fontId="37" fillId="0" borderId="0" xfId="0" applyNumberFormat="1" applyFont="1" applyBorder="1"/>
    <xf numFmtId="182" fontId="37" fillId="0" borderId="0" xfId="0" applyNumberFormat="1" applyFont="1" applyBorder="1" applyAlignment="1">
      <alignment horizontal="center"/>
    </xf>
    <xf numFmtId="183" fontId="37" fillId="0" borderId="0" xfId="0" applyNumberFormat="1" applyFont="1" applyBorder="1"/>
    <xf numFmtId="200" fontId="37" fillId="0" borderId="0" xfId="0" applyNumberFormat="1" applyFont="1" applyBorder="1"/>
    <xf numFmtId="0" fontId="37" fillId="0" borderId="34" xfId="0" applyFont="1" applyBorder="1"/>
    <xf numFmtId="0" fontId="37" fillId="0" borderId="43" xfId="0" applyFont="1" applyBorder="1"/>
    <xf numFmtId="0" fontId="42" fillId="0" borderId="15" xfId="0" applyFont="1" applyBorder="1" applyAlignment="1">
      <alignment horizontal="center"/>
    </xf>
    <xf numFmtId="0" fontId="42" fillId="0" borderId="20" xfId="0" applyFont="1" applyBorder="1" applyAlignment="1">
      <alignment horizontal="center"/>
    </xf>
    <xf numFmtId="176" fontId="37" fillId="0" borderId="43" xfId="0" applyNumberFormat="1" applyFont="1" applyBorder="1"/>
    <xf numFmtId="0" fontId="37" fillId="0" borderId="35" xfId="0" applyFont="1" applyBorder="1"/>
    <xf numFmtId="168" fontId="30" fillId="0" borderId="44" xfId="0" applyNumberFormat="1" applyFont="1" applyBorder="1" applyAlignment="1">
      <alignment vertical="center"/>
    </xf>
    <xf numFmtId="0" fontId="37" fillId="0" borderId="0" xfId="0" applyFont="1" applyFill="1"/>
    <xf numFmtId="6" fontId="30" fillId="35" borderId="47" xfId="0" applyNumberFormat="1" applyFont="1" applyFill="1" applyBorder="1" applyAlignment="1">
      <alignment horizontal="right" vertical="center"/>
    </xf>
    <xf numFmtId="0" fontId="51" fillId="28" borderId="0" xfId="0" applyFont="1" applyFill="1" applyAlignment="1">
      <alignment horizontal="left"/>
    </xf>
    <xf numFmtId="0" fontId="51" fillId="28" borderId="0" xfId="0" applyFont="1" applyFill="1"/>
    <xf numFmtId="164" fontId="30" fillId="35" borderId="47" xfId="0" applyNumberFormat="1" applyFont="1" applyFill="1" applyBorder="1" applyAlignment="1">
      <alignment horizontal="right" vertical="center"/>
    </xf>
    <xf numFmtId="0" fontId="44" fillId="41" borderId="0" xfId="53" applyFont="1" applyFill="1" applyAlignment="1">
      <alignment vertical="center"/>
    </xf>
    <xf numFmtId="0" fontId="44" fillId="41" borderId="0" xfId="53" applyFont="1" applyFill="1" applyAlignment="1">
      <alignment horizontal="center" vertical="center"/>
    </xf>
    <xf numFmtId="0" fontId="1" fillId="0" borderId="0" xfId="53"/>
    <xf numFmtId="0" fontId="44" fillId="41" borderId="15" xfId="53" applyFont="1" applyFill="1" applyBorder="1" applyAlignment="1">
      <alignment horizontal="right" vertical="center"/>
    </xf>
    <xf numFmtId="0" fontId="44" fillId="41" borderId="15" xfId="53" applyFont="1" applyFill="1" applyBorder="1" applyAlignment="1">
      <alignment horizontal="center" vertical="center"/>
    </xf>
    <xf numFmtId="17" fontId="1" fillId="0" borderId="0" xfId="53" applyNumberFormat="1"/>
    <xf numFmtId="3" fontId="47" fillId="0" borderId="0" xfId="53" applyNumberFormat="1" applyFont="1" applyAlignment="1">
      <alignment horizontal="center" vertical="center"/>
    </xf>
    <xf numFmtId="3" fontId="60" fillId="0" borderId="0" xfId="53" applyNumberFormat="1" applyFont="1" applyAlignment="1">
      <alignment horizontal="center" vertical="center"/>
    </xf>
    <xf numFmtId="3" fontId="47" fillId="0" borderId="15" xfId="53" applyNumberFormat="1" applyFont="1" applyBorder="1" applyAlignment="1">
      <alignment horizontal="center" vertical="center"/>
    </xf>
    <xf numFmtId="3" fontId="60" fillId="0" borderId="15" xfId="53" applyNumberFormat="1" applyFont="1" applyBorder="1" applyAlignment="1">
      <alignment horizontal="center" vertical="center"/>
    </xf>
    <xf numFmtId="0" fontId="61" fillId="0" borderId="0" xfId="53" applyFont="1"/>
    <xf numFmtId="3" fontId="62" fillId="0" borderId="0" xfId="53" applyNumberFormat="1" applyFont="1" applyAlignment="1">
      <alignment horizontal="center" vertical="center"/>
    </xf>
    <xf numFmtId="3" fontId="63" fillId="0" borderId="44" xfId="53" applyNumberFormat="1" applyFont="1" applyBorder="1" applyAlignment="1">
      <alignment horizontal="right" vertical="center"/>
    </xf>
    <xf numFmtId="0" fontId="63" fillId="0" borderId="44" xfId="53" applyFont="1" applyBorder="1" applyAlignment="1">
      <alignment vertical="center"/>
    </xf>
    <xf numFmtId="1" fontId="63" fillId="0" borderId="15" xfId="53" applyNumberFormat="1" applyFont="1" applyBorder="1" applyAlignment="1">
      <alignment horizontal="right" vertical="center"/>
    </xf>
    <xf numFmtId="0" fontId="63" fillId="0" borderId="15" xfId="53" applyFont="1" applyBorder="1" applyAlignment="1">
      <alignment vertical="center"/>
    </xf>
    <xf numFmtId="169" fontId="64" fillId="0" borderId="15" xfId="53" applyNumberFormat="1" applyFont="1" applyBorder="1" applyAlignment="1">
      <alignment horizontal="right" vertical="center"/>
    </xf>
    <xf numFmtId="0" fontId="64" fillId="0" borderId="15" xfId="53" applyFont="1" applyBorder="1" applyAlignment="1">
      <alignment vertical="center"/>
    </xf>
    <xf numFmtId="169" fontId="64" fillId="0" borderId="20" xfId="53" applyNumberFormat="1" applyFont="1" applyBorder="1" applyAlignment="1">
      <alignment horizontal="right" vertical="center"/>
    </xf>
    <xf numFmtId="8" fontId="65" fillId="0" borderId="15" xfId="53" applyNumberFormat="1" applyFont="1" applyBorder="1" applyAlignment="1">
      <alignment horizontal="right" vertical="center"/>
    </xf>
    <xf numFmtId="8" fontId="65" fillId="0" borderId="20" xfId="53" applyNumberFormat="1" applyFont="1" applyBorder="1" applyAlignment="1">
      <alignment horizontal="right" vertical="center"/>
    </xf>
    <xf numFmtId="187" fontId="40" fillId="0" borderId="0" xfId="0" applyNumberFormat="1" applyFont="1"/>
    <xf numFmtId="0" fontId="0" fillId="0" borderId="29" xfId="0" applyBorder="1" applyAlignment="1">
      <alignment horizontal="center" vertical="center" wrapText="1"/>
    </xf>
    <xf numFmtId="0" fontId="0" fillId="0" borderId="29" xfId="0" applyBorder="1" applyAlignment="1">
      <alignment vertical="center"/>
    </xf>
    <xf numFmtId="0" fontId="0" fillId="0" borderId="29" xfId="0" applyBorder="1" applyAlignment="1">
      <alignment horizontal="center" vertical="center"/>
    </xf>
    <xf numFmtId="0" fontId="41" fillId="0" borderId="22" xfId="0" applyFont="1" applyBorder="1" applyAlignment="1">
      <alignment horizontal="center"/>
    </xf>
    <xf numFmtId="0" fontId="41" fillId="0" borderId="48" xfId="0" applyFont="1" applyBorder="1" applyAlignment="1">
      <alignment horizontal="center"/>
    </xf>
    <xf numFmtId="0" fontId="41" fillId="0" borderId="12" xfId="0" applyFont="1" applyBorder="1" applyAlignment="1">
      <alignment horizontal="center"/>
    </xf>
    <xf numFmtId="0" fontId="41" fillId="0" borderId="13" xfId="0" applyFont="1" applyBorder="1" applyAlignment="1">
      <alignment horizontal="center"/>
    </xf>
    <xf numFmtId="0" fontId="41" fillId="0" borderId="24" xfId="0" applyFont="1" applyBorder="1" applyAlignment="1">
      <alignment horizontal="center"/>
    </xf>
    <xf numFmtId="0" fontId="37" fillId="0" borderId="32" xfId="0" applyFont="1" applyBorder="1" applyAlignment="1">
      <alignment horizontal="center"/>
    </xf>
    <xf numFmtId="0" fontId="37" fillId="0" borderId="49" xfId="0" applyFont="1" applyBorder="1" applyAlignment="1">
      <alignment horizontal="center"/>
    </xf>
    <xf numFmtId="0" fontId="37" fillId="0" borderId="50" xfId="0" applyFont="1" applyBorder="1" applyAlignment="1">
      <alignment horizontal="center"/>
    </xf>
    <xf numFmtId="0" fontId="37" fillId="0" borderId="28" xfId="0" applyFont="1" applyBorder="1" applyAlignment="1">
      <alignment horizontal="center"/>
    </xf>
    <xf numFmtId="0" fontId="37" fillId="0" borderId="11" xfId="0" applyFont="1" applyBorder="1" applyAlignment="1">
      <alignment horizontal="center"/>
    </xf>
    <xf numFmtId="0" fontId="37" fillId="0" borderId="22" xfId="0" applyFont="1" applyBorder="1" applyAlignment="1">
      <alignment horizontal="center"/>
    </xf>
    <xf numFmtId="0" fontId="37" fillId="0" borderId="48" xfId="0" applyFont="1" applyBorder="1" applyAlignment="1">
      <alignment horizontal="center"/>
    </xf>
    <xf numFmtId="0" fontId="37" fillId="0" borderId="12" xfId="0" applyFont="1" applyBorder="1" applyAlignment="1">
      <alignment horizontal="center"/>
    </xf>
    <xf numFmtId="0" fontId="40" fillId="0" borderId="51" xfId="0" applyFont="1" applyBorder="1" applyAlignment="1">
      <alignment horizontal="center"/>
    </xf>
    <xf numFmtId="0" fontId="40" fillId="0" borderId="44" xfId="0" applyFont="1" applyBorder="1" applyAlignment="1">
      <alignment horizontal="center"/>
    </xf>
    <xf numFmtId="0" fontId="40" fillId="0" borderId="45" xfId="0" applyFont="1" applyBorder="1" applyAlignment="1">
      <alignment horizontal="center"/>
    </xf>
    <xf numFmtId="0" fontId="37" fillId="0" borderId="10" xfId="0" applyFont="1" applyBorder="1" applyAlignment="1">
      <alignment horizontal="center"/>
    </xf>
    <xf numFmtId="0" fontId="39" fillId="31" borderId="0" xfId="0" applyFont="1" applyFill="1" applyAlignment="1">
      <alignment horizontal="center" wrapText="1"/>
    </xf>
    <xf numFmtId="0" fontId="40" fillId="0" borderId="15" xfId="0" applyFont="1" applyBorder="1" applyAlignment="1">
      <alignment horizontal="center"/>
    </xf>
    <xf numFmtId="0" fontId="40" fillId="0" borderId="0" xfId="0" applyFont="1" applyAlignment="1">
      <alignment horizontal="center"/>
    </xf>
    <xf numFmtId="0" fontId="40" fillId="0" borderId="11" xfId="0" applyFont="1" applyBorder="1" applyAlignment="1">
      <alignment horizontal="center"/>
    </xf>
    <xf numFmtId="0" fontId="44" fillId="32" borderId="36" xfId="0" applyFont="1" applyFill="1" applyBorder="1" applyAlignment="1">
      <alignment vertical="center"/>
    </xf>
    <xf numFmtId="0" fontId="44" fillId="32" borderId="15" xfId="0" applyFont="1" applyFill="1" applyBorder="1" applyAlignment="1">
      <alignment vertical="center"/>
    </xf>
    <xf numFmtId="0" fontId="47" fillId="37" borderId="38" xfId="0" applyFont="1" applyFill="1" applyBorder="1" applyAlignment="1">
      <alignment horizontal="center" vertical="center" textRotation="90" wrapText="1"/>
    </xf>
    <xf numFmtId="0" fontId="47" fillId="37" borderId="39" xfId="0" applyFont="1" applyFill="1" applyBorder="1" applyAlignment="1">
      <alignment horizontal="center" vertical="center" textRotation="90" wrapText="1"/>
    </xf>
    <xf numFmtId="0" fontId="47" fillId="37" borderId="42" xfId="0" applyFont="1" applyFill="1" applyBorder="1" applyAlignment="1">
      <alignment horizontal="center" vertical="center" textRotation="90" wrapText="1"/>
    </xf>
    <xf numFmtId="0" fontId="47" fillId="38" borderId="38" xfId="0" applyFont="1" applyFill="1" applyBorder="1" applyAlignment="1">
      <alignment horizontal="center" vertical="center" textRotation="90" wrapText="1"/>
    </xf>
    <xf numFmtId="0" fontId="47" fillId="38" borderId="39" xfId="0" applyFont="1" applyFill="1" applyBorder="1" applyAlignment="1">
      <alignment horizontal="center" vertical="center" textRotation="90" wrapText="1"/>
    </xf>
    <xf numFmtId="0" fontId="47" fillId="38" borderId="42" xfId="0" applyFont="1" applyFill="1" applyBorder="1" applyAlignment="1">
      <alignment horizontal="center" vertical="center" textRotation="90" wrapText="1"/>
    </xf>
    <xf numFmtId="0" fontId="31" fillId="35" borderId="52" xfId="0" applyFont="1" applyFill="1" applyBorder="1" applyAlignment="1">
      <alignment vertical="center" wrapText="1"/>
    </xf>
    <xf numFmtId="0" fontId="31" fillId="35" borderId="45" xfId="0" applyFont="1" applyFill="1" applyBorder="1" applyAlignment="1">
      <alignment vertical="center" wrapText="1"/>
    </xf>
    <xf numFmtId="0" fontId="30" fillId="39" borderId="44" xfId="0" applyFont="1" applyFill="1" applyBorder="1" applyAlignment="1">
      <alignment horizontal="center" vertical="center"/>
    </xf>
    <xf numFmtId="0" fontId="30" fillId="39" borderId="45" xfId="0" applyFont="1" applyFill="1" applyBorder="1" applyAlignment="1">
      <alignment horizontal="center" vertical="center"/>
    </xf>
    <xf numFmtId="0" fontId="40" fillId="24" borderId="44" xfId="0" applyFont="1" applyFill="1" applyBorder="1" applyAlignment="1">
      <alignment horizontal="center"/>
    </xf>
    <xf numFmtId="0" fontId="40" fillId="24" borderId="37" xfId="0" applyFont="1" applyFill="1" applyBorder="1" applyAlignment="1">
      <alignment horizontal="center"/>
    </xf>
    <xf numFmtId="0" fontId="40" fillId="24" borderId="46" xfId="0" applyFont="1" applyFill="1" applyBorder="1" applyAlignment="1">
      <alignment horizontal="center"/>
    </xf>
    <xf numFmtId="0" fontId="40" fillId="0" borderId="34" xfId="0" applyFont="1" applyBorder="1" applyAlignment="1">
      <alignment horizontal="center"/>
    </xf>
    <xf numFmtId="0" fontId="40" fillId="0" borderId="43" xfId="0" applyFont="1" applyBorder="1" applyAlignment="1">
      <alignment horizontal="center"/>
    </xf>
    <xf numFmtId="0" fontId="40" fillId="0" borderId="35" xfId="0" applyFont="1" applyBorder="1" applyAlignment="1">
      <alignment horizontal="center"/>
    </xf>
    <xf numFmtId="0" fontId="40" fillId="0" borderId="18" xfId="0" applyFont="1" applyBorder="1" applyAlignment="1">
      <alignment horizontal="center"/>
    </xf>
    <xf numFmtId="0" fontId="40" fillId="0" borderId="0" xfId="0" applyFont="1" applyBorder="1" applyAlignment="1">
      <alignment horizontal="center"/>
    </xf>
    <xf numFmtId="0" fontId="40" fillId="0" borderId="19" xfId="0" applyFont="1" applyBorder="1" applyAlignment="1">
      <alignment horizontal="center"/>
    </xf>
    <xf numFmtId="0" fontId="31" fillId="0" borderId="0" xfId="0" applyFont="1" applyFill="1" applyBorder="1" applyAlignment="1">
      <alignment vertical="center" wrapText="1"/>
    </xf>
    <xf numFmtId="6" fontId="30" fillId="35" borderId="52" xfId="0" applyNumberFormat="1" applyFont="1" applyFill="1" applyBorder="1" applyAlignment="1">
      <alignment horizontal="center" vertical="center"/>
    </xf>
    <xf numFmtId="6" fontId="30" fillId="35" borderId="44" xfId="0" applyNumberFormat="1" applyFont="1" applyFill="1" applyBorder="1" applyAlignment="1">
      <alignment horizontal="center" vertical="center"/>
    </xf>
    <xf numFmtId="6" fontId="30" fillId="35" borderId="45" xfId="0" applyNumberFormat="1" applyFont="1" applyFill="1" applyBorder="1" applyAlignment="1">
      <alignment horizontal="center" vertical="center"/>
    </xf>
    <xf numFmtId="6" fontId="30" fillId="0" borderId="0" xfId="0" applyNumberFormat="1" applyFont="1" applyFill="1" applyBorder="1" applyAlignment="1">
      <alignment horizontal="center" vertical="center"/>
    </xf>
    <xf numFmtId="0" fontId="31" fillId="0" borderId="0" xfId="0" applyFont="1" applyAlignment="1">
      <alignment vertical="center"/>
    </xf>
    <xf numFmtId="0" fontId="44" fillId="0" borderId="0" xfId="0" applyFont="1" applyAlignment="1">
      <alignment vertical="center"/>
    </xf>
    <xf numFmtId="0" fontId="47" fillId="0" borderId="0" xfId="0" applyFont="1" applyAlignment="1">
      <alignment horizontal="center" vertical="center" textRotation="90" wrapText="1"/>
    </xf>
    <xf numFmtId="0" fontId="30" fillId="0" borderId="0" xfId="0" applyFont="1" applyAlignment="1">
      <alignment horizontal="center" vertical="center"/>
    </xf>
    <xf numFmtId="0" fontId="63" fillId="0" borderId="52" xfId="53" applyFont="1" applyBorder="1" applyAlignment="1">
      <alignment horizontal="center" vertical="center" wrapText="1"/>
    </xf>
    <xf numFmtId="0" fontId="63" fillId="0" borderId="44" xfId="53" applyFont="1" applyBorder="1" applyAlignment="1">
      <alignment horizontal="center" vertical="center" wrapText="1"/>
    </xf>
    <xf numFmtId="0" fontId="62" fillId="0" borderId="52" xfId="53" applyFont="1" applyBorder="1" applyAlignment="1">
      <alignment horizontal="center" vertical="center" wrapText="1"/>
    </xf>
    <xf numFmtId="0" fontId="62" fillId="0" borderId="44" xfId="53" applyFont="1" applyBorder="1" applyAlignment="1">
      <alignment horizontal="center" vertical="center" wrapText="1"/>
    </xf>
    <xf numFmtId="0" fontId="62" fillId="0" borderId="52" xfId="53" applyFont="1" applyBorder="1" applyAlignment="1">
      <alignment horizontal="right" vertical="center" wrapText="1"/>
    </xf>
    <xf numFmtId="0" fontId="62" fillId="0" borderId="44" xfId="53" applyFont="1" applyBorder="1" applyAlignment="1">
      <alignment horizontal="right" vertical="center" wrapText="1"/>
    </xf>
  </cellXfs>
  <cellStyles count="54">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urrency" xfId="29" builtinId="4"/>
    <cellStyle name="Currency 2" xfId="30" xr:uid="{00000000-0005-0000-0000-00001D000000}"/>
    <cellStyle name="Currency 3" xfId="31" xr:uid="{00000000-0005-0000-0000-00001E000000}"/>
    <cellStyle name="Currency 4" xfId="32" xr:uid="{00000000-0005-0000-0000-00001F000000}"/>
    <cellStyle name="Currency 5" xfId="33" xr:uid="{00000000-0005-0000-0000-000020000000}"/>
    <cellStyle name="Explanatory Text 2" xfId="34" xr:uid="{00000000-0005-0000-0000-000021000000}"/>
    <cellStyle name="Good 2" xfId="35" xr:uid="{00000000-0005-0000-0000-000022000000}"/>
    <cellStyle name="Heading 1 2" xfId="36" xr:uid="{00000000-0005-0000-0000-000023000000}"/>
    <cellStyle name="Heading 2 2" xfId="37" xr:uid="{00000000-0005-0000-0000-000024000000}"/>
    <cellStyle name="Heading 3 2" xfId="38" xr:uid="{00000000-0005-0000-0000-000025000000}"/>
    <cellStyle name="Heading 4 2" xfId="39" xr:uid="{00000000-0005-0000-0000-000026000000}"/>
    <cellStyle name="Hyperlink" xfId="40" builtinId="8"/>
    <cellStyle name="Input 2" xfId="41" xr:uid="{00000000-0005-0000-0000-000028000000}"/>
    <cellStyle name="Linked Cell 2" xfId="42" xr:uid="{00000000-0005-0000-0000-000029000000}"/>
    <cellStyle name="Neutral 2" xfId="43" xr:uid="{00000000-0005-0000-0000-00002A000000}"/>
    <cellStyle name="Normal" xfId="0" builtinId="0"/>
    <cellStyle name="Normal 2" xfId="44" xr:uid="{00000000-0005-0000-0000-00002C000000}"/>
    <cellStyle name="Normal 3" xfId="45" xr:uid="{00000000-0005-0000-0000-00002D000000}"/>
    <cellStyle name="Normal 4" xfId="53" xr:uid="{C8D0EF4C-1AFC-450B-8FA6-E5307FA76555}"/>
    <cellStyle name="Note 2" xfId="46" xr:uid="{00000000-0005-0000-0000-00002E000000}"/>
    <cellStyle name="Output 2" xfId="47" xr:uid="{00000000-0005-0000-0000-00002F000000}"/>
    <cellStyle name="Percent" xfId="48" builtinId="5"/>
    <cellStyle name="Title 2" xfId="49" xr:uid="{00000000-0005-0000-0000-000031000000}"/>
    <cellStyle name="Total 2" xfId="50" xr:uid="{00000000-0005-0000-0000-000032000000}"/>
    <cellStyle name="Total 3" xfId="51" xr:uid="{00000000-0005-0000-0000-000033000000}"/>
    <cellStyle name="Warning Text 2" xfId="52" xr:uid="{00000000-0005-0000-0000-00003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1066800</xdr:colOff>
      <xdr:row>61</xdr:row>
      <xdr:rowOff>114300</xdr:rowOff>
    </xdr:from>
    <xdr:to>
      <xdr:col>0</xdr:col>
      <xdr:colOff>2712720</xdr:colOff>
      <xdr:row>61</xdr:row>
      <xdr:rowOff>114300</xdr:rowOff>
    </xdr:to>
    <xdr:sp macro="" textlink="">
      <xdr:nvSpPr>
        <xdr:cNvPr id="28061" name="Line 1">
          <a:extLst>
            <a:ext uri="{FF2B5EF4-FFF2-40B4-BE49-F238E27FC236}">
              <a16:creationId xmlns:a16="http://schemas.microsoft.com/office/drawing/2014/main" id="{00000000-0008-0000-0200-00009D6D0000}"/>
            </a:ext>
          </a:extLst>
        </xdr:cNvPr>
        <xdr:cNvSpPr>
          <a:spLocks noChangeShapeType="1"/>
        </xdr:cNvSpPr>
      </xdr:nvSpPr>
      <xdr:spPr bwMode="auto">
        <a:xfrm>
          <a:off x="1066800" y="5048250"/>
          <a:ext cx="164592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790574</xdr:colOff>
      <xdr:row>62</xdr:row>
      <xdr:rowOff>104775</xdr:rowOff>
    </xdr:from>
    <xdr:to>
      <xdr:col>0</xdr:col>
      <xdr:colOff>2710814</xdr:colOff>
      <xdr:row>62</xdr:row>
      <xdr:rowOff>104775</xdr:rowOff>
    </xdr:to>
    <xdr:sp macro="" textlink="">
      <xdr:nvSpPr>
        <xdr:cNvPr id="28062" name="Line 2">
          <a:extLst>
            <a:ext uri="{FF2B5EF4-FFF2-40B4-BE49-F238E27FC236}">
              <a16:creationId xmlns:a16="http://schemas.microsoft.com/office/drawing/2014/main" id="{00000000-0008-0000-0200-00009E6D0000}"/>
            </a:ext>
          </a:extLst>
        </xdr:cNvPr>
        <xdr:cNvSpPr>
          <a:spLocks noChangeShapeType="1"/>
        </xdr:cNvSpPr>
      </xdr:nvSpPr>
      <xdr:spPr bwMode="auto">
        <a:xfrm>
          <a:off x="790574" y="5229225"/>
          <a:ext cx="192024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1066800</xdr:colOff>
      <xdr:row>13</xdr:row>
      <xdr:rowOff>114300</xdr:rowOff>
    </xdr:from>
    <xdr:to>
      <xdr:col>0</xdr:col>
      <xdr:colOff>2712720</xdr:colOff>
      <xdr:row>13</xdr:row>
      <xdr:rowOff>114300</xdr:rowOff>
    </xdr:to>
    <xdr:sp macro="" textlink="">
      <xdr:nvSpPr>
        <xdr:cNvPr id="28063" name="Line 3">
          <a:extLst>
            <a:ext uri="{FF2B5EF4-FFF2-40B4-BE49-F238E27FC236}">
              <a16:creationId xmlns:a16="http://schemas.microsoft.com/office/drawing/2014/main" id="{00000000-0008-0000-0200-00009F6D0000}"/>
            </a:ext>
          </a:extLst>
        </xdr:cNvPr>
        <xdr:cNvSpPr>
          <a:spLocks noChangeShapeType="1"/>
        </xdr:cNvSpPr>
      </xdr:nvSpPr>
      <xdr:spPr bwMode="auto">
        <a:xfrm>
          <a:off x="1066800" y="2419350"/>
          <a:ext cx="164592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838199</xdr:colOff>
      <xdr:row>14</xdr:row>
      <xdr:rowOff>104775</xdr:rowOff>
    </xdr:from>
    <xdr:to>
      <xdr:col>0</xdr:col>
      <xdr:colOff>2712719</xdr:colOff>
      <xdr:row>14</xdr:row>
      <xdr:rowOff>104775</xdr:rowOff>
    </xdr:to>
    <xdr:sp macro="" textlink="">
      <xdr:nvSpPr>
        <xdr:cNvPr id="28064" name="Line 4">
          <a:extLst>
            <a:ext uri="{FF2B5EF4-FFF2-40B4-BE49-F238E27FC236}">
              <a16:creationId xmlns:a16="http://schemas.microsoft.com/office/drawing/2014/main" id="{00000000-0008-0000-0200-0000A06D0000}"/>
            </a:ext>
          </a:extLst>
        </xdr:cNvPr>
        <xdr:cNvSpPr>
          <a:spLocks noChangeShapeType="1"/>
        </xdr:cNvSpPr>
      </xdr:nvSpPr>
      <xdr:spPr bwMode="auto">
        <a:xfrm>
          <a:off x="838199" y="2600325"/>
          <a:ext cx="187452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41</xdr:col>
      <xdr:colOff>503959</xdr:colOff>
      <xdr:row>11</xdr:row>
      <xdr:rowOff>77066</xdr:rowOff>
    </xdr:from>
    <xdr:to>
      <xdr:col>56</xdr:col>
      <xdr:colOff>489469</xdr:colOff>
      <xdr:row>34</xdr:row>
      <xdr:rowOff>70716</xdr:rowOff>
    </xdr:to>
    <xdr:pic>
      <xdr:nvPicPr>
        <xdr:cNvPr id="13538" name="Picture 2">
          <a:extLst>
            <a:ext uri="{FF2B5EF4-FFF2-40B4-BE49-F238E27FC236}">
              <a16:creationId xmlns:a16="http://schemas.microsoft.com/office/drawing/2014/main" id="{00000000-0008-0000-0400-0000E23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236073" y="2172566"/>
          <a:ext cx="9767108" cy="437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16</xdr:col>
      <xdr:colOff>272912</xdr:colOff>
      <xdr:row>0</xdr:row>
      <xdr:rowOff>0</xdr:rowOff>
    </xdr:from>
    <xdr:to>
      <xdr:col>23</xdr:col>
      <xdr:colOff>187877</xdr:colOff>
      <xdr:row>26</xdr:row>
      <xdr:rowOff>127745</xdr:rowOff>
    </xdr:to>
    <xdr:pic>
      <xdr:nvPicPr>
        <xdr:cNvPr id="30909" name="Picture 1">
          <a:extLst>
            <a:ext uri="{FF2B5EF4-FFF2-40B4-BE49-F238E27FC236}">
              <a16:creationId xmlns:a16="http://schemas.microsoft.com/office/drawing/2014/main" id="{00000000-0008-0000-0A00-0000BD7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23282" y="0"/>
          <a:ext cx="7200485" cy="50775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282386</xdr:colOff>
      <xdr:row>0</xdr:row>
      <xdr:rowOff>37353</xdr:rowOff>
    </xdr:from>
    <xdr:to>
      <xdr:col>15</xdr:col>
      <xdr:colOff>784036</xdr:colOff>
      <xdr:row>23</xdr:row>
      <xdr:rowOff>14568</xdr:rowOff>
    </xdr:to>
    <xdr:pic>
      <xdr:nvPicPr>
        <xdr:cNvPr id="30910" name="Picture 4">
          <a:extLst>
            <a:ext uri="{FF2B5EF4-FFF2-40B4-BE49-F238E27FC236}">
              <a16:creationId xmlns:a16="http://schemas.microsoft.com/office/drawing/2014/main" id="{00000000-0008-0000-0A00-0000BE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249210" y="37353"/>
          <a:ext cx="8764120" cy="4437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23</xdr:col>
      <xdr:colOff>401955</xdr:colOff>
      <xdr:row>1</xdr:row>
      <xdr:rowOff>151658</xdr:rowOff>
    </xdr:from>
    <xdr:to>
      <xdr:col>34</xdr:col>
      <xdr:colOff>97155</xdr:colOff>
      <xdr:row>25</xdr:row>
      <xdr:rowOff>145522</xdr:rowOff>
    </xdr:to>
    <xdr:pic>
      <xdr:nvPicPr>
        <xdr:cNvPr id="7532" name="Picture 1">
          <a:extLst>
            <a:ext uri="{FF2B5EF4-FFF2-40B4-BE49-F238E27FC236}">
              <a16:creationId xmlns:a16="http://schemas.microsoft.com/office/drawing/2014/main" id="{00000000-0008-0000-0B00-00006C1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19775805" y="313583"/>
          <a:ext cx="6616065" cy="63127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676275</xdr:colOff>
      <xdr:row>23</xdr:row>
      <xdr:rowOff>30480</xdr:rowOff>
    </xdr:from>
    <xdr:to>
      <xdr:col>28</xdr:col>
      <xdr:colOff>571500</xdr:colOff>
      <xdr:row>45</xdr:row>
      <xdr:rowOff>66675</xdr:rowOff>
    </xdr:to>
    <xdr:pic>
      <xdr:nvPicPr>
        <xdr:cNvPr id="7533" name="Picture 2">
          <a:extLst>
            <a:ext uri="{FF2B5EF4-FFF2-40B4-BE49-F238E27FC236}">
              <a16:creationId xmlns:a16="http://schemas.microsoft.com/office/drawing/2014/main" id="{00000000-0008-0000-0B00-00006D1D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496675" y="5554980"/>
          <a:ext cx="9753600" cy="45129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T:\Finance%20Share\Energy%20Efficiency%20Utility\EEC%20Collections%20for%20fiscal%20agent\CY%202020\2020-09%20EEC%20collections\EEC%20Payment%20Worksheet%20%20-%20Sept%20EEC%20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T:\Finance%20Share\Energy%20Efficiency%20Utility\EEC%20Collections%20for%20fiscal%20agent\CY%202020\2020-10%20EEC%20collections\EEC%20Payment%20Worksheet%20%20-%20Oct%20EEC%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pt0RevRep"/>
      <sheetName val="worksheet"/>
      <sheetName val="Payment Form"/>
      <sheetName val="Pmt Form CY 2014"/>
      <sheetName val="Historical Rates"/>
      <sheetName val="Compatibility Report"/>
    </sheetNames>
    <sheetDataSet>
      <sheetData sheetId="0"/>
      <sheetData sheetId="1"/>
      <sheetData sheetId="2">
        <row r="22">
          <cell r="E22">
            <v>7700127.3378076069</v>
          </cell>
          <cell r="J22">
            <v>68839.14</v>
          </cell>
        </row>
        <row r="25">
          <cell r="E25">
            <v>1244913</v>
          </cell>
          <cell r="J25">
            <v>10805.84</v>
          </cell>
        </row>
        <row r="27">
          <cell r="E27">
            <v>15689657</v>
          </cell>
          <cell r="J27">
            <v>82527.600000000006</v>
          </cell>
        </row>
        <row r="29">
          <cell r="E29">
            <v>38904.670000000006</v>
          </cell>
          <cell r="J29">
            <v>52466.84</v>
          </cell>
        </row>
        <row r="33">
          <cell r="E33">
            <v>4010098</v>
          </cell>
          <cell r="J33">
            <v>14917.56</v>
          </cell>
        </row>
        <row r="35">
          <cell r="E35">
            <v>7638.4</v>
          </cell>
          <cell r="J35">
            <v>10879.37</v>
          </cell>
        </row>
        <row r="38">
          <cell r="E38">
            <v>170369</v>
          </cell>
          <cell r="J38">
            <v>1482.21</v>
          </cell>
        </row>
      </sheetData>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pt0RevRep"/>
      <sheetName val="worksheet"/>
      <sheetName val="Payment Form"/>
      <sheetName val="Pmt Form CY 2014"/>
      <sheetName val="Historical Rates"/>
      <sheetName val="Compatibility Report"/>
    </sheetNames>
    <sheetDataSet>
      <sheetData sheetId="0"/>
      <sheetData sheetId="1"/>
      <sheetData sheetId="2">
        <row r="22">
          <cell r="E22">
            <v>6122555.0223713601</v>
          </cell>
          <cell r="J22">
            <v>54735.64</v>
          </cell>
        </row>
        <row r="25">
          <cell r="E25">
            <v>1097015</v>
          </cell>
          <cell r="J25">
            <v>9522.09</v>
          </cell>
        </row>
        <row r="27">
          <cell r="E27">
            <v>13822250</v>
          </cell>
          <cell r="J27">
            <v>72705.039999999994</v>
          </cell>
        </row>
        <row r="29">
          <cell r="E29">
            <v>37344.660000000003</v>
          </cell>
          <cell r="J29">
            <v>50363.01</v>
          </cell>
        </row>
        <row r="33">
          <cell r="E33">
            <v>3570215</v>
          </cell>
          <cell r="J33">
            <v>13281.2</v>
          </cell>
        </row>
        <row r="35">
          <cell r="E35">
            <v>7489.92</v>
          </cell>
          <cell r="J35">
            <v>10667.89</v>
          </cell>
        </row>
        <row r="38">
          <cell r="E38">
            <v>199651</v>
          </cell>
          <cell r="J38">
            <v>1736.96</v>
          </cell>
        </row>
      </sheetData>
      <sheetData sheetId="3"/>
      <sheetData sheetId="4"/>
      <sheetData sheetId="5"/>
    </sheetDataSet>
  </externalBook>
</externalLink>
</file>

<file path=xl/persons/person.xml><?xml version="1.0" encoding="utf-8"?>
<personList xmlns="http://schemas.microsoft.com/office/spreadsheetml/2018/threadedcomments" xmlns:x="http://schemas.openxmlformats.org/spreadsheetml/2006/main">
  <person displayName="Amanda Hurlbut" id="{DD5BCF96-160C-48D0-BAC6-949154620E9A}" userId="S::ahurlbut@burlingtonelectric.com::70d77180-282a-4ad5-a415-ef700192b4a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S40" dT="2022-09-26T13:45:39.45" personId="{DD5BCF96-160C-48D0-BAC6-949154620E9A}" id="{A682D0F5-5FD5-4374-9DAF-E714B90F75EE}">
    <text>Amanda updated green highlighted cells 9/26 with 2022 amounts</text>
  </threadedComment>
</ThreadedComment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microsoft.com/office/2017/10/relationships/threadedComment" Target="../threadedComments/threadedComment1.xml"/><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7.bin"/><Relationship Id="rId4" Type="http://schemas.openxmlformats.org/officeDocument/2006/relationships/comments" Target="../comments3.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8.bin"/><Relationship Id="rId1" Type="http://schemas.openxmlformats.org/officeDocument/2006/relationships/hyperlink" Target="https://www.burlingtonelectric.com/bed-rates-fees/" TargetMode="External"/><Relationship Id="rId5" Type="http://schemas.openxmlformats.org/officeDocument/2006/relationships/comments" Target="../comments4.xml"/><Relationship Id="rId4" Type="http://schemas.openxmlformats.org/officeDocument/2006/relationships/vmlDrawing" Target="../drawings/vmlDrawing4.v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
  <sheetViews>
    <sheetView workbookViewId="0">
      <selection activeCell="I19" sqref="I19"/>
    </sheetView>
  </sheetViews>
  <sheetFormatPr defaultRowHeight="12.75" x14ac:dyDescent="0.2"/>
  <cols>
    <col min="1" max="1" width="18.85546875" customWidth="1"/>
    <col min="2" max="2" width="41.85546875" customWidth="1"/>
    <col min="6" max="6" width="13.28515625" customWidth="1"/>
    <col min="7" max="7" width="28" customWidth="1"/>
    <col min="9" max="9" width="12.42578125" customWidth="1"/>
    <col min="10" max="10" width="24.7109375" customWidth="1"/>
    <col min="11" max="11" width="24.28515625" customWidth="1"/>
  </cols>
  <sheetData>
    <row r="1" spans="1:11" ht="25.5" x14ac:dyDescent="0.2">
      <c r="A1" s="510" t="s">
        <v>381</v>
      </c>
      <c r="B1" s="386" t="s">
        <v>396</v>
      </c>
      <c r="F1" s="394" t="s">
        <v>408</v>
      </c>
      <c r="G1" s="394" t="s">
        <v>409</v>
      </c>
      <c r="H1" s="394" t="s">
        <v>410</v>
      </c>
      <c r="I1" s="394" t="s">
        <v>411</v>
      </c>
      <c r="J1" s="394" t="s">
        <v>412</v>
      </c>
      <c r="K1" s="394" t="s">
        <v>413</v>
      </c>
    </row>
    <row r="2" spans="1:11" x14ac:dyDescent="0.2">
      <c r="A2" s="510"/>
      <c r="B2" s="385" t="s">
        <v>382</v>
      </c>
      <c r="F2" s="385" t="s">
        <v>415</v>
      </c>
      <c r="G2" s="385" t="s">
        <v>414</v>
      </c>
      <c r="H2" s="385"/>
      <c r="I2" s="385"/>
      <c r="J2" s="385"/>
      <c r="K2" s="385" t="s">
        <v>416</v>
      </c>
    </row>
    <row r="3" spans="1:11" ht="25.5" x14ac:dyDescent="0.2">
      <c r="A3" s="511" t="s">
        <v>383</v>
      </c>
      <c r="B3" s="385" t="s">
        <v>384</v>
      </c>
      <c r="F3" s="385" t="s">
        <v>439</v>
      </c>
      <c r="G3" s="385" t="s">
        <v>417</v>
      </c>
      <c r="H3" s="385"/>
      <c r="I3" s="385" t="s">
        <v>418</v>
      </c>
      <c r="J3" s="386" t="s">
        <v>419</v>
      </c>
      <c r="K3" s="385" t="s">
        <v>420</v>
      </c>
    </row>
    <row r="4" spans="1:11" ht="25.5" x14ac:dyDescent="0.2">
      <c r="A4" s="511"/>
      <c r="B4" s="385" t="s">
        <v>385</v>
      </c>
      <c r="F4" s="385" t="s">
        <v>415</v>
      </c>
      <c r="G4" s="385" t="s">
        <v>417</v>
      </c>
      <c r="H4" s="385"/>
      <c r="I4" s="385" t="s">
        <v>421</v>
      </c>
      <c r="J4" s="386" t="s">
        <v>422</v>
      </c>
      <c r="K4" s="385"/>
    </row>
    <row r="5" spans="1:11" ht="63.75" x14ac:dyDescent="0.2">
      <c r="A5" s="511"/>
      <c r="B5" s="385" t="s">
        <v>386</v>
      </c>
      <c r="F5" s="385" t="s">
        <v>439</v>
      </c>
      <c r="G5" s="385" t="s">
        <v>423</v>
      </c>
      <c r="H5" s="385" t="s">
        <v>97</v>
      </c>
      <c r="I5" s="395" t="s">
        <v>425</v>
      </c>
      <c r="J5" s="386" t="s">
        <v>427</v>
      </c>
      <c r="K5" s="386" t="s">
        <v>426</v>
      </c>
    </row>
    <row r="6" spans="1:11" ht="38.25" x14ac:dyDescent="0.2">
      <c r="A6" s="511"/>
      <c r="B6" s="385" t="s">
        <v>387</v>
      </c>
      <c r="F6" s="385" t="s">
        <v>439</v>
      </c>
      <c r="G6" s="385" t="s">
        <v>423</v>
      </c>
      <c r="H6" s="385" t="s">
        <v>101</v>
      </c>
      <c r="I6" s="396" t="s">
        <v>424</v>
      </c>
      <c r="J6" s="386" t="s">
        <v>428</v>
      </c>
      <c r="K6" s="385" t="s">
        <v>429</v>
      </c>
    </row>
    <row r="7" spans="1:11" ht="25.5" x14ac:dyDescent="0.2">
      <c r="A7" s="511"/>
      <c r="B7" s="385" t="s">
        <v>388</v>
      </c>
      <c r="F7" s="385" t="s">
        <v>439</v>
      </c>
      <c r="G7" s="385" t="s">
        <v>423</v>
      </c>
      <c r="H7" s="385" t="s">
        <v>107</v>
      </c>
      <c r="I7" s="396" t="s">
        <v>430</v>
      </c>
      <c r="J7" s="386" t="s">
        <v>431</v>
      </c>
      <c r="K7" s="385" t="s">
        <v>432</v>
      </c>
    </row>
    <row r="8" spans="1:11" ht="51" x14ac:dyDescent="0.2">
      <c r="A8" s="512" t="s">
        <v>389</v>
      </c>
      <c r="B8" s="385" t="s">
        <v>390</v>
      </c>
      <c r="F8" s="385" t="s">
        <v>439</v>
      </c>
      <c r="G8" s="385" t="s">
        <v>423</v>
      </c>
      <c r="H8" s="385" t="s">
        <v>433</v>
      </c>
      <c r="I8" s="385">
        <v>8</v>
      </c>
      <c r="J8" s="386" t="s">
        <v>434</v>
      </c>
      <c r="K8" s="385" t="s">
        <v>432</v>
      </c>
    </row>
    <row r="9" spans="1:11" ht="38.25" x14ac:dyDescent="0.2">
      <c r="A9" s="512"/>
      <c r="B9" s="385" t="s">
        <v>391</v>
      </c>
      <c r="F9" s="385" t="s">
        <v>439</v>
      </c>
      <c r="G9" s="385" t="s">
        <v>423</v>
      </c>
      <c r="H9" s="385" t="s">
        <v>435</v>
      </c>
      <c r="I9" s="396" t="s">
        <v>436</v>
      </c>
      <c r="J9" s="386" t="s">
        <v>437</v>
      </c>
      <c r="K9" s="386" t="s">
        <v>438</v>
      </c>
    </row>
    <row r="10" spans="1:11" x14ac:dyDescent="0.2">
      <c r="A10" s="512"/>
      <c r="B10" s="385" t="s">
        <v>392</v>
      </c>
    </row>
    <row r="11" spans="1:11" x14ac:dyDescent="0.2">
      <c r="A11" s="510" t="s">
        <v>393</v>
      </c>
      <c r="B11" s="385" t="s">
        <v>394</v>
      </c>
    </row>
    <row r="12" spans="1:11" x14ac:dyDescent="0.2">
      <c r="A12" s="510"/>
      <c r="B12" s="385" t="s">
        <v>395</v>
      </c>
    </row>
  </sheetData>
  <mergeCells count="4">
    <mergeCell ref="A1:A2"/>
    <mergeCell ref="A3:A7"/>
    <mergeCell ref="A8:A10"/>
    <mergeCell ref="A11:A1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AF43"/>
  <sheetViews>
    <sheetView showGridLines="0" tabSelected="1" zoomScaleNormal="100" workbookViewId="0">
      <pane ySplit="3" topLeftCell="A4" activePane="bottomLeft" state="frozen"/>
      <selection pane="bottomLeft" activeCell="B15" sqref="B15"/>
    </sheetView>
  </sheetViews>
  <sheetFormatPr defaultRowHeight="12.75" x14ac:dyDescent="0.2"/>
  <cols>
    <col min="1" max="1" width="17.85546875" customWidth="1"/>
    <col min="2" max="2" width="10.42578125" bestFit="1" customWidth="1"/>
    <col min="3" max="3" width="12.7109375" bestFit="1" customWidth="1"/>
    <col min="4" max="4" width="10.42578125" bestFit="1" customWidth="1"/>
    <col min="5" max="5" width="12.140625" bestFit="1" customWidth="1"/>
    <col min="6" max="8" width="13.28515625" bestFit="1" customWidth="1"/>
    <col min="9" max="9" width="12.7109375" bestFit="1" customWidth="1"/>
    <col min="10" max="10" width="8.85546875" bestFit="1" customWidth="1"/>
    <col min="11" max="11" width="12.140625" customWidth="1"/>
    <col min="12" max="12" width="9.85546875" bestFit="1" customWidth="1"/>
    <col min="13" max="14" width="9.28515625" bestFit="1" customWidth="1"/>
    <col min="15" max="15" width="13.7109375" bestFit="1" customWidth="1"/>
    <col min="16" max="16" width="11.7109375" bestFit="1" customWidth="1"/>
    <col min="17" max="17" width="12" bestFit="1" customWidth="1"/>
    <col min="18" max="18" width="13" bestFit="1" customWidth="1"/>
    <col min="19" max="19" width="11.85546875" bestFit="1" customWidth="1"/>
    <col min="23" max="23" width="10.7109375" bestFit="1" customWidth="1"/>
    <col min="25" max="25" width="11.7109375" bestFit="1" customWidth="1"/>
    <col min="26" max="26" width="14" bestFit="1" customWidth="1"/>
  </cols>
  <sheetData>
    <row r="1" spans="1:32" ht="15.75" x14ac:dyDescent="0.25">
      <c r="A1" s="448" t="s">
        <v>485</v>
      </c>
      <c r="C1" s="13"/>
      <c r="D1" s="1"/>
      <c r="E1" s="1"/>
      <c r="F1" s="1"/>
      <c r="G1" s="1"/>
      <c r="H1" s="1"/>
      <c r="I1" s="1"/>
      <c r="J1" s="1"/>
      <c r="K1" s="1"/>
      <c r="L1" s="1"/>
      <c r="M1" s="1"/>
      <c r="N1" s="1"/>
      <c r="O1" s="1"/>
    </row>
    <row r="2" spans="1:32" ht="15" x14ac:dyDescent="0.25">
      <c r="A2" s="12"/>
      <c r="B2" s="12"/>
      <c r="C2" s="13" t="s">
        <v>459</v>
      </c>
      <c r="D2" s="13" t="s">
        <v>478</v>
      </c>
      <c r="E2" s="13" t="s">
        <v>0</v>
      </c>
      <c r="F2" s="13" t="s">
        <v>0</v>
      </c>
      <c r="G2" s="13" t="s">
        <v>0</v>
      </c>
      <c r="H2" s="13" t="s">
        <v>0</v>
      </c>
      <c r="I2" s="56" t="s">
        <v>460</v>
      </c>
      <c r="J2" s="13" t="s">
        <v>460</v>
      </c>
      <c r="K2" s="13" t="s">
        <v>460</v>
      </c>
      <c r="L2" s="56" t="s">
        <v>480</v>
      </c>
      <c r="M2" s="13" t="s">
        <v>480</v>
      </c>
      <c r="N2" s="13" t="s">
        <v>480</v>
      </c>
      <c r="O2" s="13" t="s">
        <v>484</v>
      </c>
      <c r="P2" s="1"/>
      <c r="Q2" s="1"/>
    </row>
    <row r="3" spans="1:32" ht="17.25" x14ac:dyDescent="0.25">
      <c r="A3" s="398" t="s">
        <v>374</v>
      </c>
      <c r="B3" s="398" t="s">
        <v>442</v>
      </c>
      <c r="C3" s="399" t="s">
        <v>477</v>
      </c>
      <c r="D3" s="399" t="s">
        <v>477</v>
      </c>
      <c r="E3" s="399" t="s">
        <v>472</v>
      </c>
      <c r="F3" s="399" t="s">
        <v>473</v>
      </c>
      <c r="G3" s="399" t="s">
        <v>474</v>
      </c>
      <c r="H3" s="399" t="s">
        <v>475</v>
      </c>
      <c r="I3" s="418" t="s">
        <v>479</v>
      </c>
      <c r="J3" s="399" t="s">
        <v>495</v>
      </c>
      <c r="K3" s="399" t="s">
        <v>476</v>
      </c>
      <c r="L3" s="418" t="s">
        <v>481</v>
      </c>
      <c r="M3" s="399" t="s">
        <v>482</v>
      </c>
      <c r="N3" s="399" t="s">
        <v>483</v>
      </c>
      <c r="O3" s="399" t="s">
        <v>494</v>
      </c>
      <c r="P3" s="1"/>
      <c r="Q3" s="1"/>
    </row>
    <row r="4" spans="1:32" ht="15" x14ac:dyDescent="0.25">
      <c r="A4" s="1"/>
      <c r="B4" s="13"/>
      <c r="C4" s="13"/>
      <c r="D4" s="435"/>
      <c r="E4" s="13"/>
      <c r="F4" s="435"/>
      <c r="G4" s="13"/>
      <c r="H4" s="13"/>
      <c r="I4" s="56"/>
      <c r="J4" s="13"/>
      <c r="K4" s="13"/>
      <c r="L4" s="436"/>
      <c r="M4" s="13"/>
      <c r="N4" s="13"/>
      <c r="O4" s="13"/>
      <c r="P4" s="1"/>
      <c r="Q4" s="1"/>
    </row>
    <row r="5" spans="1:32" ht="15" x14ac:dyDescent="0.25">
      <c r="A5" s="229" t="s">
        <v>3</v>
      </c>
      <c r="B5" s="229"/>
      <c r="C5" s="229"/>
      <c r="D5" s="229"/>
      <c r="E5" s="229"/>
      <c r="F5" s="229"/>
      <c r="G5" s="229"/>
      <c r="H5" s="229"/>
      <c r="I5" s="426"/>
      <c r="J5" s="229"/>
      <c r="K5" s="229"/>
      <c r="L5" s="130"/>
      <c r="M5" s="1"/>
      <c r="N5" s="1"/>
      <c r="O5" s="1"/>
      <c r="P5" s="1"/>
      <c r="Q5" s="1"/>
      <c r="V5" s="239"/>
      <c r="W5" s="239"/>
      <c r="X5" s="239"/>
      <c r="Y5" s="239"/>
      <c r="Z5" s="239"/>
      <c r="AA5" s="239"/>
      <c r="AB5" s="239"/>
      <c r="AC5" s="239"/>
      <c r="AD5" s="239"/>
      <c r="AE5" s="239"/>
      <c r="AF5" s="239"/>
    </row>
    <row r="6" spans="1:32" ht="15" x14ac:dyDescent="0.25">
      <c r="A6" s="1" t="s">
        <v>358</v>
      </c>
      <c r="B6" s="439">
        <v>17186.080000000002</v>
      </c>
      <c r="C6" s="439">
        <v>87566652.930000007</v>
      </c>
      <c r="D6" s="439">
        <v>158148.68</v>
      </c>
      <c r="E6" s="440">
        <v>1692302.46</v>
      </c>
      <c r="F6" s="3">
        <f>+H6-E6-G6</f>
        <v>12496992.289999999</v>
      </c>
      <c r="G6" s="440">
        <v>0</v>
      </c>
      <c r="H6" s="440">
        <v>14189294.749999998</v>
      </c>
      <c r="I6" s="130">
        <f>+C6+D6</f>
        <v>87724801.610000014</v>
      </c>
      <c r="J6" s="439">
        <v>0</v>
      </c>
      <c r="K6" s="440">
        <v>784254.5399999998</v>
      </c>
      <c r="L6" s="443">
        <v>6.8999999999999999E-3</v>
      </c>
      <c r="M6" s="338">
        <v>0</v>
      </c>
      <c r="N6" s="338">
        <v>0</v>
      </c>
      <c r="O6" s="404">
        <f>I6*L6+J6*M6+B6*N6*12</f>
        <v>605301.13110900007</v>
      </c>
      <c r="P6" s="1"/>
      <c r="Q6" s="1"/>
    </row>
    <row r="7" spans="1:32" ht="15" x14ac:dyDescent="0.25">
      <c r="A7" s="1" t="s">
        <v>359</v>
      </c>
      <c r="B7" s="439">
        <v>40.75</v>
      </c>
      <c r="C7" s="439">
        <v>264381</v>
      </c>
      <c r="D7" s="439">
        <v>0</v>
      </c>
      <c r="E7" s="440">
        <v>6689.52</v>
      </c>
      <c r="F7" s="3">
        <f t="shared" ref="F7:F9" si="0">+H7-E7-G7</f>
        <v>32481.63</v>
      </c>
      <c r="G7" s="440">
        <v>0</v>
      </c>
      <c r="H7" s="440">
        <v>39171.15</v>
      </c>
      <c r="I7" s="130">
        <f>+C7+D7</f>
        <v>264381</v>
      </c>
      <c r="J7" s="439">
        <v>0</v>
      </c>
      <c r="K7" s="440">
        <v>2363.52</v>
      </c>
      <c r="L7" s="443">
        <v>6.8999999999999999E-3</v>
      </c>
      <c r="M7" s="338">
        <v>0</v>
      </c>
      <c r="N7" s="338">
        <v>0</v>
      </c>
      <c r="O7" s="404">
        <f>I7*L7+J7*M7+B7*N7*12</f>
        <v>1824.2289000000001</v>
      </c>
      <c r="P7" s="1"/>
      <c r="Q7" s="1"/>
    </row>
    <row r="8" spans="1:32" ht="17.25" x14ac:dyDescent="0.25">
      <c r="A8" s="1" t="s">
        <v>497</v>
      </c>
      <c r="B8" s="439">
        <v>13</v>
      </c>
      <c r="C8" s="439">
        <v>83742</v>
      </c>
      <c r="D8" s="439">
        <v>0</v>
      </c>
      <c r="E8" s="440">
        <v>1288.97</v>
      </c>
      <c r="F8" s="3">
        <f t="shared" si="0"/>
        <v>12241.720000000003</v>
      </c>
      <c r="G8" s="440">
        <v>0</v>
      </c>
      <c r="H8" s="440">
        <v>13530.690000000002</v>
      </c>
      <c r="I8" s="130">
        <f>+C8+D8</f>
        <v>83742</v>
      </c>
      <c r="J8" s="439">
        <v>0</v>
      </c>
      <c r="K8" s="440">
        <v>658.2399999999999</v>
      </c>
      <c r="L8" s="431">
        <v>0</v>
      </c>
      <c r="M8" s="338">
        <v>0</v>
      </c>
      <c r="N8" s="444">
        <v>2.93</v>
      </c>
      <c r="O8" s="404">
        <f>I8*L8+J8*M8+B8*N8*12</f>
        <v>457.08000000000004</v>
      </c>
      <c r="P8" s="1"/>
      <c r="Q8" s="1"/>
      <c r="U8" s="343"/>
    </row>
    <row r="9" spans="1:32" ht="15" x14ac:dyDescent="0.25">
      <c r="A9" s="11" t="s">
        <v>444</v>
      </c>
      <c r="B9" s="441">
        <v>238.08</v>
      </c>
      <c r="C9" s="441">
        <v>916713</v>
      </c>
      <c r="D9" s="441">
        <v>1191211</v>
      </c>
      <c r="E9" s="442">
        <v>23440.71</v>
      </c>
      <c r="F9" s="417">
        <f t="shared" si="0"/>
        <v>87097.44</v>
      </c>
      <c r="G9" s="442">
        <v>0</v>
      </c>
      <c r="H9" s="442">
        <v>110538.15</v>
      </c>
      <c r="I9" s="427">
        <f>+C9+D9</f>
        <v>2107924</v>
      </c>
      <c r="J9" s="441">
        <v>0</v>
      </c>
      <c r="K9" s="442">
        <v>14302.06</v>
      </c>
      <c r="L9" s="445">
        <v>6.8999999999999999E-3</v>
      </c>
      <c r="M9" s="432">
        <v>0</v>
      </c>
      <c r="N9" s="432">
        <v>0</v>
      </c>
      <c r="O9" s="405">
        <f>I9*L9+J9*M9+B9*N9*12</f>
        <v>14544.6756</v>
      </c>
      <c r="P9" s="1"/>
      <c r="Q9" s="1"/>
      <c r="U9" s="364"/>
      <c r="V9" s="343"/>
    </row>
    <row r="10" spans="1:32" ht="15" x14ac:dyDescent="0.25">
      <c r="A10" s="410" t="s">
        <v>10</v>
      </c>
      <c r="B10" s="406">
        <f t="shared" ref="B10:K10" si="1">SUM(B6:B9)</f>
        <v>17477.910000000003</v>
      </c>
      <c r="C10" s="406">
        <f t="shared" si="1"/>
        <v>88831488.930000007</v>
      </c>
      <c r="D10" s="406">
        <f t="shared" si="1"/>
        <v>1349359.68</v>
      </c>
      <c r="E10" s="407">
        <f>SUM(E6:E9)</f>
        <v>1723721.66</v>
      </c>
      <c r="F10" s="407">
        <f>SUM(F6:F9)</f>
        <v>12628813.08</v>
      </c>
      <c r="G10" s="407">
        <f>SUM(G6:G9)</f>
        <v>0</v>
      </c>
      <c r="H10" s="407">
        <f t="shared" si="1"/>
        <v>14352534.739999998</v>
      </c>
      <c r="I10" s="428">
        <f>SUM(I6:I9)</f>
        <v>90180848.610000014</v>
      </c>
      <c r="J10" s="406">
        <f t="shared" si="1"/>
        <v>0</v>
      </c>
      <c r="K10" s="407">
        <f t="shared" si="1"/>
        <v>801578.35999999987</v>
      </c>
      <c r="L10" s="419"/>
      <c r="M10" s="401"/>
      <c r="N10" s="401"/>
      <c r="O10" s="408">
        <f>SUM(O6:O9)</f>
        <v>622127.11560899997</v>
      </c>
      <c r="P10" s="409">
        <f>O10/I10</f>
        <v>6.8986611370167707E-3</v>
      </c>
      <c r="Q10" s="410" t="s">
        <v>445</v>
      </c>
      <c r="R10" s="416"/>
      <c r="Z10" s="368"/>
    </row>
    <row r="11" spans="1:32" ht="15" x14ac:dyDescent="0.25">
      <c r="A11" s="1"/>
      <c r="B11" s="1"/>
      <c r="C11" s="1"/>
      <c r="D11" s="1"/>
      <c r="E11" s="1"/>
      <c r="F11" s="1"/>
      <c r="G11" s="1"/>
      <c r="H11" s="1"/>
      <c r="I11" s="32"/>
      <c r="J11" s="1"/>
      <c r="K11" s="1"/>
      <c r="L11" s="130"/>
      <c r="M11" s="1"/>
      <c r="N11" s="1"/>
      <c r="O11" s="2"/>
      <c r="P11" s="1"/>
      <c r="Q11" s="1"/>
    </row>
    <row r="12" spans="1:32" ht="15" x14ac:dyDescent="0.25">
      <c r="A12" s="229" t="s">
        <v>373</v>
      </c>
      <c r="B12" s="229"/>
      <c r="C12" s="229"/>
      <c r="D12" s="229"/>
      <c r="E12" s="229"/>
      <c r="F12" s="229"/>
      <c r="G12" s="229"/>
      <c r="H12" s="229"/>
      <c r="I12" s="426"/>
      <c r="J12" s="229"/>
      <c r="K12" s="229"/>
      <c r="L12" s="130"/>
      <c r="M12" s="1"/>
      <c r="N12" s="1"/>
      <c r="O12" s="2"/>
      <c r="P12" s="1"/>
      <c r="Q12" s="1"/>
    </row>
    <row r="13" spans="1:32" ht="15" x14ac:dyDescent="0.25">
      <c r="A13" s="1" t="s">
        <v>493</v>
      </c>
      <c r="B13" s="439">
        <v>3090.17</v>
      </c>
      <c r="C13" s="439">
        <v>15136924.02</v>
      </c>
      <c r="D13" s="439">
        <v>437940.98000000045</v>
      </c>
      <c r="E13" s="440">
        <v>430831.34</v>
      </c>
      <c r="F13" s="3">
        <f t="shared" ref="F13:F16" si="2">+H13-E13-G13</f>
        <v>2441682.6999999997</v>
      </c>
      <c r="G13" s="440">
        <v>0</v>
      </c>
      <c r="H13" s="440">
        <v>2872514.0399999996</v>
      </c>
      <c r="I13" s="130">
        <f>+C13+D13</f>
        <v>15574865</v>
      </c>
      <c r="J13" s="439">
        <v>0</v>
      </c>
      <c r="K13" s="440">
        <v>135191.18999999997</v>
      </c>
      <c r="L13" s="443">
        <v>7.0299999999999998E-3</v>
      </c>
      <c r="M13" s="338">
        <v>0</v>
      </c>
      <c r="N13" s="338">
        <v>0</v>
      </c>
      <c r="O13" s="404">
        <f>I13*L13+J13*M13+B13*N13*12</f>
        <v>109491.30094999999</v>
      </c>
      <c r="P13" s="1"/>
      <c r="Q13" s="1"/>
    </row>
    <row r="14" spans="1:32" ht="15" x14ac:dyDescent="0.25">
      <c r="A14" s="1" t="s">
        <v>360</v>
      </c>
      <c r="B14" s="439">
        <v>7.75</v>
      </c>
      <c r="C14" s="439">
        <v>68433</v>
      </c>
      <c r="D14" s="439">
        <v>0</v>
      </c>
      <c r="E14" s="440">
        <v>2289.66</v>
      </c>
      <c r="F14" s="3">
        <f t="shared" si="2"/>
        <v>9125.4900000000016</v>
      </c>
      <c r="G14" s="440">
        <v>0</v>
      </c>
      <c r="H14" s="440">
        <v>11415.150000000001</v>
      </c>
      <c r="I14" s="130">
        <f>+C14+D14</f>
        <v>68433</v>
      </c>
      <c r="J14" s="439">
        <v>0</v>
      </c>
      <c r="K14" s="440">
        <v>593.99</v>
      </c>
      <c r="L14" s="443">
        <v>7.0299999999999998E-3</v>
      </c>
      <c r="M14" s="338">
        <v>0</v>
      </c>
      <c r="N14" s="338">
        <v>0</v>
      </c>
      <c r="O14" s="404">
        <f>I14*L14+J14*M14+B14*N14*12</f>
        <v>481.08398999999997</v>
      </c>
      <c r="P14" s="1"/>
      <c r="Q14" s="1"/>
    </row>
    <row r="15" spans="1:32" ht="17.25" x14ac:dyDescent="0.25">
      <c r="A15" s="1" t="s">
        <v>496</v>
      </c>
      <c r="B15" s="439">
        <v>3</v>
      </c>
      <c r="C15" s="439">
        <v>33288</v>
      </c>
      <c r="D15" s="439">
        <v>705</v>
      </c>
      <c r="E15" s="440">
        <v>418.32</v>
      </c>
      <c r="F15" s="3">
        <f t="shared" si="2"/>
        <v>5311.76</v>
      </c>
      <c r="G15" s="440">
        <v>0</v>
      </c>
      <c r="H15" s="440">
        <v>5730.08</v>
      </c>
      <c r="I15" s="130">
        <f>+C15+D15</f>
        <v>33993</v>
      </c>
      <c r="J15" s="439">
        <v>0</v>
      </c>
      <c r="K15" s="440">
        <v>229.47000000000006</v>
      </c>
      <c r="L15" s="431">
        <v>0</v>
      </c>
      <c r="M15" s="338">
        <v>0</v>
      </c>
      <c r="N15" s="444">
        <v>2.87</v>
      </c>
      <c r="O15" s="404">
        <f>I15*L15+J15*M15+B15*N15*12</f>
        <v>103.32</v>
      </c>
      <c r="P15" s="1"/>
      <c r="Q15" s="1"/>
      <c r="V15" s="343"/>
    </row>
    <row r="16" spans="1:32" ht="15" x14ac:dyDescent="0.25">
      <c r="A16" s="1" t="s">
        <v>361</v>
      </c>
      <c r="B16" s="439">
        <v>6.25</v>
      </c>
      <c r="C16" s="439">
        <v>27816</v>
      </c>
      <c r="D16" s="439">
        <v>74709</v>
      </c>
      <c r="E16" s="440">
        <v>859.88</v>
      </c>
      <c r="F16" s="3">
        <f t="shared" si="2"/>
        <v>2466.81</v>
      </c>
      <c r="G16" s="440">
        <v>0</v>
      </c>
      <c r="H16" s="440">
        <v>3326.69</v>
      </c>
      <c r="I16" s="130">
        <f>+C16+D16</f>
        <v>102525</v>
      </c>
      <c r="J16" s="439">
        <v>0</v>
      </c>
      <c r="K16" s="440">
        <v>745.23</v>
      </c>
      <c r="L16" s="443">
        <v>7.0299999999999998E-3</v>
      </c>
      <c r="M16" s="338">
        <v>0</v>
      </c>
      <c r="N16" s="338">
        <v>0</v>
      </c>
      <c r="O16" s="404">
        <f>I16*L16+J16*M16+B16*N16*12</f>
        <v>720.75074999999993</v>
      </c>
      <c r="P16" s="1"/>
      <c r="Q16" s="1"/>
      <c r="U16" s="364"/>
      <c r="V16" s="343"/>
    </row>
    <row r="17" spans="1:26" ht="15" x14ac:dyDescent="0.25">
      <c r="A17" s="11" t="s">
        <v>369</v>
      </c>
      <c r="B17" s="441">
        <v>1</v>
      </c>
      <c r="C17" s="441">
        <v>2121657</v>
      </c>
      <c r="D17" s="441">
        <v>0</v>
      </c>
      <c r="E17" s="442">
        <v>0</v>
      </c>
      <c r="F17" s="417">
        <f>+H17-E17-G17</f>
        <v>629603.34142555878</v>
      </c>
      <c r="G17" s="442">
        <v>0</v>
      </c>
      <c r="H17" s="442">
        <v>629603.34142555878</v>
      </c>
      <c r="I17" s="427">
        <f>+C17+D17</f>
        <v>2121657</v>
      </c>
      <c r="J17" s="441">
        <v>0</v>
      </c>
      <c r="K17" s="442">
        <v>18458.417972499999</v>
      </c>
      <c r="L17" s="445">
        <v>7.0000000000000001E-3</v>
      </c>
      <c r="M17" s="432">
        <v>0</v>
      </c>
      <c r="N17" s="432">
        <v>0</v>
      </c>
      <c r="O17" s="405">
        <f>I17*L17+J17*M17+B17*N17*12</f>
        <v>14851.599</v>
      </c>
      <c r="P17" s="402"/>
      <c r="Q17" s="1"/>
      <c r="W17" s="373"/>
      <c r="X17" s="371"/>
      <c r="Y17" s="375"/>
      <c r="Z17" s="368"/>
    </row>
    <row r="18" spans="1:26" ht="15" x14ac:dyDescent="0.25">
      <c r="A18" s="410" t="s">
        <v>10</v>
      </c>
      <c r="B18" s="406">
        <f t="shared" ref="B18:K18" si="3">SUM(B13:B17)</f>
        <v>3108.17</v>
      </c>
      <c r="C18" s="406">
        <f t="shared" si="3"/>
        <v>17388118.02</v>
      </c>
      <c r="D18" s="406">
        <f t="shared" si="3"/>
        <v>513354.98000000045</v>
      </c>
      <c r="E18" s="407">
        <f t="shared" si="3"/>
        <v>434399.2</v>
      </c>
      <c r="F18" s="407">
        <f t="shared" si="3"/>
        <v>3088190.1014255583</v>
      </c>
      <c r="G18" s="407">
        <f t="shared" si="3"/>
        <v>0</v>
      </c>
      <c r="H18" s="407">
        <f t="shared" si="3"/>
        <v>3522589.3014255585</v>
      </c>
      <c r="I18" s="428">
        <f t="shared" si="3"/>
        <v>17901473</v>
      </c>
      <c r="J18" s="406">
        <f t="shared" si="3"/>
        <v>0</v>
      </c>
      <c r="K18" s="407">
        <f t="shared" si="3"/>
        <v>155218.29797249998</v>
      </c>
      <c r="L18" s="420"/>
      <c r="M18" s="409"/>
      <c r="N18" s="409"/>
      <c r="O18" s="408">
        <f>SUM(O13:O17)</f>
        <v>125648.05469</v>
      </c>
      <c r="P18" s="409">
        <f>O18/I18</f>
        <v>7.0188668100105512E-3</v>
      </c>
      <c r="Q18" s="410" t="s">
        <v>445</v>
      </c>
      <c r="W18" s="374"/>
      <c r="X18" s="372"/>
      <c r="Y18" s="375"/>
      <c r="Z18" s="304"/>
    </row>
    <row r="19" spans="1:26" ht="15" x14ac:dyDescent="0.25">
      <c r="A19" s="1"/>
      <c r="B19" s="1"/>
      <c r="C19" s="1"/>
      <c r="D19" s="1"/>
      <c r="E19" s="1"/>
      <c r="F19" s="1"/>
      <c r="G19" s="1"/>
      <c r="H19" s="1"/>
      <c r="I19" s="32"/>
      <c r="J19" s="1"/>
      <c r="K19" s="1"/>
      <c r="L19" s="32"/>
      <c r="M19" s="1"/>
      <c r="N19" s="1"/>
      <c r="O19" s="2"/>
      <c r="P19" s="1"/>
      <c r="Q19" s="1"/>
      <c r="W19" s="372"/>
      <c r="X19" s="372"/>
      <c r="Y19" s="376"/>
      <c r="Z19" s="304"/>
    </row>
    <row r="20" spans="1:26" ht="15" x14ac:dyDescent="0.25">
      <c r="A20" s="229" t="s">
        <v>371</v>
      </c>
      <c r="B20" s="229"/>
      <c r="C20" s="229"/>
      <c r="D20" s="229"/>
      <c r="E20" s="229"/>
      <c r="F20" s="229"/>
      <c r="G20" s="229"/>
      <c r="H20" s="229"/>
      <c r="I20" s="426"/>
      <c r="J20" s="229"/>
      <c r="K20" s="229"/>
      <c r="L20" s="32"/>
      <c r="M20" s="1"/>
      <c r="N20" s="1"/>
      <c r="O20" s="2"/>
      <c r="P20" s="1"/>
      <c r="Q20" s="1"/>
      <c r="Z20" s="304"/>
    </row>
    <row r="21" spans="1:26" ht="15" x14ac:dyDescent="0.25">
      <c r="A21" s="1" t="s">
        <v>362</v>
      </c>
      <c r="B21" s="439">
        <v>876.5</v>
      </c>
      <c r="C21" s="439">
        <v>132819662.36</v>
      </c>
      <c r="D21" s="439">
        <v>3148811</v>
      </c>
      <c r="E21" s="440">
        <v>235775.68</v>
      </c>
      <c r="F21" s="3">
        <f t="shared" ref="F21:F25" si="4">+H21-E21-G21</f>
        <v>11278803.190000003</v>
      </c>
      <c r="G21" s="440">
        <v>7515201.2599999998</v>
      </c>
      <c r="H21" s="440">
        <v>19029780.130000003</v>
      </c>
      <c r="I21" s="130">
        <f>+C21+D21</f>
        <v>135968473.36000001</v>
      </c>
      <c r="J21" s="439">
        <v>374047.92</v>
      </c>
      <c r="K21" s="440">
        <v>1219636.06</v>
      </c>
      <c r="L21" s="443">
        <v>4.1599999999999996E-3</v>
      </c>
      <c r="M21" s="447">
        <v>1.09775</v>
      </c>
      <c r="N21" s="433">
        <v>0</v>
      </c>
      <c r="O21" s="404">
        <f>I21*L21+J21*M21+B21*N21*12</f>
        <v>976239.95335759991</v>
      </c>
      <c r="P21" s="78"/>
      <c r="Q21" s="1"/>
      <c r="Z21" s="304"/>
    </row>
    <row r="22" spans="1:26" ht="15" x14ac:dyDescent="0.25">
      <c r="A22" s="1" t="s">
        <v>363</v>
      </c>
      <c r="B22" s="439">
        <v>8.25</v>
      </c>
      <c r="C22" s="439">
        <v>832975</v>
      </c>
      <c r="D22" s="439">
        <v>0</v>
      </c>
      <c r="E22" s="440">
        <v>3889.8900000000003</v>
      </c>
      <c r="F22" s="3">
        <f t="shared" si="4"/>
        <v>71981.86</v>
      </c>
      <c r="G22" s="440">
        <v>80576.58</v>
      </c>
      <c r="H22" s="440">
        <v>156448.33000000002</v>
      </c>
      <c r="I22" s="130">
        <f>+C22+D22</f>
        <v>832975</v>
      </c>
      <c r="J22" s="439">
        <v>4490.4000000000005</v>
      </c>
      <c r="K22" s="440">
        <v>10437.27</v>
      </c>
      <c r="L22" s="443">
        <v>4.1599999999999996E-3</v>
      </c>
      <c r="M22" s="447">
        <v>1.09775</v>
      </c>
      <c r="N22" s="433">
        <v>0</v>
      </c>
      <c r="O22" s="404">
        <f>I22*L22+J22*M22+B22*N22*12</f>
        <v>8394.5126</v>
      </c>
      <c r="P22" s="78"/>
      <c r="Q22" s="1"/>
      <c r="Z22" s="304"/>
    </row>
    <row r="23" spans="1:26" ht="15" x14ac:dyDescent="0.25">
      <c r="A23" s="1" t="s">
        <v>364</v>
      </c>
      <c r="B23" s="439">
        <v>12</v>
      </c>
      <c r="C23" s="439">
        <v>8969310</v>
      </c>
      <c r="D23" s="439">
        <v>337821</v>
      </c>
      <c r="E23" s="440">
        <v>4924.82</v>
      </c>
      <c r="F23" s="3">
        <f t="shared" si="4"/>
        <v>760359.35999999975</v>
      </c>
      <c r="G23" s="440">
        <v>414292.15</v>
      </c>
      <c r="H23" s="440">
        <v>1179576.3299999998</v>
      </c>
      <c r="I23" s="130">
        <f>+C23+D23</f>
        <v>9307131</v>
      </c>
      <c r="J23" s="439">
        <v>20680.25</v>
      </c>
      <c r="K23" s="440">
        <v>76704.28</v>
      </c>
      <c r="L23" s="443">
        <v>4.1599999999999996E-3</v>
      </c>
      <c r="M23" s="447">
        <v>1.09775</v>
      </c>
      <c r="N23" s="433">
        <v>0</v>
      </c>
      <c r="O23" s="404">
        <f>I23*L23+J23*M23+B23*N23*12</f>
        <v>61419.4093975</v>
      </c>
      <c r="P23" s="78"/>
      <c r="Q23" s="1"/>
      <c r="U23" s="364"/>
      <c r="V23" s="343"/>
      <c r="Z23" s="304"/>
    </row>
    <row r="24" spans="1:26" ht="15" x14ac:dyDescent="0.25">
      <c r="A24" s="1" t="s">
        <v>365</v>
      </c>
      <c r="B24" s="439">
        <v>7</v>
      </c>
      <c r="C24" s="439">
        <v>23541268</v>
      </c>
      <c r="D24" s="439">
        <v>0</v>
      </c>
      <c r="E24" s="440">
        <v>103405.68</v>
      </c>
      <c r="F24" s="3">
        <f t="shared" si="4"/>
        <v>1835243.58</v>
      </c>
      <c r="G24" s="440">
        <v>866746.65</v>
      </c>
      <c r="H24" s="440">
        <v>2805395.91</v>
      </c>
      <c r="I24" s="130">
        <f>+C24+D24</f>
        <v>23541268</v>
      </c>
      <c r="J24" s="439">
        <v>43082.87</v>
      </c>
      <c r="K24" s="440">
        <v>181928.72</v>
      </c>
      <c r="L24" s="443">
        <v>4.1599999999999996E-3</v>
      </c>
      <c r="M24" s="447">
        <v>1.09775</v>
      </c>
      <c r="N24" s="433">
        <v>0</v>
      </c>
      <c r="O24" s="404">
        <f>I24*L24+J24*M24+B24*N24*12</f>
        <v>145225.89542250001</v>
      </c>
      <c r="P24" s="78"/>
      <c r="Q24" s="1"/>
      <c r="Z24" s="304"/>
    </row>
    <row r="25" spans="1:26" ht="15" x14ac:dyDescent="0.25">
      <c r="A25" s="11" t="s">
        <v>366</v>
      </c>
      <c r="B25" s="441">
        <v>1</v>
      </c>
      <c r="C25" s="441">
        <v>992201</v>
      </c>
      <c r="D25" s="441">
        <v>40244</v>
      </c>
      <c r="E25" s="442">
        <v>14772.24</v>
      </c>
      <c r="F25" s="417">
        <f t="shared" si="4"/>
        <v>87207.94</v>
      </c>
      <c r="G25" s="442">
        <v>53237.51</v>
      </c>
      <c r="H25" s="442">
        <v>155217.69</v>
      </c>
      <c r="I25" s="427">
        <f>+C25+D25</f>
        <v>1032445</v>
      </c>
      <c r="J25" s="441">
        <v>2925.2000000000003</v>
      </c>
      <c r="K25" s="442">
        <v>9284.3799999999992</v>
      </c>
      <c r="L25" s="445">
        <v>4.1599999999999996E-3</v>
      </c>
      <c r="M25" s="446">
        <v>1.09775</v>
      </c>
      <c r="N25" s="434">
        <v>0</v>
      </c>
      <c r="O25" s="405">
        <f>I25*L25+J25*M25+B25*N25*12</f>
        <v>7506.1095000000005</v>
      </c>
      <c r="P25" s="78"/>
      <c r="Q25" s="1"/>
      <c r="U25" s="364"/>
      <c r="V25" s="343"/>
      <c r="Z25" s="304"/>
    </row>
    <row r="26" spans="1:26" ht="15" x14ac:dyDescent="0.25">
      <c r="A26" s="410" t="s">
        <v>10</v>
      </c>
      <c r="B26" s="406">
        <f t="shared" ref="B26:K26" si="5">SUM(B21:B25)</f>
        <v>904.75</v>
      </c>
      <c r="C26" s="406">
        <f t="shared" si="5"/>
        <v>167155416.36000001</v>
      </c>
      <c r="D26" s="406">
        <f t="shared" si="5"/>
        <v>3526876</v>
      </c>
      <c r="E26" s="407">
        <f>SUM(E21:E25)</f>
        <v>362768.31</v>
      </c>
      <c r="F26" s="407">
        <f>SUM(F21:F25)</f>
        <v>14033595.930000002</v>
      </c>
      <c r="G26" s="407">
        <f>SUM(G21:G25)</f>
        <v>8930054.1500000004</v>
      </c>
      <c r="H26" s="407">
        <f t="shared" si="5"/>
        <v>23326418.390000001</v>
      </c>
      <c r="I26" s="428">
        <f>SUM(I21:I25)</f>
        <v>170682292.36000001</v>
      </c>
      <c r="J26" s="406">
        <f t="shared" si="5"/>
        <v>445226.64</v>
      </c>
      <c r="K26" s="407">
        <f t="shared" si="5"/>
        <v>1497990.71</v>
      </c>
      <c r="L26" s="421"/>
      <c r="M26" s="409"/>
      <c r="N26" s="409"/>
      <c r="O26" s="408">
        <f>SUM(O21:O25)</f>
        <v>1198785.8802775999</v>
      </c>
      <c r="P26" s="409">
        <f>O26/I26</f>
        <v>7.0234929687324702E-3</v>
      </c>
      <c r="Q26" s="410" t="s">
        <v>445</v>
      </c>
      <c r="Z26" s="304"/>
    </row>
    <row r="27" spans="1:26" ht="15" x14ac:dyDescent="0.25">
      <c r="A27" s="400"/>
      <c r="B27" s="400"/>
      <c r="C27" s="400"/>
      <c r="D27" s="400"/>
      <c r="E27" s="400"/>
      <c r="F27" s="400"/>
      <c r="G27" s="400"/>
      <c r="H27" s="400"/>
      <c r="I27" s="429"/>
      <c r="J27" s="400"/>
      <c r="K27" s="400"/>
      <c r="L27" s="419"/>
      <c r="M27" s="401"/>
      <c r="N27" s="401"/>
      <c r="O27" s="404"/>
      <c r="P27" s="1"/>
      <c r="Q27" s="1"/>
      <c r="Z27" s="304"/>
    </row>
    <row r="28" spans="1:26" ht="15" x14ac:dyDescent="0.25">
      <c r="A28" s="410" t="s">
        <v>443</v>
      </c>
      <c r="B28" s="406">
        <f t="shared" ref="B28:K28" si="6">B18+B26</f>
        <v>4012.92</v>
      </c>
      <c r="C28" s="406">
        <f t="shared" si="6"/>
        <v>184543534.38000003</v>
      </c>
      <c r="D28" s="406">
        <f t="shared" si="6"/>
        <v>4040230.9800000004</v>
      </c>
      <c r="E28" s="407">
        <f>E18+E26</f>
        <v>797167.51</v>
      </c>
      <c r="F28" s="407">
        <f>F18+F26</f>
        <v>17121786.031425558</v>
      </c>
      <c r="G28" s="407">
        <f>G18+G26</f>
        <v>8930054.1500000004</v>
      </c>
      <c r="H28" s="407">
        <f t="shared" si="6"/>
        <v>26849007.691425558</v>
      </c>
      <c r="I28" s="428">
        <f>I18+I26</f>
        <v>188583765.36000001</v>
      </c>
      <c r="J28" s="406">
        <f t="shared" si="6"/>
        <v>445226.64</v>
      </c>
      <c r="K28" s="407">
        <f t="shared" si="6"/>
        <v>1653209.0079724998</v>
      </c>
      <c r="L28" s="421"/>
      <c r="M28" s="409"/>
      <c r="N28" s="409"/>
      <c r="O28" s="408">
        <f>O18+O26</f>
        <v>1324433.9349675998</v>
      </c>
      <c r="P28" s="409">
        <f>O28/I28</f>
        <v>7.0230538267135583E-3</v>
      </c>
      <c r="Q28" s="410" t="s">
        <v>445</v>
      </c>
      <c r="Z28" s="304"/>
    </row>
    <row r="29" spans="1:26" ht="15" x14ac:dyDescent="0.25">
      <c r="A29" s="1"/>
      <c r="B29" s="1"/>
      <c r="C29" s="1"/>
      <c r="D29" s="1"/>
      <c r="E29" s="1"/>
      <c r="F29" s="1"/>
      <c r="G29" s="1"/>
      <c r="H29" s="1"/>
      <c r="I29" s="32"/>
      <c r="J29" s="1"/>
      <c r="K29" s="1"/>
      <c r="L29" s="32"/>
      <c r="M29" s="1"/>
      <c r="N29" s="1"/>
      <c r="O29" s="2"/>
      <c r="P29" s="1"/>
      <c r="Q29" s="1"/>
      <c r="Z29" s="304"/>
    </row>
    <row r="30" spans="1:26" ht="15" x14ac:dyDescent="0.25">
      <c r="A30" s="229" t="s">
        <v>372</v>
      </c>
      <c r="B30" s="229"/>
      <c r="C30" s="229"/>
      <c r="D30" s="229"/>
      <c r="E30" s="229"/>
      <c r="F30" s="229"/>
      <c r="G30" s="229"/>
      <c r="H30" s="229"/>
      <c r="I30" s="426"/>
      <c r="J30" s="229"/>
      <c r="K30" s="229"/>
      <c r="L30" s="32"/>
      <c r="M30" s="1"/>
      <c r="N30" s="1"/>
      <c r="O30" s="2"/>
      <c r="P30" s="1"/>
      <c r="Q30" s="1"/>
      <c r="Z30" s="304"/>
    </row>
    <row r="31" spans="1:26" ht="15" x14ac:dyDescent="0.25">
      <c r="A31" s="1" t="s">
        <v>367</v>
      </c>
      <c r="B31" s="439">
        <v>1</v>
      </c>
      <c r="C31" s="439">
        <v>1721056</v>
      </c>
      <c r="D31" s="439">
        <v>0</v>
      </c>
      <c r="E31" s="440">
        <v>492.48</v>
      </c>
      <c r="F31" s="3">
        <f t="shared" ref="F31:F32" si="7">+H31-E31-G31</f>
        <v>153916.94</v>
      </c>
      <c r="G31" s="440">
        <v>139277.01</v>
      </c>
      <c r="H31" s="440">
        <v>293686.43</v>
      </c>
      <c r="I31" s="130">
        <f>+C31+D31</f>
        <v>1721056</v>
      </c>
      <c r="J31" s="439">
        <v>6953.42</v>
      </c>
      <c r="K31" s="440">
        <v>16305.07</v>
      </c>
      <c r="L31" s="443">
        <v>3.2299999999999998E-3</v>
      </c>
      <c r="M31" s="447">
        <v>0.86941999999999997</v>
      </c>
      <c r="N31" s="338">
        <v>0</v>
      </c>
      <c r="O31" s="404">
        <f>I31*L31+J31*M31+B31*N31*12</f>
        <v>11604.453296399999</v>
      </c>
      <c r="P31" s="108"/>
      <c r="Q31" s="1"/>
      <c r="R31" s="383"/>
      <c r="S31" s="363"/>
      <c r="Z31" s="304"/>
    </row>
    <row r="32" spans="1:26" ht="15" x14ac:dyDescent="0.25">
      <c r="A32" s="11" t="s">
        <v>368</v>
      </c>
      <c r="B32" s="441">
        <v>1</v>
      </c>
      <c r="C32" s="441">
        <v>42526270</v>
      </c>
      <c r="D32" s="441">
        <v>0</v>
      </c>
      <c r="E32" s="442">
        <v>14772.24</v>
      </c>
      <c r="F32" s="417">
        <f t="shared" si="7"/>
        <v>3306889.8400000003</v>
      </c>
      <c r="G32" s="442">
        <v>1501507.15</v>
      </c>
      <c r="H32" s="442">
        <v>4823169.2300000004</v>
      </c>
      <c r="I32" s="427">
        <f>+C32+D32</f>
        <v>42526270</v>
      </c>
      <c r="J32" s="441">
        <v>73852.44</v>
      </c>
      <c r="K32" s="442">
        <v>263385.74</v>
      </c>
      <c r="L32" s="445">
        <v>3.2299999999999998E-3</v>
      </c>
      <c r="M32" s="446">
        <v>0.86941999999999997</v>
      </c>
      <c r="N32" s="432">
        <v>0</v>
      </c>
      <c r="O32" s="405">
        <f>I32*L32+J32*M32+B32*N32*12</f>
        <v>201568.64048479998</v>
      </c>
      <c r="P32" s="108"/>
      <c r="Q32" s="1"/>
      <c r="R32" s="383"/>
      <c r="S32" s="363"/>
      <c r="Z32" s="304"/>
    </row>
    <row r="33" spans="1:26" ht="15" x14ac:dyDescent="0.25">
      <c r="A33" s="410" t="s">
        <v>10</v>
      </c>
      <c r="B33" s="406">
        <f t="shared" ref="B33:K33" si="8">SUM(B31:B32)</f>
        <v>2</v>
      </c>
      <c r="C33" s="406">
        <f t="shared" si="8"/>
        <v>44247326</v>
      </c>
      <c r="D33" s="406">
        <f t="shared" si="8"/>
        <v>0</v>
      </c>
      <c r="E33" s="407">
        <f>SUM(E31:E32)</f>
        <v>15264.72</v>
      </c>
      <c r="F33" s="407">
        <f>SUM(F31:F32)</f>
        <v>3460806.7800000003</v>
      </c>
      <c r="G33" s="407">
        <f>SUM(G31:G32)</f>
        <v>1640784.16</v>
      </c>
      <c r="H33" s="407">
        <f t="shared" si="8"/>
        <v>5116855.66</v>
      </c>
      <c r="I33" s="428">
        <f>SUM(I31:I32)</f>
        <v>44247326</v>
      </c>
      <c r="J33" s="406">
        <f t="shared" si="8"/>
        <v>80805.86</v>
      </c>
      <c r="K33" s="407">
        <f t="shared" si="8"/>
        <v>279690.81</v>
      </c>
      <c r="L33" s="422"/>
      <c r="M33" s="410"/>
      <c r="N33" s="410"/>
      <c r="O33" s="408">
        <f>SUM(O31:O32)</f>
        <v>213173.09378119998</v>
      </c>
      <c r="P33" s="409">
        <f>O33/I33</f>
        <v>4.8177621802772894E-3</v>
      </c>
      <c r="Q33" s="400" t="s">
        <v>445</v>
      </c>
      <c r="Z33" s="304"/>
    </row>
    <row r="34" spans="1:26" ht="15" x14ac:dyDescent="0.25">
      <c r="A34" s="1"/>
      <c r="B34" s="1"/>
      <c r="C34" s="1"/>
      <c r="D34" s="1"/>
      <c r="E34" s="1"/>
      <c r="F34" s="1"/>
      <c r="G34" s="1"/>
      <c r="H34" s="1"/>
      <c r="I34" s="32"/>
      <c r="J34" s="1"/>
      <c r="K34" s="1"/>
      <c r="L34" s="32"/>
      <c r="M34" s="1"/>
      <c r="N34" s="1"/>
      <c r="O34" s="2"/>
      <c r="P34" s="1"/>
      <c r="Q34" s="1"/>
    </row>
    <row r="35" spans="1:26" ht="15" x14ac:dyDescent="0.25">
      <c r="A35" s="437" t="s">
        <v>370</v>
      </c>
      <c r="B35" s="406">
        <f t="shared" ref="B35:D35" si="9">B10+B18+B26+B33</f>
        <v>21492.83</v>
      </c>
      <c r="C35" s="406">
        <f t="shared" si="9"/>
        <v>317622349.31</v>
      </c>
      <c r="D35" s="406">
        <f t="shared" si="9"/>
        <v>5389590.6600000001</v>
      </c>
      <c r="E35" s="407">
        <f t="shared" ref="E35:K35" si="10">E10+E18+E26+E33</f>
        <v>2536153.89</v>
      </c>
      <c r="F35" s="407">
        <f t="shared" si="10"/>
        <v>33211405.891425561</v>
      </c>
      <c r="G35" s="407">
        <f t="shared" si="10"/>
        <v>10570838.310000001</v>
      </c>
      <c r="H35" s="407">
        <f t="shared" si="10"/>
        <v>46318398.091425553</v>
      </c>
      <c r="I35" s="428">
        <f t="shared" si="10"/>
        <v>323011939.97000003</v>
      </c>
      <c r="J35" s="406">
        <f t="shared" si="10"/>
        <v>526032.5</v>
      </c>
      <c r="K35" s="407">
        <f t="shared" si="10"/>
        <v>2734478.1779724997</v>
      </c>
      <c r="L35" s="422"/>
      <c r="M35" s="410"/>
      <c r="N35" s="410"/>
      <c r="O35" s="408">
        <f>O10+O18+O26+O33</f>
        <v>2159734.1443577996</v>
      </c>
      <c r="P35" s="409">
        <f>O35/I35</f>
        <v>6.6862362566485513E-3</v>
      </c>
      <c r="Q35" s="410" t="s">
        <v>445</v>
      </c>
      <c r="Z35" s="231"/>
    </row>
    <row r="36" spans="1:26" ht="15" x14ac:dyDescent="0.25">
      <c r="A36" s="1"/>
      <c r="B36" s="1"/>
      <c r="C36" s="26"/>
      <c r="D36" s="1"/>
      <c r="E36" s="1"/>
      <c r="F36" s="1"/>
      <c r="G36" s="1"/>
      <c r="H36" s="1"/>
      <c r="I36" s="26"/>
      <c r="J36" s="26"/>
      <c r="K36" s="1"/>
      <c r="L36" s="1"/>
      <c r="M36" s="1"/>
      <c r="N36" s="1"/>
      <c r="O36" s="1"/>
      <c r="P36" s="1"/>
      <c r="Q36" s="1"/>
      <c r="R36" s="1"/>
      <c r="S36" s="1"/>
    </row>
    <row r="37" spans="1:26" ht="15" x14ac:dyDescent="0.25">
      <c r="A37" s="1"/>
      <c r="B37" s="1"/>
      <c r="C37" s="26"/>
      <c r="D37" s="1"/>
      <c r="E37" s="1"/>
      <c r="F37" s="1"/>
      <c r="G37" s="1"/>
      <c r="H37" s="1"/>
      <c r="I37" s="26"/>
      <c r="J37" s="26"/>
      <c r="K37" s="1"/>
      <c r="L37" s="1"/>
      <c r="M37" s="1"/>
      <c r="N37" s="1"/>
      <c r="O37" s="1"/>
      <c r="P37" s="1"/>
      <c r="Q37" s="1"/>
      <c r="R37" s="1"/>
      <c r="S37" s="1"/>
    </row>
    <row r="38" spans="1:26" ht="15" x14ac:dyDescent="0.25">
      <c r="A38" s="402" t="s">
        <v>376</v>
      </c>
      <c r="B38" s="12"/>
      <c r="C38" s="12"/>
      <c r="D38" s="12"/>
      <c r="E38" s="12"/>
      <c r="F38" s="12"/>
      <c r="G38" s="12"/>
      <c r="H38" s="12"/>
      <c r="I38" s="1"/>
      <c r="J38" s="1"/>
      <c r="K38" s="1"/>
      <c r="L38" s="1"/>
      <c r="M38" s="1"/>
      <c r="N38" s="1"/>
      <c r="O38" s="1"/>
      <c r="P38" s="1"/>
      <c r="Q38" s="1"/>
      <c r="R38" s="1"/>
      <c r="S38" s="1"/>
    </row>
    <row r="39" spans="1:26" ht="15" x14ac:dyDescent="0.25">
      <c r="A39" s="438" t="s">
        <v>498</v>
      </c>
      <c r="B39" s="403"/>
      <c r="C39" s="403"/>
      <c r="D39" s="403"/>
      <c r="E39" s="403"/>
      <c r="F39" s="403"/>
      <c r="G39" s="403"/>
      <c r="H39" s="403"/>
      <c r="I39" s="1"/>
      <c r="J39" s="1"/>
      <c r="K39" s="1"/>
      <c r="L39" s="1"/>
      <c r="M39" s="1"/>
      <c r="N39" s="1"/>
      <c r="O39" s="1"/>
      <c r="P39" s="1"/>
      <c r="Q39" s="1"/>
      <c r="R39" s="1"/>
      <c r="S39" s="1"/>
    </row>
    <row r="40" spans="1:26" ht="15" x14ac:dyDescent="0.25">
      <c r="A40" s="485" t="s">
        <v>501</v>
      </c>
      <c r="B40" s="486"/>
      <c r="C40" s="486"/>
      <c r="D40" s="486"/>
      <c r="E40" s="486"/>
      <c r="F40" s="486"/>
      <c r="G40" s="486"/>
      <c r="H40" s="486"/>
      <c r="I40" s="367"/>
      <c r="J40" s="367"/>
      <c r="K40" s="1"/>
      <c r="L40" s="1"/>
      <c r="M40" s="1"/>
      <c r="N40" s="1"/>
      <c r="O40" s="1"/>
      <c r="P40" s="1"/>
      <c r="Q40" s="1"/>
      <c r="R40" s="1"/>
      <c r="S40" s="1"/>
    </row>
    <row r="41" spans="1:26" ht="15" x14ac:dyDescent="0.25">
      <c r="A41" s="438" t="s">
        <v>499</v>
      </c>
      <c r="B41" s="400"/>
      <c r="C41" s="400"/>
      <c r="D41" s="400"/>
      <c r="E41" s="400"/>
      <c r="F41" s="400"/>
      <c r="G41" s="400"/>
      <c r="H41" s="400"/>
      <c r="I41" s="1"/>
      <c r="J41" s="1"/>
      <c r="K41" s="1"/>
      <c r="L41" s="1"/>
      <c r="M41" s="1"/>
      <c r="N41" s="1"/>
      <c r="O41" s="1"/>
      <c r="P41" s="1"/>
      <c r="Q41" s="1"/>
      <c r="R41" s="1"/>
      <c r="S41" s="1"/>
    </row>
    <row r="42" spans="1:26" ht="15" x14ac:dyDescent="0.25">
      <c r="A42" s="438" t="s">
        <v>500</v>
      </c>
      <c r="B42" s="400"/>
      <c r="C42" s="400"/>
      <c r="D42" s="400"/>
      <c r="E42" s="400"/>
      <c r="F42" s="400"/>
      <c r="G42" s="400"/>
      <c r="H42" s="400"/>
      <c r="I42" s="1"/>
      <c r="J42" s="1"/>
      <c r="K42" s="1"/>
      <c r="L42" s="1"/>
      <c r="M42" s="1"/>
      <c r="N42" s="1"/>
      <c r="O42" s="1"/>
      <c r="P42" s="1"/>
      <c r="Q42" s="1"/>
      <c r="R42" s="1"/>
      <c r="S42" s="1"/>
    </row>
    <row r="43" spans="1:26" ht="15" x14ac:dyDescent="0.25">
      <c r="A43" s="438"/>
      <c r="B43" s="400"/>
      <c r="C43" s="400"/>
      <c r="D43" s="400"/>
      <c r="E43" s="400"/>
      <c r="F43" s="400"/>
      <c r="G43" s="400"/>
      <c r="H43" s="400"/>
      <c r="I43" s="1"/>
      <c r="J43" s="1"/>
      <c r="K43" s="1"/>
      <c r="L43" s="1"/>
      <c r="M43" s="1"/>
      <c r="N43" s="1"/>
      <c r="O43" s="1"/>
      <c r="P43" s="1"/>
      <c r="Q43" s="1"/>
      <c r="R43" s="1"/>
      <c r="S43" s="1"/>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tabColor rgb="FFFFC000"/>
    <pageSetUpPr fitToPage="1"/>
  </sheetPr>
  <dimension ref="A1:AI110"/>
  <sheetViews>
    <sheetView showGridLines="0" topLeftCell="U9" zoomScaleNormal="100" zoomScaleSheetLayoutView="100" workbookViewId="0">
      <selection activeCell="AC73" sqref="AC73"/>
    </sheetView>
  </sheetViews>
  <sheetFormatPr defaultColWidth="13.140625" defaultRowHeight="15" x14ac:dyDescent="0.25"/>
  <cols>
    <col min="1" max="1" width="42" style="1" customWidth="1"/>
    <col min="2" max="2" width="13.42578125" style="1" customWidth="1"/>
    <col min="3" max="3" width="16.140625" style="27" customWidth="1"/>
    <col min="4" max="4" width="14.5703125" style="1" bestFit="1" customWidth="1"/>
    <col min="5" max="5" width="3" style="1" customWidth="1"/>
    <col min="6" max="6" width="12.28515625" style="1" bestFit="1" customWidth="1"/>
    <col min="7" max="7" width="12.5703125" style="1" bestFit="1" customWidth="1"/>
    <col min="8" max="8" width="12.42578125" style="1" bestFit="1" customWidth="1"/>
    <col min="9" max="9" width="12.5703125" style="1" bestFit="1" customWidth="1"/>
    <col min="10" max="10" width="11.5703125" style="1" bestFit="1" customWidth="1"/>
    <col min="11" max="11" width="14.28515625" style="1" bestFit="1" customWidth="1"/>
    <col min="12" max="12" width="12.5703125" style="1" bestFit="1" customWidth="1"/>
    <col min="13" max="13" width="11.5703125" style="1" bestFit="1" customWidth="1"/>
    <col min="14" max="14" width="13.85546875" style="1" customWidth="1"/>
    <col min="15" max="15" width="13.7109375" style="35" bestFit="1" customWidth="1"/>
    <col min="16" max="16" width="14.28515625" style="1" bestFit="1" customWidth="1"/>
    <col min="17" max="17" width="2.42578125" style="1" bestFit="1" customWidth="1"/>
    <col min="18" max="18" width="10" style="1" bestFit="1" customWidth="1"/>
    <col min="19" max="19" width="10.5703125" style="26" bestFit="1" customWidth="1"/>
    <col min="20" max="21" width="10" style="26" bestFit="1" customWidth="1"/>
    <col min="22" max="22" width="14.28515625" style="1" bestFit="1" customWidth="1"/>
    <col min="23" max="23" width="12.5703125" style="1" bestFit="1" customWidth="1"/>
    <col min="24" max="24" width="11.5703125" style="1" bestFit="1" customWidth="1"/>
    <col min="25" max="25" width="13.42578125" style="1" bestFit="1" customWidth="1"/>
    <col min="26" max="26" width="12.5703125" style="1" bestFit="1" customWidth="1"/>
    <col min="27" max="27" width="14.28515625" style="1" bestFit="1" customWidth="1"/>
    <col min="28" max="28" width="9.7109375" style="1" customWidth="1"/>
    <col min="29" max="29" width="14.28515625" style="1" bestFit="1" customWidth="1"/>
    <col min="30" max="30" width="13.140625" style="1" bestFit="1" customWidth="1"/>
    <col min="31" max="31" width="13.140625" style="1" customWidth="1"/>
    <col min="32" max="32" width="14.140625" style="1" customWidth="1"/>
    <col min="33" max="33" width="15.28515625" style="1" bestFit="1" customWidth="1"/>
    <col min="34" max="35" width="13.28515625" style="1" bestFit="1" customWidth="1"/>
    <col min="36" max="16384" width="13.140625" style="1"/>
  </cols>
  <sheetData>
    <row r="1" spans="1:30" ht="13.5" customHeight="1" x14ac:dyDescent="0.25">
      <c r="A1" s="448" t="s">
        <v>316</v>
      </c>
      <c r="C1" s="1"/>
      <c r="O1" s="1"/>
      <c r="S1" s="1"/>
      <c r="T1" s="1"/>
      <c r="U1" s="1"/>
    </row>
    <row r="2" spans="1:30" ht="13.5" customHeight="1" x14ac:dyDescent="0.25">
      <c r="A2" s="1" t="s">
        <v>20</v>
      </c>
      <c r="C2" s="1"/>
      <c r="O2" s="1"/>
      <c r="S2" s="1"/>
      <c r="T2" s="1"/>
      <c r="U2" s="1"/>
    </row>
    <row r="3" spans="1:30" ht="13.5" customHeight="1" x14ac:dyDescent="0.25">
      <c r="A3" s="1" t="s">
        <v>317</v>
      </c>
      <c r="C3" s="1"/>
      <c r="O3" s="1"/>
      <c r="S3" s="1"/>
      <c r="T3" s="1"/>
      <c r="U3" s="1"/>
    </row>
    <row r="4" spans="1:30" ht="13.5" customHeight="1" x14ac:dyDescent="0.25">
      <c r="A4" s="1" t="s">
        <v>486</v>
      </c>
      <c r="C4" s="1"/>
      <c r="O4" s="1"/>
      <c r="S4" s="1"/>
      <c r="T4" s="1"/>
      <c r="U4" s="1"/>
    </row>
    <row r="5" spans="1:30" ht="13.5" customHeight="1" x14ac:dyDescent="0.25">
      <c r="A5" s="1" t="s">
        <v>94</v>
      </c>
      <c r="C5" s="1"/>
      <c r="O5" s="1"/>
      <c r="S5" s="1"/>
      <c r="T5" s="1"/>
      <c r="U5" s="1"/>
    </row>
    <row r="6" spans="1:30" ht="13.5" customHeight="1" x14ac:dyDescent="0.25">
      <c r="A6" s="42" t="s">
        <v>281</v>
      </c>
      <c r="C6" s="1"/>
      <c r="O6" s="1"/>
      <c r="S6" s="1"/>
      <c r="T6" s="1"/>
      <c r="U6" s="1"/>
    </row>
    <row r="7" spans="1:30" ht="13.5" customHeight="1" x14ac:dyDescent="0.25">
      <c r="A7" s="114" t="s">
        <v>402</v>
      </c>
      <c r="C7" s="1"/>
      <c r="O7" s="1"/>
      <c r="S7" s="1"/>
      <c r="T7" s="1"/>
      <c r="U7" s="1"/>
    </row>
    <row r="8" spans="1:30" s="28" customFormat="1" ht="15.75" thickBot="1" x14ac:dyDescent="0.3">
      <c r="A8" s="28" t="s">
        <v>95</v>
      </c>
      <c r="B8" s="28" t="s">
        <v>96</v>
      </c>
      <c r="C8" s="115" t="s">
        <v>97</v>
      </c>
      <c r="D8" s="28" t="s">
        <v>98</v>
      </c>
      <c r="E8" s="28" t="s">
        <v>99</v>
      </c>
      <c r="F8" s="28" t="s">
        <v>100</v>
      </c>
      <c r="G8" s="28" t="s">
        <v>101</v>
      </c>
      <c r="H8" s="28" t="s">
        <v>102</v>
      </c>
      <c r="I8" s="28" t="s">
        <v>103</v>
      </c>
      <c r="J8" s="28" t="s">
        <v>104</v>
      </c>
      <c r="K8" s="28" t="s">
        <v>105</v>
      </c>
      <c r="L8" s="28" t="s">
        <v>106</v>
      </c>
      <c r="M8" s="28" t="s">
        <v>107</v>
      </c>
      <c r="N8" s="28" t="s">
        <v>108</v>
      </c>
      <c r="O8" s="116" t="s">
        <v>109</v>
      </c>
      <c r="P8" s="28" t="s">
        <v>110</v>
      </c>
      <c r="Q8" s="28" t="s">
        <v>111</v>
      </c>
      <c r="R8" s="28" t="s">
        <v>112</v>
      </c>
      <c r="S8" s="117" t="s">
        <v>113</v>
      </c>
      <c r="T8" s="117" t="s">
        <v>114</v>
      </c>
      <c r="U8" s="117" t="s">
        <v>115</v>
      </c>
      <c r="V8" s="117" t="s">
        <v>116</v>
      </c>
      <c r="W8" s="117" t="s">
        <v>117</v>
      </c>
      <c r="X8" s="117" t="s">
        <v>118</v>
      </c>
      <c r="Y8" s="117" t="s">
        <v>119</v>
      </c>
      <c r="Z8" s="117" t="s">
        <v>120</v>
      </c>
      <c r="AA8" s="117" t="s">
        <v>121</v>
      </c>
      <c r="AB8" s="117" t="s">
        <v>122</v>
      </c>
      <c r="AC8" s="117" t="s">
        <v>123</v>
      </c>
      <c r="AD8" s="117" t="s">
        <v>124</v>
      </c>
    </row>
    <row r="9" spans="1:30" ht="15.75" thickBot="1" x14ac:dyDescent="0.3">
      <c r="A9" s="526" t="s">
        <v>403</v>
      </c>
      <c r="B9" s="527"/>
      <c r="C9" s="527"/>
      <c r="D9" s="527"/>
      <c r="E9" s="527"/>
      <c r="F9" s="527"/>
      <c r="G9" s="527"/>
      <c r="H9" s="527"/>
      <c r="I9" s="527"/>
      <c r="J9" s="527"/>
      <c r="K9" s="527"/>
      <c r="L9" s="527"/>
      <c r="M9" s="527"/>
      <c r="N9" s="527"/>
      <c r="O9" s="527"/>
      <c r="P9" s="527"/>
      <c r="Q9" s="527"/>
      <c r="R9" s="527"/>
      <c r="S9" s="527"/>
      <c r="T9" s="527"/>
      <c r="U9" s="527"/>
      <c r="V9" s="527"/>
      <c r="W9" s="527"/>
      <c r="X9" s="527"/>
      <c r="Y9" s="527"/>
      <c r="Z9" s="527"/>
      <c r="AA9" s="527"/>
      <c r="AB9" s="527"/>
      <c r="AC9" s="527"/>
      <c r="AD9" s="528"/>
    </row>
    <row r="10" spans="1:30" s="28" customFormat="1" ht="12.75" customHeight="1" x14ac:dyDescent="0.25">
      <c r="A10" s="430"/>
      <c r="B10" s="518" t="s">
        <v>3</v>
      </c>
      <c r="C10" s="519"/>
      <c r="D10" s="520"/>
      <c r="F10" s="518" t="s">
        <v>125</v>
      </c>
      <c r="G10" s="519"/>
      <c r="H10" s="519"/>
      <c r="I10" s="519"/>
      <c r="J10" s="519"/>
      <c r="K10" s="519"/>
      <c r="L10" s="519"/>
      <c r="M10" s="519"/>
      <c r="N10" s="519"/>
      <c r="O10" s="519"/>
      <c r="P10" s="520"/>
      <c r="Q10" s="33"/>
      <c r="R10" s="518" t="s">
        <v>14</v>
      </c>
      <c r="S10" s="519"/>
      <c r="T10" s="519"/>
      <c r="U10" s="519"/>
      <c r="V10" s="519"/>
      <c r="W10" s="519"/>
      <c r="X10" s="519"/>
      <c r="Y10" s="519"/>
      <c r="Z10" s="519"/>
      <c r="AA10" s="520"/>
      <c r="AB10" s="118"/>
      <c r="AC10" s="119"/>
      <c r="AD10" s="120"/>
    </row>
    <row r="11" spans="1:30" s="28" customFormat="1" ht="12.75" customHeight="1" x14ac:dyDescent="0.25">
      <c r="A11" s="118"/>
      <c r="B11" s="118"/>
      <c r="C11" s="121"/>
      <c r="D11" s="122"/>
      <c r="E11" s="118"/>
      <c r="F11" s="523" t="s">
        <v>22</v>
      </c>
      <c r="G11" s="524"/>
      <c r="H11" s="524"/>
      <c r="I11" s="525"/>
      <c r="J11" s="523" t="s">
        <v>12</v>
      </c>
      <c r="K11" s="524"/>
      <c r="L11" s="524"/>
      <c r="M11" s="524"/>
      <c r="N11" s="524"/>
      <c r="O11" s="525"/>
      <c r="Q11" s="118"/>
      <c r="R11" s="523" t="s">
        <v>22</v>
      </c>
      <c r="S11" s="524"/>
      <c r="T11" s="525"/>
      <c r="U11" s="523" t="s">
        <v>12</v>
      </c>
      <c r="V11" s="524"/>
      <c r="W11" s="529"/>
      <c r="X11" s="529"/>
      <c r="Y11" s="529"/>
      <c r="Z11" s="524"/>
      <c r="AA11" s="123"/>
      <c r="AB11" s="120"/>
      <c r="AC11" s="120"/>
      <c r="AD11" s="120" t="s">
        <v>126</v>
      </c>
    </row>
    <row r="12" spans="1:30" s="29" customFormat="1" x14ac:dyDescent="0.25">
      <c r="A12" s="124"/>
      <c r="B12" s="118" t="s">
        <v>23</v>
      </c>
      <c r="C12" s="125" t="s">
        <v>25</v>
      </c>
      <c r="D12" s="126"/>
      <c r="E12" s="124"/>
      <c r="F12" s="118" t="s">
        <v>27</v>
      </c>
      <c r="G12" s="118" t="s">
        <v>28</v>
      </c>
      <c r="H12" s="124"/>
      <c r="I12" s="124"/>
      <c r="J12" s="118" t="s">
        <v>27</v>
      </c>
      <c r="K12" s="127"/>
      <c r="L12" s="513" t="s">
        <v>127</v>
      </c>
      <c r="M12" s="514"/>
      <c r="N12" s="515"/>
      <c r="O12" s="128"/>
      <c r="P12" s="118" t="s">
        <v>10</v>
      </c>
      <c r="Q12" s="124"/>
      <c r="R12" s="118" t="s">
        <v>27</v>
      </c>
      <c r="S12" s="118" t="s">
        <v>28</v>
      </c>
      <c r="T12" s="124"/>
      <c r="U12" s="118" t="s">
        <v>27</v>
      </c>
      <c r="V12" s="124"/>
      <c r="W12" s="513" t="s">
        <v>127</v>
      </c>
      <c r="X12" s="514"/>
      <c r="Y12" s="515"/>
      <c r="Z12" s="28"/>
      <c r="AA12" s="120" t="s">
        <v>10</v>
      </c>
      <c r="AB12" s="118" t="s">
        <v>16</v>
      </c>
      <c r="AC12" s="120" t="s">
        <v>10</v>
      </c>
      <c r="AD12" s="120" t="s">
        <v>128</v>
      </c>
    </row>
    <row r="13" spans="1:30" s="29" customFormat="1" x14ac:dyDescent="0.25">
      <c r="A13" s="124" t="s">
        <v>11</v>
      </c>
      <c r="B13" s="124" t="s">
        <v>24</v>
      </c>
      <c r="C13" s="129" t="s">
        <v>7</v>
      </c>
      <c r="D13" s="126" t="s">
        <v>26</v>
      </c>
      <c r="E13" s="118"/>
      <c r="F13" s="124" t="s">
        <v>24</v>
      </c>
      <c r="G13" s="124" t="s">
        <v>7</v>
      </c>
      <c r="H13" s="124" t="s">
        <v>446</v>
      </c>
      <c r="I13" s="124" t="s">
        <v>10</v>
      </c>
      <c r="J13" s="124" t="s">
        <v>24</v>
      </c>
      <c r="K13" s="124" t="s">
        <v>6</v>
      </c>
      <c r="L13" s="124" t="s">
        <v>129</v>
      </c>
      <c r="M13" s="124" t="s">
        <v>130</v>
      </c>
      <c r="N13" s="124" t="s">
        <v>8</v>
      </c>
      <c r="O13" s="124" t="s">
        <v>10</v>
      </c>
      <c r="P13" s="124" t="s">
        <v>4</v>
      </c>
      <c r="Q13" s="118"/>
      <c r="R13" s="124" t="s">
        <v>24</v>
      </c>
      <c r="S13" s="124" t="s">
        <v>7</v>
      </c>
      <c r="T13" s="124" t="s">
        <v>10</v>
      </c>
      <c r="U13" s="124" t="s">
        <v>24</v>
      </c>
      <c r="V13" s="124" t="s">
        <v>6</v>
      </c>
      <c r="W13" s="124" t="s">
        <v>129</v>
      </c>
      <c r="X13" s="124" t="s">
        <v>130</v>
      </c>
      <c r="Y13" s="124" t="s">
        <v>8</v>
      </c>
      <c r="Z13" s="124" t="s">
        <v>10</v>
      </c>
      <c r="AA13" s="126" t="s">
        <v>15</v>
      </c>
      <c r="AB13" s="124" t="s">
        <v>0</v>
      </c>
      <c r="AC13" s="126" t="s">
        <v>11</v>
      </c>
      <c r="AD13" s="126" t="s">
        <v>131</v>
      </c>
    </row>
    <row r="14" spans="1:30" x14ac:dyDescent="0.25">
      <c r="A14" s="32" t="s">
        <v>132</v>
      </c>
      <c r="B14" s="124" t="s">
        <v>21</v>
      </c>
      <c r="C14" s="129" t="s">
        <v>21</v>
      </c>
      <c r="D14" s="120" t="s">
        <v>21</v>
      </c>
      <c r="E14" s="32"/>
      <c r="F14" s="118" t="s">
        <v>21</v>
      </c>
      <c r="G14" s="118" t="s">
        <v>21</v>
      </c>
      <c r="H14" s="118" t="s">
        <v>21</v>
      </c>
      <c r="I14" s="118" t="s">
        <v>21</v>
      </c>
      <c r="J14" s="118" t="s">
        <v>21</v>
      </c>
      <c r="K14" s="118" t="s">
        <v>21</v>
      </c>
      <c r="L14" s="118" t="s">
        <v>21</v>
      </c>
      <c r="M14" s="118" t="s">
        <v>21</v>
      </c>
      <c r="N14" s="118" t="s">
        <v>21</v>
      </c>
      <c r="O14" s="118" t="s">
        <v>21</v>
      </c>
      <c r="P14" s="118" t="s">
        <v>21</v>
      </c>
      <c r="Q14" s="130"/>
      <c r="R14" s="118" t="s">
        <v>21</v>
      </c>
      <c r="S14" s="118" t="s">
        <v>21</v>
      </c>
      <c r="T14" s="118" t="s">
        <v>21</v>
      </c>
      <c r="U14" s="118" t="s">
        <v>21</v>
      </c>
      <c r="V14" s="118" t="s">
        <v>21</v>
      </c>
      <c r="W14" s="118" t="s">
        <v>21</v>
      </c>
      <c r="X14" s="118" t="s">
        <v>21</v>
      </c>
      <c r="Y14" s="118" t="s">
        <v>21</v>
      </c>
      <c r="Z14" s="118" t="s">
        <v>21</v>
      </c>
      <c r="AA14" s="118" t="s">
        <v>21</v>
      </c>
      <c r="AB14" s="118" t="s">
        <v>21</v>
      </c>
      <c r="AC14" s="120" t="s">
        <v>21</v>
      </c>
      <c r="AD14" s="120" t="s">
        <v>21</v>
      </c>
    </row>
    <row r="15" spans="1:30" x14ac:dyDescent="0.25">
      <c r="A15" s="32" t="s">
        <v>133</v>
      </c>
      <c r="B15" s="124"/>
      <c r="C15" s="129"/>
      <c r="D15" s="120" t="s">
        <v>134</v>
      </c>
      <c r="E15" s="32"/>
      <c r="F15" s="118"/>
      <c r="G15" s="118"/>
      <c r="H15" s="118"/>
      <c r="I15" s="118" t="s">
        <v>135</v>
      </c>
      <c r="J15" s="118"/>
      <c r="K15" s="118"/>
      <c r="L15" s="118"/>
      <c r="M15" s="118"/>
      <c r="N15" s="118" t="s">
        <v>136</v>
      </c>
      <c r="O15" s="118" t="s">
        <v>137</v>
      </c>
      <c r="P15" s="118" t="s">
        <v>138</v>
      </c>
      <c r="Q15" s="130"/>
      <c r="R15" s="118"/>
      <c r="S15" s="118"/>
      <c r="T15" s="118" t="s">
        <v>139</v>
      </c>
      <c r="U15" s="118"/>
      <c r="V15" s="118"/>
      <c r="W15" s="118"/>
      <c r="X15" s="118"/>
      <c r="Y15" s="118" t="s">
        <v>140</v>
      </c>
      <c r="Z15" s="118" t="s">
        <v>141</v>
      </c>
      <c r="AA15" s="118" t="s">
        <v>142</v>
      </c>
      <c r="AB15" s="118"/>
      <c r="AC15" s="118" t="s">
        <v>143</v>
      </c>
      <c r="AD15" s="34"/>
    </row>
    <row r="16" spans="1:30" s="30" customFormat="1" x14ac:dyDescent="0.25">
      <c r="A16" s="131" t="s">
        <v>29</v>
      </c>
      <c r="B16" s="132"/>
      <c r="C16" s="133"/>
      <c r="D16" s="134"/>
      <c r="E16" s="132"/>
      <c r="F16" s="132"/>
      <c r="G16" s="132"/>
      <c r="H16" s="132"/>
      <c r="I16" s="132"/>
      <c r="J16" s="132"/>
      <c r="K16" s="132"/>
      <c r="L16" s="132"/>
      <c r="M16" s="132"/>
      <c r="N16" s="132"/>
      <c r="O16" s="135"/>
      <c r="P16" s="132"/>
      <c r="Q16" s="132"/>
      <c r="R16" s="132"/>
      <c r="S16" s="132"/>
      <c r="T16" s="132"/>
      <c r="U16" s="132"/>
      <c r="V16" s="132"/>
      <c r="W16" s="132"/>
      <c r="X16" s="132"/>
      <c r="Y16" s="132"/>
      <c r="Z16" s="132"/>
      <c r="AA16" s="132"/>
      <c r="AB16" s="132"/>
      <c r="AC16" s="132"/>
      <c r="AD16" s="134"/>
    </row>
    <row r="17" spans="1:35" s="30" customFormat="1" hidden="1" x14ac:dyDescent="0.25">
      <c r="A17" s="132"/>
      <c r="B17" s="132"/>
      <c r="C17" s="132"/>
      <c r="D17" s="134"/>
      <c r="E17" s="132"/>
      <c r="F17" s="132"/>
      <c r="G17" s="132"/>
      <c r="H17" s="132"/>
      <c r="I17" s="132"/>
      <c r="J17" s="132"/>
      <c r="K17" s="132"/>
      <c r="L17" s="132"/>
      <c r="M17" s="132"/>
      <c r="N17" s="132"/>
      <c r="O17" s="135"/>
      <c r="P17" s="132"/>
      <c r="Q17" s="132"/>
      <c r="R17" s="132"/>
      <c r="S17" s="132"/>
      <c r="T17" s="132"/>
      <c r="U17" s="132"/>
      <c r="V17" s="132"/>
      <c r="W17" s="132"/>
      <c r="X17" s="132"/>
      <c r="Y17" s="132"/>
      <c r="Z17" s="132"/>
      <c r="AA17" s="132"/>
      <c r="AB17" s="132"/>
      <c r="AC17" s="132"/>
      <c r="AD17" s="134"/>
    </row>
    <row r="18" spans="1:35" s="30" customFormat="1" hidden="1" x14ac:dyDescent="0.25">
      <c r="A18" s="132" t="s">
        <v>291</v>
      </c>
      <c r="B18" s="132">
        <v>0</v>
      </c>
      <c r="C18" s="132">
        <v>0</v>
      </c>
      <c r="D18" s="136">
        <f>+C18+B18</f>
        <v>0</v>
      </c>
      <c r="E18" s="132"/>
      <c r="F18" s="132">
        <v>0</v>
      </c>
      <c r="G18" s="132">
        <v>0</v>
      </c>
      <c r="H18" s="132">
        <v>0</v>
      </c>
      <c r="I18" s="136">
        <f>+F18+G18+H18</f>
        <v>0</v>
      </c>
      <c r="J18" s="132">
        <v>0</v>
      </c>
      <c r="K18" s="132">
        <v>0</v>
      </c>
      <c r="L18" s="132">
        <v>0</v>
      </c>
      <c r="M18" s="132">
        <v>0</v>
      </c>
      <c r="N18" s="136">
        <f>+L18+M18</f>
        <v>0</v>
      </c>
      <c r="O18" s="136">
        <f>+J18+K18+N18</f>
        <v>0</v>
      </c>
      <c r="P18" s="136">
        <f>+I18+O18</f>
        <v>0</v>
      </c>
      <c r="Q18" s="132"/>
      <c r="R18" s="132">
        <v>0</v>
      </c>
      <c r="S18" s="132">
        <v>0</v>
      </c>
      <c r="T18" s="136">
        <f>+S18+R18</f>
        <v>0</v>
      </c>
      <c r="U18" s="132">
        <v>57645</v>
      </c>
      <c r="V18" s="132">
        <v>31455392</v>
      </c>
      <c r="W18" s="132">
        <v>2696477</v>
      </c>
      <c r="X18" s="132">
        <v>1760702</v>
      </c>
      <c r="Y18" s="137">
        <f>+W18+X18</f>
        <v>4457179</v>
      </c>
      <c r="Z18" s="138">
        <f>+U18+V18+Y18</f>
        <v>35970216</v>
      </c>
      <c r="AA18" s="137">
        <f>+T18+Z18</f>
        <v>35970216</v>
      </c>
      <c r="AB18" s="132"/>
      <c r="AC18" s="137">
        <f>D18+P18+AA18+AB18</f>
        <v>35970216</v>
      </c>
      <c r="AD18" s="134"/>
    </row>
    <row r="19" spans="1:35" s="30" customFormat="1" hidden="1" x14ac:dyDescent="0.25">
      <c r="A19" s="219" t="s">
        <v>292</v>
      </c>
      <c r="B19" s="132">
        <v>0</v>
      </c>
      <c r="C19" s="132">
        <v>0</v>
      </c>
      <c r="D19" s="136">
        <f>+C19+B19</f>
        <v>0</v>
      </c>
      <c r="E19" s="132"/>
      <c r="F19" s="132">
        <v>0</v>
      </c>
      <c r="G19" s="132">
        <v>0</v>
      </c>
      <c r="H19" s="132">
        <v>0</v>
      </c>
      <c r="I19" s="136">
        <f>+F19+G19+H19</f>
        <v>0</v>
      </c>
      <c r="J19" s="132">
        <v>0</v>
      </c>
      <c r="K19" s="132">
        <v>0</v>
      </c>
      <c r="L19" s="132">
        <v>0</v>
      </c>
      <c r="M19" s="132">
        <v>0</v>
      </c>
      <c r="N19" s="136">
        <f>+L19+M19</f>
        <v>0</v>
      </c>
      <c r="O19" s="136">
        <f>+J19+K19+N19</f>
        <v>0</v>
      </c>
      <c r="P19" s="136">
        <f>+I19+O19</f>
        <v>0</v>
      </c>
      <c r="Q19" s="132"/>
      <c r="R19" s="132">
        <v>0</v>
      </c>
      <c r="S19" s="132">
        <v>0</v>
      </c>
      <c r="T19" s="136">
        <f>+S19+R19</f>
        <v>0</v>
      </c>
      <c r="U19" s="219">
        <v>31071</v>
      </c>
      <c r="V19" s="219">
        <v>11439591</v>
      </c>
      <c r="W19" s="219">
        <v>3965016</v>
      </c>
      <c r="X19" s="219">
        <v>870786</v>
      </c>
      <c r="Y19" s="221">
        <f>+W19+X19</f>
        <v>4835802</v>
      </c>
      <c r="Z19" s="220">
        <f>+U19+V19+Y19</f>
        <v>16306464</v>
      </c>
      <c r="AA19" s="221">
        <f>+T19+Z19</f>
        <v>16306464</v>
      </c>
      <c r="AB19" s="132"/>
      <c r="AC19" s="221">
        <f>D19+P19+AA19+AB19</f>
        <v>16306464</v>
      </c>
      <c r="AD19" s="134"/>
    </row>
    <row r="20" spans="1:35" s="30" customFormat="1" hidden="1" x14ac:dyDescent="0.25">
      <c r="B20" s="139"/>
      <c r="C20" s="140"/>
      <c r="D20" s="131"/>
      <c r="E20" s="139"/>
      <c r="F20" s="139"/>
      <c r="G20" s="139"/>
      <c r="H20" s="139"/>
      <c r="I20" s="139"/>
      <c r="J20" s="139"/>
      <c r="K20" s="139"/>
      <c r="L20" s="139"/>
      <c r="M20" s="139"/>
      <c r="N20" s="139"/>
      <c r="O20" s="141"/>
      <c r="P20" s="139"/>
      <c r="Q20" s="139"/>
      <c r="R20" s="139"/>
      <c r="S20" s="139"/>
      <c r="T20" s="139"/>
      <c r="U20" s="139"/>
      <c r="V20" s="139"/>
      <c r="W20" s="139"/>
      <c r="X20" s="139"/>
      <c r="Y20" s="139"/>
      <c r="Z20" s="139"/>
      <c r="AA20" s="139"/>
      <c r="AB20" s="139"/>
      <c r="AC20" s="139"/>
      <c r="AD20" s="131"/>
    </row>
    <row r="21" spans="1:35" s="30" customFormat="1" hidden="1" x14ac:dyDescent="0.25">
      <c r="A21" s="132" t="s">
        <v>283</v>
      </c>
      <c r="B21" s="142"/>
      <c r="C21" s="143"/>
      <c r="D21" s="143">
        <f>+D18</f>
        <v>0</v>
      </c>
      <c r="E21" s="142"/>
      <c r="F21" s="142"/>
      <c r="G21" s="142"/>
      <c r="H21" s="142"/>
      <c r="I21" s="142">
        <f>+I18</f>
        <v>0</v>
      </c>
      <c r="J21" s="142"/>
      <c r="K21" s="142"/>
      <c r="L21" s="142"/>
      <c r="M21" s="142"/>
      <c r="N21" s="142">
        <f>+N18</f>
        <v>0</v>
      </c>
      <c r="O21" s="142">
        <f>+O18</f>
        <v>0</v>
      </c>
      <c r="P21" s="142">
        <f>+P18</f>
        <v>0</v>
      </c>
      <c r="Q21" s="142"/>
      <c r="R21" s="142"/>
      <c r="S21" s="142"/>
      <c r="T21" s="142">
        <f>+T18</f>
        <v>0</v>
      </c>
      <c r="U21" s="142"/>
      <c r="V21" s="142"/>
      <c r="W21" s="142"/>
      <c r="X21" s="142"/>
      <c r="Y21" s="142">
        <f>+Y19+Y18</f>
        <v>9292981</v>
      </c>
      <c r="Z21" s="142">
        <f>+Z19+Z18</f>
        <v>52276680</v>
      </c>
      <c r="AA21" s="142">
        <f>+AA19+AA18</f>
        <v>52276680</v>
      </c>
      <c r="AB21" s="142"/>
      <c r="AC21" s="142">
        <f>+AC19+AC18</f>
        <v>52276680</v>
      </c>
      <c r="AD21" s="144"/>
    </row>
    <row r="22" spans="1:35" s="30" customFormat="1" hidden="1" x14ac:dyDescent="0.25">
      <c r="A22" s="132"/>
      <c r="B22" s="132"/>
      <c r="C22" s="133"/>
      <c r="D22" s="132"/>
      <c r="E22" s="132"/>
      <c r="F22" s="132"/>
      <c r="G22" s="132"/>
      <c r="H22" s="132"/>
      <c r="I22" s="132"/>
      <c r="J22" s="132"/>
      <c r="K22" s="132"/>
      <c r="L22" s="132"/>
      <c r="M22" s="132"/>
      <c r="N22" s="132"/>
      <c r="O22" s="132"/>
      <c r="P22" s="132"/>
      <c r="Q22" s="132"/>
      <c r="R22" s="132"/>
      <c r="S22" s="132"/>
      <c r="T22" s="132"/>
      <c r="U22" s="132"/>
      <c r="V22" s="132"/>
      <c r="W22" s="132"/>
      <c r="X22" s="132"/>
      <c r="Y22" s="132"/>
      <c r="Z22" s="132"/>
      <c r="AA22" s="132"/>
      <c r="AB22" s="132"/>
      <c r="AC22" s="132"/>
      <c r="AD22" s="134"/>
    </row>
    <row r="23" spans="1:35" s="30" customFormat="1" x14ac:dyDescent="0.25">
      <c r="A23" s="131" t="s">
        <v>144</v>
      </c>
      <c r="B23" s="145"/>
      <c r="C23" s="133"/>
      <c r="D23" s="132"/>
      <c r="E23" s="132"/>
      <c r="F23" s="132"/>
      <c r="G23" s="132"/>
      <c r="H23" s="132"/>
      <c r="I23" s="132"/>
      <c r="J23" s="132"/>
      <c r="K23" s="132"/>
      <c r="L23" s="132"/>
      <c r="M23" s="132"/>
      <c r="N23" s="132"/>
      <c r="O23" s="132"/>
      <c r="P23" s="132"/>
      <c r="Q23" s="132"/>
      <c r="R23" s="132"/>
      <c r="S23" s="132"/>
      <c r="T23" s="132"/>
      <c r="U23" s="132"/>
      <c r="V23" s="132"/>
      <c r="W23" s="132"/>
      <c r="X23" s="134"/>
      <c r="Z23" s="134"/>
      <c r="AB23" s="134"/>
      <c r="AD23" s="134"/>
    </row>
    <row r="24" spans="1:35" s="30" customFormat="1" hidden="1" x14ac:dyDescent="0.25">
      <c r="A24" s="1" t="s">
        <v>30</v>
      </c>
      <c r="B24" s="132">
        <v>245199.40000000002</v>
      </c>
      <c r="C24" s="132">
        <v>1800848.26</v>
      </c>
      <c r="D24" s="136">
        <f>+C24+B24</f>
        <v>2046047.6600000001</v>
      </c>
      <c r="E24" s="132"/>
      <c r="F24" s="132">
        <v>25016.639999999999</v>
      </c>
      <c r="G24" s="132">
        <v>185492.19131519445</v>
      </c>
      <c r="H24" s="132">
        <v>33880.019999999997</v>
      </c>
      <c r="I24" s="136">
        <f>+F24+G24+H24</f>
        <v>244388.85131519442</v>
      </c>
      <c r="J24" s="132">
        <v>23904.000000000004</v>
      </c>
      <c r="K24" s="132">
        <v>355183.74868480564</v>
      </c>
      <c r="L24" s="132">
        <v>96999.72</v>
      </c>
      <c r="M24" s="132">
        <v>0</v>
      </c>
      <c r="N24" s="136">
        <f>+L24+M24</f>
        <v>96999.72</v>
      </c>
      <c r="O24" s="136">
        <f>+J24+K24+N24</f>
        <v>476087.46868480567</v>
      </c>
      <c r="P24" s="136">
        <f>+I24+O24</f>
        <v>720476.32000000007</v>
      </c>
      <c r="Q24" s="132"/>
      <c r="R24" s="132">
        <v>0</v>
      </c>
      <c r="S24" s="132">
        <v>0</v>
      </c>
      <c r="T24" s="136">
        <f>+S24+R24</f>
        <v>0</v>
      </c>
      <c r="U24" s="132">
        <v>0</v>
      </c>
      <c r="V24" s="132">
        <v>0</v>
      </c>
      <c r="W24" s="132">
        <v>0</v>
      </c>
      <c r="X24" s="134">
        <v>0</v>
      </c>
      <c r="Y24" s="137">
        <f>+W24+X24</f>
        <v>0</v>
      </c>
      <c r="Z24" s="138">
        <f>+U24+V24+Y24</f>
        <v>0</v>
      </c>
      <c r="AA24" s="137">
        <f>+T24+Z24</f>
        <v>0</v>
      </c>
      <c r="AB24" s="134">
        <v>0</v>
      </c>
      <c r="AC24" s="137">
        <f>D24+P24+AA24+AB24</f>
        <v>2766523.9800000004</v>
      </c>
      <c r="AD24" s="146"/>
    </row>
    <row r="25" spans="1:35" s="30" customFormat="1" x14ac:dyDescent="0.25">
      <c r="A25" s="1" t="s">
        <v>31</v>
      </c>
      <c r="B25" s="224">
        <f>+'EEC Billing Determinants'!E10</f>
        <v>1723721.66</v>
      </c>
      <c r="C25" s="224">
        <f>'EEC Billing Determinants'!F10</f>
        <v>12628813.08</v>
      </c>
      <c r="D25" s="224">
        <f>+C25+B25</f>
        <v>14352534.74</v>
      </c>
      <c r="E25" s="132"/>
      <c r="F25" s="224">
        <f>'EEC Billing Determinants'!E18</f>
        <v>434399.2</v>
      </c>
      <c r="G25" s="224">
        <f>SUM('EEC Billing Determinants'!F13:F16)</f>
        <v>2458586.7599999998</v>
      </c>
      <c r="H25" s="224">
        <f>'EEC Billing Determinants'!F17</f>
        <v>629603.34142555878</v>
      </c>
      <c r="I25" s="224">
        <f>SUM(F25:H25)</f>
        <v>3522589.3014255585</v>
      </c>
      <c r="J25" s="224">
        <f>'EEC Billing Determinants'!E26</f>
        <v>362768.31</v>
      </c>
      <c r="K25" s="224">
        <f>'EEC Billing Determinants'!F26</f>
        <v>14033595.930000002</v>
      </c>
      <c r="L25" s="132"/>
      <c r="M25" s="132"/>
      <c r="N25" s="224">
        <f>'EEC Billing Determinants'!G26</f>
        <v>8930054.1500000004</v>
      </c>
      <c r="O25" s="224">
        <f>J25+K25+N25</f>
        <v>23326418.390000001</v>
      </c>
      <c r="P25" s="224">
        <f>I25+O25</f>
        <v>26849007.691425558</v>
      </c>
      <c r="Q25" s="132"/>
      <c r="R25" s="224">
        <v>0</v>
      </c>
      <c r="S25" s="224">
        <v>0</v>
      </c>
      <c r="T25" s="224">
        <f>+S25+R25</f>
        <v>0</v>
      </c>
      <c r="U25" s="224">
        <f>'EEC Billing Determinants'!E33</f>
        <v>15264.72</v>
      </c>
      <c r="V25" s="224">
        <f>'EEC Billing Determinants'!F33</f>
        <v>3460806.7800000003</v>
      </c>
      <c r="W25" s="132"/>
      <c r="X25" s="134"/>
      <c r="Y25" s="243">
        <f>'EEC Billing Determinants'!G33</f>
        <v>1640784.16</v>
      </c>
      <c r="Z25" s="225">
        <f>U25+V25+Y25</f>
        <v>5116855.66</v>
      </c>
      <c r="AA25" s="243">
        <f>+T25+Z25</f>
        <v>5116855.66</v>
      </c>
      <c r="AB25" s="225">
        <v>0</v>
      </c>
      <c r="AC25" s="243">
        <f>D25+P25+AA25+AB25</f>
        <v>46318398.091425553</v>
      </c>
      <c r="AD25" s="243"/>
    </row>
    <row r="26" spans="1:35" s="30" customFormat="1" hidden="1" x14ac:dyDescent="0.25">
      <c r="A26" s="1" t="s">
        <v>32</v>
      </c>
      <c r="B26" s="132">
        <v>168914.25</v>
      </c>
      <c r="C26" s="132">
        <v>2009121.51</v>
      </c>
      <c r="D26" s="136">
        <f>+C26+B26</f>
        <v>2178035.7599999998</v>
      </c>
      <c r="E26" s="132"/>
      <c r="F26" s="132">
        <v>30832.560000000001</v>
      </c>
      <c r="G26" s="132">
        <v>331935.99</v>
      </c>
      <c r="H26" s="132">
        <v>28071</v>
      </c>
      <c r="I26" s="136">
        <f>+F26+G26+H26</f>
        <v>390839.55</v>
      </c>
      <c r="J26" s="132">
        <v>13805.76</v>
      </c>
      <c r="K26" s="132">
        <v>1083729.7899999998</v>
      </c>
      <c r="L26" s="132">
        <v>314956.21999999997</v>
      </c>
      <c r="M26" s="132">
        <v>0</v>
      </c>
      <c r="N26" s="136">
        <f>+L26+M26</f>
        <v>314956.21999999997</v>
      </c>
      <c r="O26" s="136">
        <f>+J26+K26+N26</f>
        <v>1412491.7699999998</v>
      </c>
      <c r="P26" s="136">
        <f>+I26+O26</f>
        <v>1803331.3199999998</v>
      </c>
      <c r="Q26" s="132"/>
      <c r="R26" s="132">
        <v>0</v>
      </c>
      <c r="S26" s="132">
        <v>0</v>
      </c>
      <c r="T26" s="136">
        <f>+S26+R26</f>
        <v>0</v>
      </c>
      <c r="U26" s="132">
        <v>0</v>
      </c>
      <c r="V26" s="132">
        <v>0</v>
      </c>
      <c r="W26" s="132">
        <v>0</v>
      </c>
      <c r="X26" s="134">
        <v>0</v>
      </c>
      <c r="Y26" s="137">
        <f>+W26+X26</f>
        <v>0</v>
      </c>
      <c r="Z26" s="138">
        <f>+U26+V26+Y26</f>
        <v>0</v>
      </c>
      <c r="AA26" s="137">
        <f>+T26+Z26</f>
        <v>0</v>
      </c>
      <c r="AB26" s="134">
        <v>0</v>
      </c>
      <c r="AC26" s="137">
        <f>D26+P26+AA26+AB26</f>
        <v>3981367.0799999996</v>
      </c>
      <c r="AD26" s="134"/>
      <c r="AF26" s="1" t="s">
        <v>295</v>
      </c>
    </row>
    <row r="27" spans="1:35" s="30" customFormat="1" hidden="1" x14ac:dyDescent="0.25">
      <c r="A27" s="1" t="s">
        <v>33</v>
      </c>
      <c r="B27" s="132">
        <v>34779602</v>
      </c>
      <c r="C27" s="132">
        <v>216290663</v>
      </c>
      <c r="D27" s="136">
        <f t="shared" ref="D27:D40" si="0">+C27+B27</f>
        <v>251070265</v>
      </c>
      <c r="E27" s="132"/>
      <c r="F27" s="132">
        <v>5408721</v>
      </c>
      <c r="G27" s="132">
        <v>30939750</v>
      </c>
      <c r="H27" s="132">
        <v>4511902</v>
      </c>
      <c r="I27" s="136">
        <f t="shared" ref="I27:I40" si="1">+F27+G27+H27</f>
        <v>40860373</v>
      </c>
      <c r="J27" s="132">
        <v>6763102</v>
      </c>
      <c r="K27" s="132">
        <v>107696558</v>
      </c>
      <c r="L27" s="132">
        <v>55724234</v>
      </c>
      <c r="M27" s="132">
        <v>8186332</v>
      </c>
      <c r="N27" s="136">
        <f t="shared" ref="N27:N40" si="2">+L27+M27</f>
        <v>63910566</v>
      </c>
      <c r="O27" s="136">
        <f t="shared" ref="O27:O40" si="3">+J27+K27+N27</f>
        <v>178370226</v>
      </c>
      <c r="P27" s="136">
        <f t="shared" ref="P27:P40" si="4">+I27+O27</f>
        <v>219230599</v>
      </c>
      <c r="Q27" s="132"/>
      <c r="R27" s="132">
        <v>0</v>
      </c>
      <c r="S27" s="132">
        <v>0</v>
      </c>
      <c r="T27" s="136">
        <f t="shared" ref="T27:T40" si="5">+S27+R27</f>
        <v>0</v>
      </c>
      <c r="U27" s="224">
        <f>IF('EEC Rates Report'!$F$34=1,'Util Rev and Load Data'!AF27-'Util Rev and Load Data'!U19,'Util Rev and Load Data'!AF27)</f>
        <v>326255</v>
      </c>
      <c r="V27" s="224">
        <f>IF('EEC Rates Report'!$F$34=1,'Util Rev and Load Data'!AG27-'Util Rev and Load Data'!V19,'Util Rev and Load Data'!AG27)</f>
        <v>40709008</v>
      </c>
      <c r="W27" s="224">
        <f>IF('EEC Rates Report'!$F$34=1,'Util Rev and Load Data'!AH27-'Util Rev and Load Data'!W19,'Util Rev and Load Data'!AH27)</f>
        <v>17685687</v>
      </c>
      <c r="X27" s="225">
        <f>IF('EEC Rates Report'!$F$34=1,'Util Rev and Load Data'!AI27-'Util Rev and Load Data'!X19,'Util Rev and Load Data'!AI27)</f>
        <v>4020052</v>
      </c>
      <c r="Y27" s="137">
        <f t="shared" ref="Y27:Y40" si="6">+W27+X27</f>
        <v>21705739</v>
      </c>
      <c r="Z27" s="138">
        <f t="shared" ref="Z27:Z40" si="7">+U27+V27+Y27</f>
        <v>62741002</v>
      </c>
      <c r="AA27" s="137">
        <f t="shared" ref="AA27:AA40" si="8">+T27+Z27</f>
        <v>62741002</v>
      </c>
      <c r="AB27" s="134">
        <v>421</v>
      </c>
      <c r="AC27" s="137">
        <f>D27+P27+AA27+AB27</f>
        <v>533042287</v>
      </c>
      <c r="AD27" s="134"/>
      <c r="AF27" s="144">
        <f>357326</f>
        <v>357326</v>
      </c>
      <c r="AG27" s="144">
        <v>52148599</v>
      </c>
      <c r="AH27" s="144">
        <v>21650703</v>
      </c>
      <c r="AI27" s="144">
        <v>4890838</v>
      </c>
    </row>
    <row r="28" spans="1:35" s="30" customFormat="1" hidden="1" x14ac:dyDescent="0.25">
      <c r="A28" s="1" t="s">
        <v>34</v>
      </c>
      <c r="B28" s="132">
        <v>508462.91</v>
      </c>
      <c r="C28" s="132">
        <v>3587452.09</v>
      </c>
      <c r="D28" s="136">
        <f t="shared" si="0"/>
        <v>4095915</v>
      </c>
      <c r="E28" s="132"/>
      <c r="F28" s="132">
        <v>72493.5</v>
      </c>
      <c r="G28" s="132">
        <v>845288.5</v>
      </c>
      <c r="H28" s="132">
        <v>45052</v>
      </c>
      <c r="I28" s="136">
        <f t="shared" si="1"/>
        <v>962834</v>
      </c>
      <c r="J28" s="132">
        <v>46278.69</v>
      </c>
      <c r="K28" s="132">
        <v>474972.91</v>
      </c>
      <c r="L28" s="132">
        <v>316044.40000000002</v>
      </c>
      <c r="M28" s="132">
        <v>0</v>
      </c>
      <c r="N28" s="136">
        <f t="shared" si="2"/>
        <v>316044.40000000002</v>
      </c>
      <c r="O28" s="136">
        <f t="shared" si="3"/>
        <v>837296</v>
      </c>
      <c r="P28" s="136">
        <f t="shared" si="4"/>
        <v>1800130</v>
      </c>
      <c r="Q28" s="132"/>
      <c r="R28" s="132">
        <v>0</v>
      </c>
      <c r="S28" s="132">
        <v>0</v>
      </c>
      <c r="T28" s="136">
        <f t="shared" si="5"/>
        <v>0</v>
      </c>
      <c r="U28" s="132">
        <v>0</v>
      </c>
      <c r="V28" s="132">
        <v>0</v>
      </c>
      <c r="W28" s="132">
        <v>0</v>
      </c>
      <c r="X28" s="134">
        <v>0</v>
      </c>
      <c r="Y28" s="137">
        <f t="shared" si="6"/>
        <v>0</v>
      </c>
      <c r="Z28" s="138">
        <f t="shared" si="7"/>
        <v>0</v>
      </c>
      <c r="AA28" s="137">
        <f t="shared" si="8"/>
        <v>0</v>
      </c>
      <c r="AB28" s="134">
        <v>0</v>
      </c>
      <c r="AC28" s="137">
        <f t="shared" ref="AC28:AC40" si="9">D28+P28+AA28+AB28</f>
        <v>5896045</v>
      </c>
      <c r="AD28" s="134"/>
    </row>
    <row r="29" spans="1:35" s="30" customFormat="1" hidden="1" x14ac:dyDescent="0.25">
      <c r="A29" s="1" t="s">
        <v>35</v>
      </c>
      <c r="B29" s="132">
        <v>204405.84999999995</v>
      </c>
      <c r="C29" s="132">
        <v>1180090.4400000002</v>
      </c>
      <c r="D29" s="136">
        <f t="shared" si="0"/>
        <v>1384496.29</v>
      </c>
      <c r="E29" s="132"/>
      <c r="F29" s="132">
        <v>36015.78</v>
      </c>
      <c r="G29" s="132">
        <v>353853.19000000006</v>
      </c>
      <c r="H29" s="132">
        <v>10974.69</v>
      </c>
      <c r="I29" s="136">
        <f t="shared" si="1"/>
        <v>400843.66000000009</v>
      </c>
      <c r="J29" s="132">
        <v>9070.25</v>
      </c>
      <c r="K29" s="132">
        <v>156455.21000000002</v>
      </c>
      <c r="L29" s="132">
        <v>106491.98999999999</v>
      </c>
      <c r="M29" s="132">
        <v>0</v>
      </c>
      <c r="N29" s="136">
        <f t="shared" si="2"/>
        <v>106491.98999999999</v>
      </c>
      <c r="O29" s="136">
        <f t="shared" si="3"/>
        <v>272017.45</v>
      </c>
      <c r="P29" s="136">
        <f t="shared" si="4"/>
        <v>672861.1100000001</v>
      </c>
      <c r="Q29" s="132"/>
      <c r="R29" s="132">
        <v>0</v>
      </c>
      <c r="S29" s="132">
        <v>0</v>
      </c>
      <c r="T29" s="136">
        <f t="shared" si="5"/>
        <v>0</v>
      </c>
      <c r="U29" s="132">
        <v>0</v>
      </c>
      <c r="V29" s="132">
        <v>0</v>
      </c>
      <c r="W29" s="132">
        <v>0</v>
      </c>
      <c r="X29" s="134">
        <v>0</v>
      </c>
      <c r="Y29" s="137">
        <f t="shared" si="6"/>
        <v>0</v>
      </c>
      <c r="Z29" s="138">
        <f t="shared" si="7"/>
        <v>0</v>
      </c>
      <c r="AA29" s="137">
        <f t="shared" si="8"/>
        <v>0</v>
      </c>
      <c r="AB29" s="134">
        <v>0</v>
      </c>
      <c r="AC29" s="137">
        <f t="shared" si="9"/>
        <v>2057357.4000000001</v>
      </c>
      <c r="AD29" s="134"/>
    </row>
    <row r="30" spans="1:35" s="30" customFormat="1" hidden="1" x14ac:dyDescent="0.25">
      <c r="A30" s="1" t="s">
        <v>36</v>
      </c>
      <c r="B30" s="132">
        <v>62468.86</v>
      </c>
      <c r="C30" s="132">
        <v>508792.6</v>
      </c>
      <c r="D30" s="136">
        <f t="shared" si="0"/>
        <v>571261.46</v>
      </c>
      <c r="E30" s="132"/>
      <c r="F30" s="132">
        <v>4201.7699999999995</v>
      </c>
      <c r="G30" s="132">
        <v>94861.15</v>
      </c>
      <c r="H30" s="132">
        <v>3307.7600000000007</v>
      </c>
      <c r="I30" s="136">
        <f t="shared" si="1"/>
        <v>102370.68</v>
      </c>
      <c r="J30" s="132">
        <v>984.96000000000015</v>
      </c>
      <c r="K30" s="132">
        <v>83525.349999999991</v>
      </c>
      <c r="L30" s="132">
        <v>65281.000000000007</v>
      </c>
      <c r="M30" s="132">
        <v>0</v>
      </c>
      <c r="N30" s="136">
        <f t="shared" si="2"/>
        <v>65281.000000000007</v>
      </c>
      <c r="O30" s="136">
        <f t="shared" si="3"/>
        <v>149791.31</v>
      </c>
      <c r="P30" s="136">
        <f t="shared" si="4"/>
        <v>252161.99</v>
      </c>
      <c r="Q30" s="132"/>
      <c r="R30" s="132">
        <v>0</v>
      </c>
      <c r="S30" s="132">
        <v>0</v>
      </c>
      <c r="T30" s="136">
        <f t="shared" si="5"/>
        <v>0</v>
      </c>
      <c r="U30" s="132">
        <v>0</v>
      </c>
      <c r="V30" s="132">
        <v>0</v>
      </c>
      <c r="W30" s="132">
        <v>0</v>
      </c>
      <c r="X30" s="134">
        <v>0</v>
      </c>
      <c r="Y30" s="137">
        <f t="shared" si="6"/>
        <v>0</v>
      </c>
      <c r="Z30" s="138">
        <f t="shared" si="7"/>
        <v>0</v>
      </c>
      <c r="AA30" s="137">
        <f t="shared" si="8"/>
        <v>0</v>
      </c>
      <c r="AB30" s="134">
        <v>0</v>
      </c>
      <c r="AC30" s="137">
        <f t="shared" si="9"/>
        <v>823423.45</v>
      </c>
      <c r="AD30" s="134"/>
    </row>
    <row r="31" spans="1:35" s="30" customFormat="1" hidden="1" x14ac:dyDescent="0.25">
      <c r="A31" s="1" t="s">
        <v>37</v>
      </c>
      <c r="B31" s="132">
        <v>114820</v>
      </c>
      <c r="C31" s="132">
        <v>747373</v>
      </c>
      <c r="D31" s="136">
        <f t="shared" si="0"/>
        <v>862193</v>
      </c>
      <c r="E31" s="132"/>
      <c r="F31" s="132">
        <v>33160</v>
      </c>
      <c r="G31" s="132">
        <v>309235</v>
      </c>
      <c r="H31" s="132">
        <v>16016</v>
      </c>
      <c r="I31" s="136">
        <f t="shared" si="1"/>
        <v>358411</v>
      </c>
      <c r="J31" s="132">
        <v>12008</v>
      </c>
      <c r="K31" s="132">
        <v>587718</v>
      </c>
      <c r="L31" s="132">
        <v>280803</v>
      </c>
      <c r="M31" s="132">
        <v>0</v>
      </c>
      <c r="N31" s="136">
        <f t="shared" si="2"/>
        <v>280803</v>
      </c>
      <c r="O31" s="136">
        <f t="shared" si="3"/>
        <v>880529</v>
      </c>
      <c r="P31" s="136">
        <f t="shared" si="4"/>
        <v>1238940</v>
      </c>
      <c r="Q31" s="132"/>
      <c r="R31" s="132">
        <v>0</v>
      </c>
      <c r="S31" s="132">
        <v>0</v>
      </c>
      <c r="T31" s="136">
        <f t="shared" si="5"/>
        <v>0</v>
      </c>
      <c r="U31" s="132">
        <v>0</v>
      </c>
      <c r="V31" s="132">
        <v>0</v>
      </c>
      <c r="W31" s="132">
        <v>0</v>
      </c>
      <c r="X31" s="134">
        <v>0</v>
      </c>
      <c r="Y31" s="137">
        <f t="shared" si="6"/>
        <v>0</v>
      </c>
      <c r="Z31" s="138">
        <f t="shared" si="7"/>
        <v>0</v>
      </c>
      <c r="AA31" s="137">
        <f t="shared" si="8"/>
        <v>0</v>
      </c>
      <c r="AB31" s="134">
        <v>4985</v>
      </c>
      <c r="AC31" s="137">
        <f t="shared" si="9"/>
        <v>2106118</v>
      </c>
      <c r="AD31" s="148"/>
    </row>
    <row r="32" spans="1:35" s="30" customFormat="1" hidden="1" x14ac:dyDescent="0.25">
      <c r="A32" s="1" t="s">
        <v>38</v>
      </c>
      <c r="B32" s="132">
        <v>349282</v>
      </c>
      <c r="C32" s="132">
        <v>1790060</v>
      </c>
      <c r="D32" s="136">
        <f t="shared" si="0"/>
        <v>2139342</v>
      </c>
      <c r="E32" s="132"/>
      <c r="F32" s="132">
        <v>198072</v>
      </c>
      <c r="G32" s="132">
        <v>823274</v>
      </c>
      <c r="H32" s="132">
        <v>100494</v>
      </c>
      <c r="I32" s="136">
        <f t="shared" si="1"/>
        <v>1121840</v>
      </c>
      <c r="J32" s="132">
        <v>149807</v>
      </c>
      <c r="K32" s="132">
        <v>963285</v>
      </c>
      <c r="L32" s="132">
        <v>763891</v>
      </c>
      <c r="M32" s="132">
        <v>0</v>
      </c>
      <c r="N32" s="136">
        <f t="shared" si="2"/>
        <v>763891</v>
      </c>
      <c r="O32" s="136">
        <f t="shared" si="3"/>
        <v>1876983</v>
      </c>
      <c r="P32" s="136">
        <f t="shared" si="4"/>
        <v>2998823</v>
      </c>
      <c r="Q32" s="132"/>
      <c r="R32" s="132">
        <v>0</v>
      </c>
      <c r="S32" s="132">
        <v>0</v>
      </c>
      <c r="T32" s="136">
        <f t="shared" si="5"/>
        <v>0</v>
      </c>
      <c r="U32" s="132">
        <v>213020</v>
      </c>
      <c r="V32" s="132">
        <v>1211046</v>
      </c>
      <c r="W32" s="132">
        <v>929159</v>
      </c>
      <c r="X32" s="134">
        <v>0</v>
      </c>
      <c r="Y32" s="137">
        <f t="shared" si="6"/>
        <v>929159</v>
      </c>
      <c r="Z32" s="138">
        <f t="shared" si="7"/>
        <v>2353225</v>
      </c>
      <c r="AA32" s="137">
        <f t="shared" si="8"/>
        <v>2353225</v>
      </c>
      <c r="AB32" s="134">
        <v>0</v>
      </c>
      <c r="AC32" s="137">
        <f t="shared" si="9"/>
        <v>7491390</v>
      </c>
      <c r="AD32" s="134"/>
      <c r="AG32" s="30" t="s">
        <v>280</v>
      </c>
    </row>
    <row r="33" spans="1:35" s="30" customFormat="1" hidden="1" x14ac:dyDescent="0.25">
      <c r="A33" s="1" t="s">
        <v>39</v>
      </c>
      <c r="B33" s="132">
        <v>541408</v>
      </c>
      <c r="C33" s="132">
        <v>4205924.0000000019</v>
      </c>
      <c r="D33" s="136">
        <f>+C33+B33</f>
        <v>4747332.0000000019</v>
      </c>
      <c r="E33" s="132"/>
      <c r="F33" s="132">
        <v>157624</v>
      </c>
      <c r="G33" s="132">
        <v>1713197.03</v>
      </c>
      <c r="H33" s="132">
        <v>102978</v>
      </c>
      <c r="I33" s="136">
        <f>+F33+G33+H33</f>
        <v>1973799.03</v>
      </c>
      <c r="J33" s="132">
        <v>87229.010000000009</v>
      </c>
      <c r="K33" s="132">
        <v>1372141.1099999999</v>
      </c>
      <c r="L33" s="132">
        <v>1012422.8499999999</v>
      </c>
      <c r="M33" s="132">
        <v>0</v>
      </c>
      <c r="N33" s="136">
        <f>+L33+M33</f>
        <v>1012422.8499999999</v>
      </c>
      <c r="O33" s="136">
        <f>+J33+K33+N33</f>
        <v>2471792.9699999997</v>
      </c>
      <c r="P33" s="136">
        <f>+I33+O33</f>
        <v>4445592</v>
      </c>
      <c r="Q33" s="132"/>
      <c r="R33" s="132">
        <v>0</v>
      </c>
      <c r="S33" s="132">
        <v>0</v>
      </c>
      <c r="T33" s="136">
        <f>+S33+R33</f>
        <v>0</v>
      </c>
      <c r="U33" s="132">
        <v>0</v>
      </c>
      <c r="V33" s="132">
        <v>0</v>
      </c>
      <c r="W33" s="132">
        <v>0</v>
      </c>
      <c r="X33" s="134">
        <v>0</v>
      </c>
      <c r="Y33" s="137">
        <f>+W33+X33</f>
        <v>0</v>
      </c>
      <c r="Z33" s="138">
        <f>+U33+V33+Y33</f>
        <v>0</v>
      </c>
      <c r="AA33" s="137">
        <f>+T33+Z33</f>
        <v>0</v>
      </c>
      <c r="AB33" s="134">
        <v>0</v>
      </c>
      <c r="AC33" s="137">
        <f>D33+P33+AA33+AB33</f>
        <v>9192924.0000000019</v>
      </c>
      <c r="AD33" s="134"/>
    </row>
    <row r="34" spans="1:35" s="30" customFormat="1" hidden="1" x14ac:dyDescent="0.25">
      <c r="A34" s="1" t="s">
        <v>40</v>
      </c>
      <c r="B34" s="132">
        <v>370330.33999999997</v>
      </c>
      <c r="C34" s="132">
        <v>2901988.5100000002</v>
      </c>
      <c r="D34" s="136">
        <f t="shared" si="0"/>
        <v>3272318.85</v>
      </c>
      <c r="E34" s="132"/>
      <c r="F34" s="132">
        <v>74944.47</v>
      </c>
      <c r="G34" s="132">
        <v>875266.59</v>
      </c>
      <c r="H34" s="132">
        <v>22679.58</v>
      </c>
      <c r="I34" s="136">
        <f t="shared" si="1"/>
        <v>972890.6399999999</v>
      </c>
      <c r="J34" s="132">
        <v>58795.439999999995</v>
      </c>
      <c r="K34" s="132">
        <v>2075917.3800000001</v>
      </c>
      <c r="L34" s="132">
        <v>560086.21000000008</v>
      </c>
      <c r="M34" s="132">
        <v>0</v>
      </c>
      <c r="N34" s="136">
        <f t="shared" si="2"/>
        <v>560086.21000000008</v>
      </c>
      <c r="O34" s="136">
        <f t="shared" si="3"/>
        <v>2694799.0300000003</v>
      </c>
      <c r="P34" s="136">
        <f t="shared" si="4"/>
        <v>3667689.67</v>
      </c>
      <c r="Q34" s="132"/>
      <c r="R34" s="132">
        <v>0</v>
      </c>
      <c r="S34" s="132">
        <v>0</v>
      </c>
      <c r="T34" s="136">
        <f t="shared" si="5"/>
        <v>0</v>
      </c>
      <c r="U34" s="132">
        <v>0</v>
      </c>
      <c r="V34" s="132">
        <v>0</v>
      </c>
      <c r="W34" s="132">
        <v>0</v>
      </c>
      <c r="X34" s="134">
        <v>0</v>
      </c>
      <c r="Y34" s="137">
        <f t="shared" si="6"/>
        <v>0</v>
      </c>
      <c r="Z34" s="138">
        <f t="shared" si="7"/>
        <v>0</v>
      </c>
      <c r="AA34" s="137">
        <f t="shared" si="8"/>
        <v>0</v>
      </c>
      <c r="AB34" s="134">
        <v>0</v>
      </c>
      <c r="AC34" s="137">
        <f t="shared" si="9"/>
        <v>6940008.5199999996</v>
      </c>
      <c r="AD34" s="134"/>
    </row>
    <row r="35" spans="1:35" s="30" customFormat="1" hidden="1" x14ac:dyDescent="0.25">
      <c r="A35" s="1" t="s">
        <v>41</v>
      </c>
      <c r="B35" s="132">
        <v>154160.46</v>
      </c>
      <c r="C35" s="132">
        <v>1206504.7100000002</v>
      </c>
      <c r="D35" s="136">
        <f>+C35+B35</f>
        <v>1360665.1700000002</v>
      </c>
      <c r="E35" s="132"/>
      <c r="F35" s="132">
        <v>38776.900000000009</v>
      </c>
      <c r="G35" s="132">
        <v>349044.46757999994</v>
      </c>
      <c r="H35" s="132">
        <v>26403.919999999998</v>
      </c>
      <c r="I35" s="136">
        <f>+F35+G35+H35</f>
        <v>414225.28757999995</v>
      </c>
      <c r="J35" s="132">
        <v>5718.5400000000009</v>
      </c>
      <c r="K35" s="132">
        <v>712846.30634000013</v>
      </c>
      <c r="L35" s="132">
        <v>168316.32607999997</v>
      </c>
      <c r="M35" s="132">
        <v>0</v>
      </c>
      <c r="N35" s="136">
        <f>+L35+M35</f>
        <v>168316.32607999997</v>
      </c>
      <c r="O35" s="136">
        <f>+J35+K35+N35</f>
        <v>886881.17242000019</v>
      </c>
      <c r="P35" s="136">
        <f>+I35+O35</f>
        <v>1301106.4600000002</v>
      </c>
      <c r="Q35" s="132"/>
      <c r="R35" s="132">
        <v>0</v>
      </c>
      <c r="S35" s="132">
        <v>0</v>
      </c>
      <c r="T35" s="136">
        <f>+S35+R35</f>
        <v>0</v>
      </c>
      <c r="U35" s="132">
        <v>6088.68</v>
      </c>
      <c r="V35" s="132">
        <v>924378.43320000009</v>
      </c>
      <c r="W35" s="132">
        <v>120909.32680000001</v>
      </c>
      <c r="X35" s="134">
        <v>0</v>
      </c>
      <c r="Y35" s="137">
        <f>+W35+X35</f>
        <v>120909.32680000001</v>
      </c>
      <c r="Z35" s="138">
        <f>+U35+V35+Y35</f>
        <v>1051376.4400000002</v>
      </c>
      <c r="AA35" s="137">
        <f>+T35+Z35</f>
        <v>1051376.4400000002</v>
      </c>
      <c r="AB35" s="134">
        <v>0</v>
      </c>
      <c r="AC35" s="137">
        <f>D35+P35+AA35+AB35</f>
        <v>3713148.0700000003</v>
      </c>
      <c r="AD35" s="147"/>
    </row>
    <row r="36" spans="1:35" s="30" customFormat="1" hidden="1" x14ac:dyDescent="0.25">
      <c r="A36" s="1" t="s">
        <v>42</v>
      </c>
      <c r="B36" s="132">
        <v>68646.490000000005</v>
      </c>
      <c r="C36" s="132">
        <v>439998.46</v>
      </c>
      <c r="D36" s="136">
        <f t="shared" si="0"/>
        <v>508644.95</v>
      </c>
      <c r="E36" s="132"/>
      <c r="F36" s="132">
        <v>24011.8</v>
      </c>
      <c r="G36" s="132">
        <v>261447</v>
      </c>
      <c r="H36" s="132">
        <v>15968</v>
      </c>
      <c r="I36" s="136">
        <f t="shared" si="1"/>
        <v>301426.8</v>
      </c>
      <c r="J36" s="132">
        <v>0</v>
      </c>
      <c r="K36" s="132">
        <v>0</v>
      </c>
      <c r="L36" s="132">
        <v>0</v>
      </c>
      <c r="M36" s="132">
        <v>0</v>
      </c>
      <c r="N36" s="136">
        <f t="shared" si="2"/>
        <v>0</v>
      </c>
      <c r="O36" s="136">
        <f t="shared" si="3"/>
        <v>0</v>
      </c>
      <c r="P36" s="136">
        <f t="shared" si="4"/>
        <v>301426.8</v>
      </c>
      <c r="Q36" s="132"/>
      <c r="R36" s="132">
        <v>0</v>
      </c>
      <c r="S36" s="132">
        <v>0</v>
      </c>
      <c r="T36" s="136">
        <f t="shared" si="5"/>
        <v>0</v>
      </c>
      <c r="U36" s="132">
        <v>15817</v>
      </c>
      <c r="V36" s="132">
        <v>701498.24</v>
      </c>
      <c r="W36" s="132">
        <v>330570.34000000003</v>
      </c>
      <c r="X36" s="134">
        <v>0</v>
      </c>
      <c r="Y36" s="137">
        <f t="shared" si="6"/>
        <v>330570.34000000003</v>
      </c>
      <c r="Z36" s="138">
        <f t="shared" si="7"/>
        <v>1047885.5800000001</v>
      </c>
      <c r="AA36" s="137">
        <f t="shared" si="8"/>
        <v>1047885.5800000001</v>
      </c>
      <c r="AB36" s="134">
        <v>0</v>
      </c>
      <c r="AC36" s="137">
        <f t="shared" si="9"/>
        <v>1857957.33</v>
      </c>
      <c r="AD36" s="134"/>
    </row>
    <row r="37" spans="1:35" s="30" customFormat="1" hidden="1" x14ac:dyDescent="0.25">
      <c r="A37" s="1" t="s">
        <v>43</v>
      </c>
      <c r="B37" s="132">
        <v>568791.19999999925</v>
      </c>
      <c r="C37" s="132">
        <v>3418733.8000000007</v>
      </c>
      <c r="D37" s="136">
        <f t="shared" si="0"/>
        <v>3987525</v>
      </c>
      <c r="E37" s="132"/>
      <c r="F37" s="132">
        <v>115167.23999999999</v>
      </c>
      <c r="G37" s="132">
        <v>1203960.3799999999</v>
      </c>
      <c r="H37" s="132">
        <v>9927</v>
      </c>
      <c r="I37" s="136">
        <f t="shared" si="1"/>
        <v>1329054.6199999999</v>
      </c>
      <c r="J37" s="132">
        <v>180154.30000000002</v>
      </c>
      <c r="K37" s="132">
        <v>3084071.77</v>
      </c>
      <c r="L37" s="132">
        <v>1581910.31</v>
      </c>
      <c r="M37" s="132">
        <v>0</v>
      </c>
      <c r="N37" s="136">
        <f t="shared" si="2"/>
        <v>1581910.31</v>
      </c>
      <c r="O37" s="136">
        <f t="shared" si="3"/>
        <v>4846136.38</v>
      </c>
      <c r="P37" s="136">
        <f t="shared" si="4"/>
        <v>6175191</v>
      </c>
      <c r="Q37" s="132"/>
      <c r="R37" s="132">
        <v>0</v>
      </c>
      <c r="S37" s="132">
        <v>0</v>
      </c>
      <c r="T37" s="136">
        <f t="shared" si="5"/>
        <v>0</v>
      </c>
      <c r="U37" s="132">
        <v>102638.64</v>
      </c>
      <c r="V37" s="132">
        <v>673501</v>
      </c>
      <c r="W37" s="132">
        <v>610738.89</v>
      </c>
      <c r="X37" s="134">
        <v>0</v>
      </c>
      <c r="Y37" s="137">
        <f t="shared" si="6"/>
        <v>610738.89</v>
      </c>
      <c r="Z37" s="138">
        <f t="shared" si="7"/>
        <v>1386878.53</v>
      </c>
      <c r="AA37" s="137">
        <f t="shared" si="8"/>
        <v>1386878.53</v>
      </c>
      <c r="AB37" s="134">
        <v>0</v>
      </c>
      <c r="AC37" s="137">
        <f t="shared" si="9"/>
        <v>11549594.529999999</v>
      </c>
      <c r="AD37" s="147"/>
    </row>
    <row r="38" spans="1:35" s="30" customFormat="1" hidden="1" x14ac:dyDescent="0.25">
      <c r="A38" s="1" t="s">
        <v>44</v>
      </c>
      <c r="B38" s="132">
        <v>269539.40999999997</v>
      </c>
      <c r="C38" s="132">
        <v>3031138.52</v>
      </c>
      <c r="D38" s="136">
        <f t="shared" si="0"/>
        <v>3300677.93</v>
      </c>
      <c r="E38" s="132"/>
      <c r="F38" s="132">
        <v>32028.48</v>
      </c>
      <c r="G38" s="132">
        <v>580387.42000000004</v>
      </c>
      <c r="H38" s="132">
        <v>26766.05</v>
      </c>
      <c r="I38" s="136">
        <f t="shared" si="1"/>
        <v>639181.95000000007</v>
      </c>
      <c r="J38" s="132">
        <v>27239.52</v>
      </c>
      <c r="K38" s="132">
        <v>1877601.25</v>
      </c>
      <c r="L38" s="132">
        <v>1230747.6299999999</v>
      </c>
      <c r="M38" s="132">
        <v>0</v>
      </c>
      <c r="N38" s="136">
        <f t="shared" si="2"/>
        <v>1230747.6299999999</v>
      </c>
      <c r="O38" s="136">
        <f t="shared" si="3"/>
        <v>3135588.4</v>
      </c>
      <c r="P38" s="136">
        <f t="shared" si="4"/>
        <v>3774770.35</v>
      </c>
      <c r="Q38" s="132"/>
      <c r="R38" s="132">
        <v>0</v>
      </c>
      <c r="S38" s="132">
        <v>0</v>
      </c>
      <c r="T38" s="136">
        <f t="shared" si="5"/>
        <v>0</v>
      </c>
      <c r="U38" s="132">
        <v>0</v>
      </c>
      <c r="V38" s="132">
        <v>0</v>
      </c>
      <c r="W38" s="132">
        <v>0</v>
      </c>
      <c r="X38" s="134">
        <v>0</v>
      </c>
      <c r="Y38" s="137">
        <f t="shared" si="6"/>
        <v>0</v>
      </c>
      <c r="Z38" s="138">
        <f t="shared" si="7"/>
        <v>0</v>
      </c>
      <c r="AA38" s="137">
        <f t="shared" si="8"/>
        <v>0</v>
      </c>
      <c r="AB38" s="134">
        <v>0</v>
      </c>
      <c r="AC38" s="137">
        <f t="shared" si="9"/>
        <v>7075448.2800000003</v>
      </c>
      <c r="AD38" s="134"/>
    </row>
    <row r="39" spans="1:35" s="30" customFormat="1" hidden="1" x14ac:dyDescent="0.25">
      <c r="A39" s="1" t="s">
        <v>45</v>
      </c>
      <c r="B39" s="132">
        <v>7205651.3399999999</v>
      </c>
      <c r="C39" s="132">
        <v>34120092.479999997</v>
      </c>
      <c r="D39" s="136">
        <f t="shared" si="0"/>
        <v>41325743.819999993</v>
      </c>
      <c r="E39" s="132"/>
      <c r="F39" s="132">
        <v>930203</v>
      </c>
      <c r="G39" s="132">
        <v>9979655</v>
      </c>
      <c r="H39" s="132">
        <v>684133.17</v>
      </c>
      <c r="I39" s="136">
        <f t="shared" si="1"/>
        <v>11593991.17</v>
      </c>
      <c r="J39" s="132">
        <v>59162.54</v>
      </c>
      <c r="K39" s="132">
        <v>10294965</v>
      </c>
      <c r="L39" s="132">
        <v>1465054</v>
      </c>
      <c r="M39" s="132">
        <v>0</v>
      </c>
      <c r="N39" s="136">
        <f t="shared" si="2"/>
        <v>1465054</v>
      </c>
      <c r="O39" s="136">
        <f t="shared" si="3"/>
        <v>11819181.539999999</v>
      </c>
      <c r="P39" s="136">
        <f t="shared" si="4"/>
        <v>23413172.710000001</v>
      </c>
      <c r="Q39" s="132"/>
      <c r="R39" s="132">
        <v>8370</v>
      </c>
      <c r="S39" s="132">
        <v>819118</v>
      </c>
      <c r="T39" s="136">
        <f t="shared" si="5"/>
        <v>827488</v>
      </c>
      <c r="U39" s="132">
        <v>25111.080000000005</v>
      </c>
      <c r="V39" s="132">
        <v>6793365.25</v>
      </c>
      <c r="W39" s="132">
        <v>1975613</v>
      </c>
      <c r="X39" s="134">
        <v>0</v>
      </c>
      <c r="Y39" s="137">
        <f t="shared" si="6"/>
        <v>1975613</v>
      </c>
      <c r="Z39" s="138">
        <f t="shared" si="7"/>
        <v>8794089.3300000001</v>
      </c>
      <c r="AA39" s="137">
        <f t="shared" si="8"/>
        <v>9621577.3300000001</v>
      </c>
      <c r="AB39" s="134">
        <v>0</v>
      </c>
      <c r="AC39" s="137">
        <f t="shared" si="9"/>
        <v>74360493.859999999</v>
      </c>
      <c r="AD39" s="147"/>
    </row>
    <row r="40" spans="1:35" s="30" customFormat="1" hidden="1" x14ac:dyDescent="0.25">
      <c r="A40" s="1" t="s">
        <v>46</v>
      </c>
      <c r="B40" s="132">
        <v>1622424.97</v>
      </c>
      <c r="C40" s="132">
        <v>11169618.989999998</v>
      </c>
      <c r="D40" s="136">
        <f t="shared" si="0"/>
        <v>12792043.959999999</v>
      </c>
      <c r="E40" s="132"/>
      <c r="F40" s="132">
        <v>92219.19</v>
      </c>
      <c r="G40" s="132">
        <v>960775.28</v>
      </c>
      <c r="H40" s="132">
        <v>0</v>
      </c>
      <c r="I40" s="136">
        <f t="shared" si="1"/>
        <v>1052994.47</v>
      </c>
      <c r="J40" s="132">
        <v>0</v>
      </c>
      <c r="K40" s="132">
        <v>0</v>
      </c>
      <c r="L40" s="132">
        <v>0</v>
      </c>
      <c r="M40" s="132">
        <v>0</v>
      </c>
      <c r="N40" s="136">
        <f t="shared" si="2"/>
        <v>0</v>
      </c>
      <c r="O40" s="136">
        <f t="shared" si="3"/>
        <v>0</v>
      </c>
      <c r="P40" s="136">
        <f t="shared" si="4"/>
        <v>1052994.47</v>
      </c>
      <c r="Q40" s="132"/>
      <c r="R40" s="132">
        <v>0</v>
      </c>
      <c r="S40" s="132">
        <v>0</v>
      </c>
      <c r="T40" s="136">
        <f t="shared" si="5"/>
        <v>0</v>
      </c>
      <c r="U40" s="132">
        <v>3175.42</v>
      </c>
      <c r="V40" s="132">
        <v>363808.56</v>
      </c>
      <c r="W40" s="132">
        <v>160669.82999999999</v>
      </c>
      <c r="X40" s="134">
        <v>0</v>
      </c>
      <c r="Y40" s="137">
        <f t="shared" si="6"/>
        <v>160669.82999999999</v>
      </c>
      <c r="Z40" s="138">
        <f t="shared" si="7"/>
        <v>527653.80999999994</v>
      </c>
      <c r="AA40" s="137">
        <f t="shared" si="8"/>
        <v>527653.80999999994</v>
      </c>
      <c r="AB40" s="134">
        <v>0</v>
      </c>
      <c r="AC40" s="137">
        <f t="shared" si="9"/>
        <v>14372692.24</v>
      </c>
      <c r="AD40" s="131"/>
    </row>
    <row r="41" spans="1:35" s="30" customFormat="1" hidden="1" x14ac:dyDescent="0.25">
      <c r="A41" s="132" t="s">
        <v>145</v>
      </c>
      <c r="B41" s="149">
        <f>SUM(B24:B40)</f>
        <v>48957829.140000001</v>
      </c>
      <c r="C41" s="149">
        <f>SUM(C24:C40)</f>
        <v>301037213.45000005</v>
      </c>
      <c r="D41" s="149">
        <f>B41+C41</f>
        <v>349995042.59000003</v>
      </c>
      <c r="E41" s="149"/>
      <c r="F41" s="149">
        <f>SUM(F24:F40)</f>
        <v>7707887.5300000012</v>
      </c>
      <c r="G41" s="149">
        <f>SUM(G24:G40)</f>
        <v>52266009.948895201</v>
      </c>
      <c r="H41" s="149">
        <f>SUM(H24:H40)</f>
        <v>6268156.531425559</v>
      </c>
      <c r="I41" s="149">
        <f>F41+G41+H41</f>
        <v>66242054.01032076</v>
      </c>
      <c r="J41" s="149">
        <f>SUM(J24:J40)</f>
        <v>7800028.3200000003</v>
      </c>
      <c r="K41" s="149">
        <f>SUM(K24:K40)</f>
        <v>144852566.75502479</v>
      </c>
      <c r="L41" s="149">
        <f>SUM(L24:L40)</f>
        <v>63687238.656080008</v>
      </c>
      <c r="M41" s="149">
        <f>SUM(M24:M40)</f>
        <v>8186332</v>
      </c>
      <c r="N41" s="149">
        <f>L41+M41</f>
        <v>71873570.656080008</v>
      </c>
      <c r="O41" s="149">
        <f>J41+K41+N41</f>
        <v>224526165.73110479</v>
      </c>
      <c r="P41" s="149">
        <f>I41+O41</f>
        <v>290768219.74142557</v>
      </c>
      <c r="Q41" s="149"/>
      <c r="R41" s="149">
        <f>SUM(R24:R40)</f>
        <v>8370</v>
      </c>
      <c r="S41" s="149">
        <f>SUM(S24:S40)</f>
        <v>819118</v>
      </c>
      <c r="T41" s="149">
        <f>R41+S41</f>
        <v>827488</v>
      </c>
      <c r="U41" s="149">
        <f>SUM(U24:U40)</f>
        <v>707370.54</v>
      </c>
      <c r="V41" s="149">
        <f>SUM(V24:V40)</f>
        <v>54837412.263200007</v>
      </c>
      <c r="W41" s="149">
        <f>SUM(W24:W40)</f>
        <v>21813347.386799999</v>
      </c>
      <c r="X41" s="149">
        <f>SUM(X24:X40)</f>
        <v>4020052</v>
      </c>
      <c r="Y41" s="149">
        <f>W41+X41</f>
        <v>25833399.386799999</v>
      </c>
      <c r="Z41" s="149">
        <f>U41+V41+Y41</f>
        <v>81378182.189999998</v>
      </c>
      <c r="AA41" s="149">
        <f>T41+Z41</f>
        <v>82205670.189999998</v>
      </c>
      <c r="AB41" s="149">
        <f>SUM(AB24:AB40)</f>
        <v>5406</v>
      </c>
      <c r="AC41" s="149">
        <f>SUM(AC24:AC40)</f>
        <v>733545176.83142567</v>
      </c>
      <c r="AD41" s="150">
        <f>SUM(AD24:AD40)</f>
        <v>0</v>
      </c>
    </row>
    <row r="42" spans="1:35" s="30" customFormat="1" hidden="1" x14ac:dyDescent="0.25">
      <c r="A42" s="132"/>
      <c r="B42" s="132"/>
      <c r="C42" s="133"/>
      <c r="D42" s="134"/>
      <c r="F42" s="132"/>
      <c r="G42" s="132"/>
      <c r="H42" s="132"/>
      <c r="I42" s="132"/>
      <c r="J42" s="132"/>
      <c r="K42" s="132"/>
      <c r="L42" s="132"/>
      <c r="M42" s="132"/>
      <c r="N42" s="132"/>
      <c r="O42" s="132"/>
      <c r="P42" s="132"/>
      <c r="Q42" s="132"/>
      <c r="R42" s="132"/>
      <c r="S42" s="132"/>
      <c r="T42" s="132"/>
      <c r="U42" s="132"/>
      <c r="V42" s="132"/>
      <c r="W42" s="132"/>
      <c r="X42" s="132"/>
      <c r="Y42" s="132"/>
      <c r="Z42" s="132"/>
      <c r="AA42" s="132"/>
      <c r="AB42" s="132"/>
      <c r="AC42" s="132"/>
      <c r="AD42" s="134"/>
    </row>
    <row r="43" spans="1:35" s="30" customFormat="1" x14ac:dyDescent="0.25">
      <c r="A43" s="132" t="s">
        <v>163</v>
      </c>
      <c r="B43" s="132">
        <f>+B25</f>
        <v>1723721.66</v>
      </c>
      <c r="C43" s="132">
        <f>+C25</f>
        <v>12628813.08</v>
      </c>
      <c r="D43" s="132">
        <f>+D25</f>
        <v>14352534.74</v>
      </c>
      <c r="E43" s="132"/>
      <c r="F43" s="132">
        <f t="shared" ref="F43:P43" si="10">+F25</f>
        <v>434399.2</v>
      </c>
      <c r="G43" s="132">
        <f t="shared" si="10"/>
        <v>2458586.7599999998</v>
      </c>
      <c r="H43" s="132">
        <f t="shared" si="10"/>
        <v>629603.34142555878</v>
      </c>
      <c r="I43" s="132">
        <f t="shared" si="10"/>
        <v>3522589.3014255585</v>
      </c>
      <c r="J43" s="132">
        <f t="shared" si="10"/>
        <v>362768.31</v>
      </c>
      <c r="K43" s="132">
        <f t="shared" si="10"/>
        <v>14033595.930000002</v>
      </c>
      <c r="L43" s="132">
        <f t="shared" si="10"/>
        <v>0</v>
      </c>
      <c r="M43" s="132">
        <f t="shared" si="10"/>
        <v>0</v>
      </c>
      <c r="N43" s="132">
        <f t="shared" si="10"/>
        <v>8930054.1500000004</v>
      </c>
      <c r="O43" s="132">
        <f t="shared" si="10"/>
        <v>23326418.390000001</v>
      </c>
      <c r="P43" s="132">
        <f t="shared" si="10"/>
        <v>26849007.691425558</v>
      </c>
      <c r="Q43" s="132"/>
      <c r="R43" s="132">
        <f t="shared" ref="R43:AD43" si="11">+R25</f>
        <v>0</v>
      </c>
      <c r="S43" s="132">
        <f t="shared" si="11"/>
        <v>0</v>
      </c>
      <c r="T43" s="132">
        <f t="shared" si="11"/>
        <v>0</v>
      </c>
      <c r="U43" s="132">
        <f t="shared" si="11"/>
        <v>15264.72</v>
      </c>
      <c r="V43" s="132">
        <f t="shared" si="11"/>
        <v>3460806.7800000003</v>
      </c>
      <c r="W43" s="132">
        <f t="shared" si="11"/>
        <v>0</v>
      </c>
      <c r="X43" s="132">
        <f t="shared" si="11"/>
        <v>0</v>
      </c>
      <c r="Y43" s="132">
        <f t="shared" si="11"/>
        <v>1640784.16</v>
      </c>
      <c r="Z43" s="132">
        <f t="shared" si="11"/>
        <v>5116855.66</v>
      </c>
      <c r="AA43" s="132">
        <f t="shared" si="11"/>
        <v>5116855.66</v>
      </c>
      <c r="AB43" s="132">
        <f t="shared" si="11"/>
        <v>0</v>
      </c>
      <c r="AC43" s="132">
        <f t="shared" si="11"/>
        <v>46318398.091425553</v>
      </c>
      <c r="AD43" s="134">
        <f t="shared" si="11"/>
        <v>0</v>
      </c>
      <c r="AF43" s="1"/>
    </row>
    <row r="44" spans="1:35" s="30" customFormat="1" hidden="1" x14ac:dyDescent="0.25">
      <c r="A44" s="132" t="s">
        <v>146</v>
      </c>
      <c r="B44" s="132">
        <f>B41-B43</f>
        <v>47234107.480000004</v>
      </c>
      <c r="C44" s="132">
        <f t="shared" ref="C44:AD44" si="12">C41-C43</f>
        <v>288408400.37000006</v>
      </c>
      <c r="D44" s="132">
        <f>D41-D43</f>
        <v>335642507.85000002</v>
      </c>
      <c r="E44" s="132">
        <f t="shared" si="12"/>
        <v>0</v>
      </c>
      <c r="F44" s="132">
        <f t="shared" si="12"/>
        <v>7273488.330000001</v>
      </c>
      <c r="G44" s="132">
        <f t="shared" si="12"/>
        <v>49807423.188895203</v>
      </c>
      <c r="H44" s="132">
        <f t="shared" si="12"/>
        <v>5638553.1900000004</v>
      </c>
      <c r="I44" s="132">
        <f t="shared" si="12"/>
        <v>62719464.708895199</v>
      </c>
      <c r="J44" s="132">
        <f t="shared" si="12"/>
        <v>7437260.0100000007</v>
      </c>
      <c r="K44" s="132">
        <f t="shared" si="12"/>
        <v>130818970.82502478</v>
      </c>
      <c r="L44" s="132">
        <f t="shared" si="12"/>
        <v>63687238.656080008</v>
      </c>
      <c r="M44" s="132">
        <f t="shared" si="12"/>
        <v>8186332</v>
      </c>
      <c r="N44" s="132">
        <f t="shared" si="12"/>
        <v>62943516.506080009</v>
      </c>
      <c r="O44" s="132">
        <f t="shared" si="12"/>
        <v>201199747.34110481</v>
      </c>
      <c r="P44" s="132">
        <f>P41-P43</f>
        <v>263919212.05000001</v>
      </c>
      <c r="Q44" s="132"/>
      <c r="R44" s="132">
        <f t="shared" si="12"/>
        <v>8370</v>
      </c>
      <c r="S44" s="132">
        <f t="shared" si="12"/>
        <v>819118</v>
      </c>
      <c r="T44" s="132">
        <f t="shared" si="12"/>
        <v>827488</v>
      </c>
      <c r="U44" s="132">
        <f t="shared" si="12"/>
        <v>692105.82000000007</v>
      </c>
      <c r="V44" s="132">
        <f t="shared" si="12"/>
        <v>51376605.483200006</v>
      </c>
      <c r="W44" s="132">
        <f t="shared" si="12"/>
        <v>21813347.386799999</v>
      </c>
      <c r="X44" s="132">
        <f t="shared" si="12"/>
        <v>4020052</v>
      </c>
      <c r="Y44" s="132">
        <f t="shared" si="12"/>
        <v>24192615.226799998</v>
      </c>
      <c r="Z44" s="132">
        <f t="shared" si="12"/>
        <v>76261326.530000001</v>
      </c>
      <c r="AA44" s="132">
        <f>AA41-AA43</f>
        <v>77088814.530000001</v>
      </c>
      <c r="AB44" s="132">
        <f t="shared" si="12"/>
        <v>5406</v>
      </c>
      <c r="AC44" s="132">
        <f>AC41-AC43</f>
        <v>687226778.74000013</v>
      </c>
      <c r="AD44" s="134">
        <f t="shared" si="12"/>
        <v>0</v>
      </c>
      <c r="AF44" s="258">
        <f>+Z44+AF27-Z25</f>
        <v>71501796.870000005</v>
      </c>
      <c r="AH44" s="1"/>
      <c r="AI44" s="1"/>
    </row>
    <row r="45" spans="1:35" s="30" customFormat="1" hidden="1" x14ac:dyDescent="0.25">
      <c r="A45" s="132"/>
      <c r="B45" s="132"/>
      <c r="C45" s="133"/>
      <c r="D45" s="134"/>
      <c r="F45" s="132"/>
      <c r="G45" s="132"/>
      <c r="H45" s="132"/>
      <c r="I45" s="132"/>
      <c r="J45" s="132"/>
      <c r="K45" s="132"/>
      <c r="L45" s="132"/>
      <c r="M45" s="132"/>
      <c r="N45" s="132"/>
      <c r="O45" s="132"/>
      <c r="P45" s="132"/>
      <c r="Q45" s="132"/>
      <c r="R45" s="132"/>
      <c r="S45" s="132"/>
      <c r="T45" s="132"/>
      <c r="U45" s="132"/>
      <c r="V45" s="132"/>
      <c r="W45" s="132"/>
      <c r="X45" s="132"/>
      <c r="Y45" s="132"/>
      <c r="Z45" s="132"/>
      <c r="AA45" s="132"/>
      <c r="AB45" s="132"/>
      <c r="AC45" s="132"/>
      <c r="AD45" s="134"/>
    </row>
    <row r="46" spans="1:35" s="30" customFormat="1" ht="13.5" hidden="1" customHeight="1" x14ac:dyDescent="0.25">
      <c r="A46" s="132" t="s">
        <v>147</v>
      </c>
      <c r="B46" s="151" t="s">
        <v>19</v>
      </c>
      <c r="C46" s="125" t="s">
        <v>19</v>
      </c>
      <c r="D46" s="131">
        <f>D41+D21</f>
        <v>349995042.59000003</v>
      </c>
      <c r="E46" s="132"/>
      <c r="F46" s="151" t="s">
        <v>19</v>
      </c>
      <c r="G46" s="151" t="s">
        <v>19</v>
      </c>
      <c r="H46" s="131">
        <f>H41+H21</f>
        <v>6268156.531425559</v>
      </c>
      <c r="I46" s="151" t="s">
        <v>19</v>
      </c>
      <c r="J46" s="151" t="s">
        <v>19</v>
      </c>
      <c r="K46" s="151" t="s">
        <v>19</v>
      </c>
      <c r="L46" s="151" t="s">
        <v>19</v>
      </c>
      <c r="M46" s="151" t="s">
        <v>19</v>
      </c>
      <c r="N46" s="151" t="s">
        <v>19</v>
      </c>
      <c r="O46" s="152" t="s">
        <v>19</v>
      </c>
      <c r="P46" s="131">
        <f>P41+P21</f>
        <v>290768219.74142557</v>
      </c>
      <c r="Q46" s="151"/>
      <c r="R46" s="151" t="s">
        <v>19</v>
      </c>
      <c r="S46" s="151" t="s">
        <v>19</v>
      </c>
      <c r="T46" s="151" t="s">
        <v>19</v>
      </c>
      <c r="U46" s="151" t="s">
        <v>19</v>
      </c>
      <c r="V46" s="151" t="s">
        <v>19</v>
      </c>
      <c r="W46" s="151" t="s">
        <v>19</v>
      </c>
      <c r="X46" s="151" t="s">
        <v>19</v>
      </c>
      <c r="Y46" s="151" t="s">
        <v>19</v>
      </c>
      <c r="Z46" s="151" t="s">
        <v>19</v>
      </c>
      <c r="AA46" s="131">
        <f>AA41+AA21</f>
        <v>134482350.19</v>
      </c>
      <c r="AB46" s="132"/>
      <c r="AC46" s="131">
        <f>AC41+AC21</f>
        <v>785821856.83142567</v>
      </c>
      <c r="AD46" s="134"/>
    </row>
    <row r="47" spans="1:35" s="30" customFormat="1" hidden="1" x14ac:dyDescent="0.25">
      <c r="A47" s="132"/>
      <c r="B47" s="132"/>
      <c r="C47" s="133"/>
      <c r="D47" s="134"/>
      <c r="E47" s="132"/>
      <c r="F47" s="132"/>
      <c r="G47" s="132"/>
      <c r="H47" s="132"/>
      <c r="I47" s="132"/>
      <c r="J47" s="132"/>
      <c r="K47" s="132"/>
      <c r="L47" s="132"/>
      <c r="M47" s="132"/>
      <c r="N47" s="132"/>
      <c r="O47" s="135"/>
      <c r="P47" s="132"/>
      <c r="Q47" s="132"/>
      <c r="R47" s="132"/>
      <c r="S47" s="132"/>
      <c r="T47" s="132"/>
      <c r="U47" s="132"/>
      <c r="V47" s="132"/>
      <c r="W47" s="132"/>
      <c r="X47" s="132"/>
      <c r="Y47" s="132"/>
      <c r="Z47" s="132"/>
      <c r="AA47" s="132"/>
      <c r="AB47" s="132"/>
      <c r="AC47" s="132"/>
      <c r="AD47" s="134"/>
    </row>
    <row r="48" spans="1:35" s="259" customFormat="1" hidden="1" x14ac:dyDescent="0.25">
      <c r="A48" s="153" t="s">
        <v>148</v>
      </c>
      <c r="B48" s="154" t="s">
        <v>19</v>
      </c>
      <c r="C48" s="155" t="s">
        <v>19</v>
      </c>
      <c r="D48" s="156"/>
      <c r="E48" s="154"/>
      <c r="F48" s="154" t="s">
        <v>19</v>
      </c>
      <c r="G48" s="154" t="s">
        <v>19</v>
      </c>
      <c r="H48" s="154"/>
      <c r="I48" s="154" t="s">
        <v>19</v>
      </c>
      <c r="J48" s="154" t="s">
        <v>19</v>
      </c>
      <c r="K48" s="154" t="s">
        <v>19</v>
      </c>
      <c r="L48" s="154" t="s">
        <v>19</v>
      </c>
      <c r="M48" s="154" t="s">
        <v>19</v>
      </c>
      <c r="N48" s="154" t="s">
        <v>19</v>
      </c>
      <c r="O48" s="157" t="s">
        <v>19</v>
      </c>
      <c r="P48" s="158"/>
      <c r="Q48" s="154"/>
      <c r="R48" s="154" t="s">
        <v>19</v>
      </c>
      <c r="S48" s="154" t="s">
        <v>19</v>
      </c>
      <c r="T48" s="154" t="s">
        <v>19</v>
      </c>
      <c r="U48" s="154" t="s">
        <v>19</v>
      </c>
      <c r="V48" s="154" t="s">
        <v>19</v>
      </c>
      <c r="W48" s="154" t="s">
        <v>19</v>
      </c>
      <c r="X48" s="154" t="s">
        <v>19</v>
      </c>
      <c r="Y48" s="154" t="s">
        <v>19</v>
      </c>
      <c r="Z48" s="154" t="s">
        <v>19</v>
      </c>
      <c r="AA48" s="158"/>
      <c r="AB48" s="154"/>
      <c r="AC48" s="158"/>
      <c r="AD48" s="156"/>
    </row>
    <row r="49" spans="1:30" s="30" customFormat="1" hidden="1" x14ac:dyDescent="0.25">
      <c r="A49" s="132"/>
      <c r="B49" s="132"/>
      <c r="C49" s="159"/>
      <c r="D49" s="134"/>
      <c r="E49" s="132"/>
      <c r="F49" s="132"/>
      <c r="G49" s="132"/>
      <c r="H49" s="132"/>
      <c r="I49" s="132"/>
      <c r="J49" s="132"/>
      <c r="K49" s="132"/>
      <c r="L49" s="132"/>
      <c r="M49" s="132"/>
      <c r="N49" s="132"/>
      <c r="O49" s="160"/>
      <c r="P49" s="132"/>
      <c r="Q49" s="132"/>
      <c r="R49" s="132"/>
      <c r="S49" s="132"/>
      <c r="T49" s="132"/>
      <c r="U49" s="132"/>
      <c r="V49" s="132"/>
      <c r="W49" s="132"/>
      <c r="X49" s="132"/>
      <c r="Y49" s="132"/>
      <c r="Z49" s="132"/>
      <c r="AA49" s="132"/>
      <c r="AB49" s="132"/>
      <c r="AC49" s="132"/>
      <c r="AD49" s="161"/>
    </row>
    <row r="50" spans="1:30" s="166" customFormat="1" ht="15.75" hidden="1" thickBot="1" x14ac:dyDescent="0.3">
      <c r="A50" s="162" t="s">
        <v>17</v>
      </c>
      <c r="B50" s="163" t="s">
        <v>19</v>
      </c>
      <c r="C50" s="164" t="s">
        <v>19</v>
      </c>
      <c r="D50" s="162">
        <f>D46-D48</f>
        <v>349995042.59000003</v>
      </c>
      <c r="E50" s="163"/>
      <c r="F50" s="163" t="s">
        <v>19</v>
      </c>
      <c r="G50" s="163" t="s">
        <v>19</v>
      </c>
      <c r="H50" s="162">
        <f>H46-H48</f>
        <v>6268156.531425559</v>
      </c>
      <c r="I50" s="163" t="s">
        <v>19</v>
      </c>
      <c r="J50" s="163" t="s">
        <v>19</v>
      </c>
      <c r="K50" s="163" t="s">
        <v>19</v>
      </c>
      <c r="L50" s="163" t="s">
        <v>19</v>
      </c>
      <c r="M50" s="163" t="s">
        <v>19</v>
      </c>
      <c r="N50" s="163" t="s">
        <v>19</v>
      </c>
      <c r="O50" s="165" t="s">
        <v>19</v>
      </c>
      <c r="P50" s="162">
        <f>P46-P48</f>
        <v>290768219.74142557</v>
      </c>
      <c r="Q50" s="163"/>
      <c r="R50" s="163" t="s">
        <v>19</v>
      </c>
      <c r="S50" s="163" t="s">
        <v>19</v>
      </c>
      <c r="T50" s="163" t="s">
        <v>19</v>
      </c>
      <c r="U50" s="163" t="s">
        <v>19</v>
      </c>
      <c r="V50" s="163" t="s">
        <v>19</v>
      </c>
      <c r="W50" s="163" t="s">
        <v>19</v>
      </c>
      <c r="X50" s="163" t="s">
        <v>19</v>
      </c>
      <c r="Y50" s="163" t="s">
        <v>19</v>
      </c>
      <c r="Z50" s="163" t="s">
        <v>19</v>
      </c>
      <c r="AA50" s="162">
        <f>AA46-AA48</f>
        <v>134482350.19</v>
      </c>
      <c r="AB50" s="162">
        <f>AB46-AB48</f>
        <v>0</v>
      </c>
      <c r="AC50" s="162">
        <f>AC46-AC48</f>
        <v>785821856.83142567</v>
      </c>
      <c r="AD50" s="162"/>
    </row>
    <row r="51" spans="1:30" s="166" customFormat="1" ht="15.75" hidden="1" thickTop="1" x14ac:dyDescent="0.25">
      <c r="B51" s="1"/>
      <c r="C51" s="167"/>
      <c r="O51" s="168"/>
    </row>
    <row r="52" spans="1:30" hidden="1" x14ac:dyDescent="0.25">
      <c r="A52" s="3"/>
      <c r="B52" s="3"/>
      <c r="C52" s="3"/>
      <c r="D52" s="3"/>
      <c r="E52" s="3"/>
      <c r="F52" s="3"/>
      <c r="G52" s="3"/>
      <c r="H52" s="3"/>
      <c r="I52" s="3"/>
      <c r="J52" s="3"/>
      <c r="K52" s="3"/>
      <c r="L52" s="3"/>
      <c r="M52" s="3"/>
      <c r="N52" s="3"/>
      <c r="O52" s="3"/>
      <c r="P52" s="3"/>
      <c r="Q52" s="3"/>
      <c r="R52" s="3"/>
      <c r="S52" s="3"/>
      <c r="T52" s="3"/>
      <c r="U52" s="3"/>
      <c r="V52" s="3"/>
      <c r="W52" s="30">
        <f>+W25</f>
        <v>0</v>
      </c>
      <c r="X52" s="3"/>
      <c r="Y52" s="3"/>
      <c r="Z52" s="3"/>
      <c r="AA52" s="3"/>
      <c r="AB52" s="3"/>
      <c r="AC52" s="3"/>
      <c r="AD52" s="3"/>
    </row>
    <row r="53" spans="1:30" hidden="1" x14ac:dyDescent="0.25">
      <c r="A53" s="3"/>
      <c r="B53" s="3"/>
      <c r="C53" s="3"/>
      <c r="D53" s="3"/>
      <c r="E53" s="3"/>
      <c r="F53" s="3"/>
      <c r="G53" s="3"/>
      <c r="H53" s="3"/>
      <c r="I53" s="3"/>
      <c r="J53" s="3"/>
      <c r="K53" s="3"/>
      <c r="L53" s="3"/>
      <c r="M53" s="3"/>
      <c r="N53" s="3"/>
      <c r="O53" s="3"/>
      <c r="P53" s="3"/>
      <c r="Q53" s="3"/>
      <c r="R53" s="3"/>
      <c r="S53" s="3"/>
      <c r="T53" s="3"/>
      <c r="U53" s="3"/>
      <c r="V53" s="3"/>
      <c r="W53" s="31">
        <f>+W66</f>
        <v>630018</v>
      </c>
      <c r="Y53" s="3"/>
      <c r="Z53" s="3"/>
      <c r="AA53" s="3"/>
      <c r="AB53" s="3"/>
      <c r="AC53" s="3"/>
      <c r="AD53" s="3"/>
    </row>
    <row r="54" spans="1:30" x14ac:dyDescent="0.25">
      <c r="A54" s="3"/>
      <c r="B54" s="3"/>
      <c r="C54" s="3"/>
      <c r="D54" s="423"/>
      <c r="E54" s="3"/>
      <c r="F54" s="3"/>
      <c r="G54" s="3"/>
      <c r="H54" s="3"/>
      <c r="I54" s="423"/>
      <c r="J54" s="3"/>
      <c r="K54" s="3"/>
      <c r="L54" s="3"/>
      <c r="M54" s="3"/>
      <c r="N54" s="3"/>
      <c r="O54" s="3"/>
      <c r="P54" s="423"/>
      <c r="Q54" s="3"/>
      <c r="R54" s="3"/>
      <c r="S54" s="3"/>
      <c r="T54" s="3"/>
      <c r="U54" s="3"/>
      <c r="V54" s="169"/>
      <c r="W54" s="170"/>
      <c r="X54" s="3"/>
      <c r="Y54" s="3"/>
      <c r="Z54" s="3"/>
      <c r="AA54" s="3"/>
      <c r="AB54" s="3"/>
      <c r="AC54" s="3"/>
      <c r="AD54" s="3"/>
    </row>
    <row r="55" spans="1:30" x14ac:dyDescent="0.2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row>
    <row r="56" spans="1:30" s="28" customFormat="1" ht="15.75" thickBot="1" x14ac:dyDescent="0.3">
      <c r="A56" s="28" t="s">
        <v>95</v>
      </c>
      <c r="B56" s="28" t="s">
        <v>96</v>
      </c>
      <c r="C56" s="115" t="s">
        <v>97</v>
      </c>
      <c r="D56" s="28" t="s">
        <v>98</v>
      </c>
      <c r="E56" s="28" t="s">
        <v>99</v>
      </c>
      <c r="F56" s="28" t="s">
        <v>100</v>
      </c>
      <c r="G56" s="28" t="s">
        <v>101</v>
      </c>
      <c r="H56" s="28" t="s">
        <v>102</v>
      </c>
      <c r="I56" s="28" t="s">
        <v>103</v>
      </c>
      <c r="J56" s="28" t="s">
        <v>104</v>
      </c>
      <c r="K56" s="28" t="s">
        <v>105</v>
      </c>
      <c r="L56" s="28" t="s">
        <v>106</v>
      </c>
      <c r="M56" s="28" t="s">
        <v>107</v>
      </c>
      <c r="N56" s="28" t="s">
        <v>108</v>
      </c>
      <c r="O56" s="116" t="s">
        <v>109</v>
      </c>
      <c r="P56" s="28" t="s">
        <v>110</v>
      </c>
      <c r="Q56" s="28" t="s">
        <v>111</v>
      </c>
      <c r="R56" s="28" t="s">
        <v>112</v>
      </c>
      <c r="S56" s="117" t="s">
        <v>113</v>
      </c>
      <c r="T56" s="117" t="s">
        <v>114</v>
      </c>
      <c r="U56" s="117" t="s">
        <v>115</v>
      </c>
      <c r="V56" s="117" t="s">
        <v>116</v>
      </c>
      <c r="W56" s="117" t="s">
        <v>117</v>
      </c>
      <c r="X56" s="117" t="s">
        <v>118</v>
      </c>
      <c r="Y56" s="117" t="s">
        <v>119</v>
      </c>
      <c r="Z56" s="117" t="s">
        <v>120</v>
      </c>
      <c r="AA56" s="117" t="s">
        <v>121</v>
      </c>
      <c r="AB56" s="117" t="s">
        <v>122</v>
      </c>
      <c r="AC56" s="117" t="s">
        <v>123</v>
      </c>
      <c r="AD56" s="117" t="s">
        <v>124</v>
      </c>
    </row>
    <row r="57" spans="1:30" ht="15.75" thickBot="1" x14ac:dyDescent="0.3">
      <c r="A57" s="526" t="s">
        <v>404</v>
      </c>
      <c r="B57" s="527"/>
      <c r="C57" s="527"/>
      <c r="D57" s="527"/>
      <c r="E57" s="527"/>
      <c r="F57" s="527"/>
      <c r="G57" s="527"/>
      <c r="H57" s="527"/>
      <c r="I57" s="527"/>
      <c r="J57" s="527"/>
      <c r="K57" s="527"/>
      <c r="L57" s="527"/>
      <c r="M57" s="527"/>
      <c r="N57" s="527"/>
      <c r="O57" s="527"/>
      <c r="P57" s="527"/>
      <c r="Q57" s="527"/>
      <c r="R57" s="527"/>
      <c r="S57" s="527"/>
      <c r="T57" s="527"/>
      <c r="U57" s="527"/>
      <c r="V57" s="527"/>
      <c r="W57" s="527"/>
      <c r="X57" s="527"/>
      <c r="Y57" s="527"/>
      <c r="Z57" s="527"/>
      <c r="AA57" s="527"/>
      <c r="AB57" s="527"/>
      <c r="AC57" s="527"/>
      <c r="AD57" s="528"/>
    </row>
    <row r="58" spans="1:30" ht="12.75" customHeight="1" x14ac:dyDescent="0.25">
      <c r="A58" s="32"/>
      <c r="B58" s="518" t="s">
        <v>3</v>
      </c>
      <c r="C58" s="519"/>
      <c r="D58" s="520"/>
      <c r="E58" s="28"/>
      <c r="F58" s="518" t="s">
        <v>13</v>
      </c>
      <c r="G58" s="519"/>
      <c r="H58" s="519"/>
      <c r="I58" s="519"/>
      <c r="J58" s="519"/>
      <c r="K58" s="519"/>
      <c r="L58" s="519"/>
      <c r="M58" s="519"/>
      <c r="N58" s="519"/>
      <c r="O58" s="519"/>
      <c r="P58" s="520"/>
      <c r="Q58" s="171"/>
      <c r="R58" s="518" t="s">
        <v>14</v>
      </c>
      <c r="S58" s="519"/>
      <c r="T58" s="519"/>
      <c r="U58" s="519"/>
      <c r="V58" s="519"/>
      <c r="W58" s="519"/>
      <c r="X58" s="519"/>
      <c r="Y58" s="519"/>
      <c r="Z58" s="519"/>
      <c r="AA58" s="520"/>
      <c r="AB58" s="32"/>
      <c r="AC58" s="172"/>
      <c r="AD58" s="173"/>
    </row>
    <row r="59" spans="1:30" s="28" customFormat="1" ht="12.75" customHeight="1" x14ac:dyDescent="0.25">
      <c r="A59" s="118"/>
      <c r="B59" s="118"/>
      <c r="C59" s="174"/>
      <c r="D59" s="120"/>
      <c r="E59" s="118"/>
      <c r="F59" s="118"/>
      <c r="G59" s="521" t="s">
        <v>22</v>
      </c>
      <c r="H59" s="522"/>
      <c r="I59" s="522"/>
      <c r="J59" s="33"/>
      <c r="K59" s="521" t="s">
        <v>12</v>
      </c>
      <c r="L59" s="522"/>
      <c r="M59" s="522"/>
      <c r="N59" s="522"/>
      <c r="O59" s="522"/>
      <c r="P59" s="175"/>
      <c r="R59" s="523" t="s">
        <v>5</v>
      </c>
      <c r="S59" s="524"/>
      <c r="T59" s="525"/>
      <c r="U59" s="523" t="s">
        <v>12</v>
      </c>
      <c r="V59" s="524"/>
      <c r="W59" s="524"/>
      <c r="X59" s="524"/>
      <c r="Y59" s="524"/>
      <c r="Z59" s="525"/>
      <c r="AA59" s="118" t="s">
        <v>10</v>
      </c>
      <c r="AB59" s="118" t="s">
        <v>16</v>
      </c>
      <c r="AC59" s="118"/>
      <c r="AD59" s="122"/>
    </row>
    <row r="60" spans="1:30" s="29" customFormat="1" x14ac:dyDescent="0.25">
      <c r="A60" s="124"/>
      <c r="B60" s="124"/>
      <c r="C60" s="174" t="s">
        <v>25</v>
      </c>
      <c r="D60" s="126"/>
      <c r="E60" s="124"/>
      <c r="F60" s="124"/>
      <c r="G60" s="118" t="s">
        <v>28</v>
      </c>
      <c r="H60" s="124"/>
      <c r="I60" s="124"/>
      <c r="J60" s="124"/>
      <c r="K60" s="124"/>
      <c r="L60" s="513" t="s">
        <v>127</v>
      </c>
      <c r="M60" s="514"/>
      <c r="N60" s="515"/>
      <c r="O60" s="127"/>
      <c r="P60" s="118" t="s">
        <v>10</v>
      </c>
      <c r="Q60" s="124"/>
      <c r="R60" s="124"/>
      <c r="S60" s="118" t="s">
        <v>28</v>
      </c>
      <c r="T60" s="124"/>
      <c r="U60" s="124"/>
      <c r="V60" s="127"/>
      <c r="W60" s="513" t="s">
        <v>149</v>
      </c>
      <c r="X60" s="514"/>
      <c r="Y60" s="515"/>
      <c r="AA60" s="124" t="s">
        <v>15</v>
      </c>
      <c r="AB60" s="124" t="s">
        <v>0</v>
      </c>
      <c r="AC60" s="516" t="s">
        <v>9</v>
      </c>
      <c r="AD60" s="517"/>
    </row>
    <row r="61" spans="1:30" s="28" customFormat="1" x14ac:dyDescent="0.25">
      <c r="A61" s="124" t="s">
        <v>11</v>
      </c>
      <c r="B61" s="118"/>
      <c r="C61" s="176" t="s">
        <v>7</v>
      </c>
      <c r="D61" s="120"/>
      <c r="E61" s="118"/>
      <c r="F61" s="118"/>
      <c r="G61" s="124" t="s">
        <v>7</v>
      </c>
      <c r="H61" s="124" t="s">
        <v>357</v>
      </c>
      <c r="I61" s="124" t="s">
        <v>10</v>
      </c>
      <c r="J61" s="118"/>
      <c r="K61" s="124" t="s">
        <v>6</v>
      </c>
      <c r="L61" s="124" t="s">
        <v>129</v>
      </c>
      <c r="M61" s="124" t="s">
        <v>130</v>
      </c>
      <c r="N61" s="124" t="s">
        <v>10</v>
      </c>
      <c r="O61" s="124"/>
      <c r="P61" s="124" t="s">
        <v>4</v>
      </c>
      <c r="Q61" s="118"/>
      <c r="R61" s="118"/>
      <c r="S61" s="124" t="s">
        <v>7</v>
      </c>
      <c r="T61" s="118"/>
      <c r="U61" s="118"/>
      <c r="V61" s="124" t="s">
        <v>6</v>
      </c>
      <c r="W61" s="124" t="s">
        <v>129</v>
      </c>
      <c r="X61" s="124" t="s">
        <v>130</v>
      </c>
      <c r="Y61" s="124" t="s">
        <v>10</v>
      </c>
      <c r="Z61" s="124"/>
      <c r="AA61" s="118"/>
      <c r="AB61" s="118"/>
      <c r="AC61" s="118"/>
      <c r="AD61" s="120"/>
    </row>
    <row r="62" spans="1:30" x14ac:dyDescent="0.25">
      <c r="A62" s="32" t="s">
        <v>132</v>
      </c>
      <c r="B62" s="32"/>
      <c r="C62" s="174" t="s">
        <v>18</v>
      </c>
      <c r="D62" s="34"/>
      <c r="E62" s="32"/>
      <c r="F62" s="32"/>
      <c r="G62" s="118" t="s">
        <v>1</v>
      </c>
      <c r="H62" s="118" t="s">
        <v>1</v>
      </c>
      <c r="I62" s="118" t="s">
        <v>1</v>
      </c>
      <c r="J62" s="32"/>
      <c r="K62" s="118" t="s">
        <v>18</v>
      </c>
      <c r="L62" s="118" t="s">
        <v>2</v>
      </c>
      <c r="M62" s="118" t="s">
        <v>2</v>
      </c>
      <c r="N62" s="118" t="s">
        <v>2</v>
      </c>
      <c r="O62" s="124"/>
      <c r="P62" s="118" t="s">
        <v>18</v>
      </c>
      <c r="Q62" s="32"/>
      <c r="R62" s="32"/>
      <c r="S62" s="118" t="s">
        <v>18</v>
      </c>
      <c r="T62" s="118"/>
      <c r="U62" s="118"/>
      <c r="V62" s="118" t="s">
        <v>18</v>
      </c>
      <c r="W62" s="118" t="s">
        <v>2</v>
      </c>
      <c r="X62" s="118" t="s">
        <v>2</v>
      </c>
      <c r="Y62" s="118" t="s">
        <v>2</v>
      </c>
      <c r="Z62" s="118"/>
      <c r="AA62" s="118" t="s">
        <v>1</v>
      </c>
      <c r="AB62" s="118" t="s">
        <v>18</v>
      </c>
      <c r="AC62" s="118" t="s">
        <v>1</v>
      </c>
      <c r="AD62" s="120" t="s">
        <v>2</v>
      </c>
    </row>
    <row r="63" spans="1:30" x14ac:dyDescent="0.25">
      <c r="A63" s="32" t="s">
        <v>133</v>
      </c>
      <c r="B63" s="124"/>
      <c r="C63" s="176"/>
      <c r="D63" s="120"/>
      <c r="E63" s="32"/>
      <c r="F63" s="118"/>
      <c r="G63" s="118"/>
      <c r="H63" s="118"/>
      <c r="I63" s="118" t="s">
        <v>150</v>
      </c>
      <c r="J63" s="118"/>
      <c r="K63" s="118"/>
      <c r="L63" s="118"/>
      <c r="M63" s="118"/>
      <c r="N63" s="118" t="s">
        <v>136</v>
      </c>
      <c r="O63" s="118"/>
      <c r="P63" s="118" t="s">
        <v>173</v>
      </c>
      <c r="Q63" s="130"/>
      <c r="R63" s="118"/>
      <c r="S63" s="118"/>
      <c r="T63" s="118"/>
      <c r="U63" s="118"/>
      <c r="V63" s="118"/>
      <c r="W63" s="118"/>
      <c r="X63" s="118"/>
      <c r="Y63" s="118" t="s">
        <v>140</v>
      </c>
      <c r="Z63" s="118"/>
      <c r="AA63" s="118" t="s">
        <v>151</v>
      </c>
      <c r="AB63" s="118"/>
      <c r="AC63" s="118" t="s">
        <v>152</v>
      </c>
      <c r="AD63" s="120" t="s">
        <v>153</v>
      </c>
    </row>
    <row r="64" spans="1:30" x14ac:dyDescent="0.25">
      <c r="A64" s="132" t="s">
        <v>29</v>
      </c>
      <c r="B64" s="32"/>
      <c r="C64" s="159"/>
      <c r="D64" s="32"/>
      <c r="E64" s="32"/>
      <c r="F64" s="32"/>
      <c r="G64" s="32"/>
      <c r="H64" s="32"/>
      <c r="I64" s="32"/>
      <c r="J64" s="32"/>
      <c r="K64" s="32"/>
      <c r="L64" s="32"/>
      <c r="M64" s="32"/>
      <c r="N64" s="32"/>
      <c r="O64" s="118"/>
      <c r="P64" s="32"/>
      <c r="Q64" s="32"/>
      <c r="R64" s="32"/>
      <c r="S64" s="130"/>
      <c r="T64" s="130"/>
      <c r="U64" s="130"/>
      <c r="V64" s="32"/>
      <c r="W64" s="32"/>
      <c r="X64" s="32"/>
      <c r="Y64" s="32"/>
      <c r="Z64" s="32"/>
      <c r="AA64" s="32"/>
      <c r="AB64" s="32"/>
      <c r="AC64" s="32"/>
      <c r="AD64" s="34"/>
    </row>
    <row r="65" spans="1:35" x14ac:dyDescent="0.25">
      <c r="A65" s="132"/>
      <c r="B65" s="32"/>
      <c r="C65" s="178"/>
      <c r="D65" s="32"/>
      <c r="E65" s="32"/>
      <c r="F65" s="32"/>
      <c r="G65" s="178"/>
      <c r="H65" s="178"/>
      <c r="I65" s="178"/>
      <c r="J65" s="178"/>
      <c r="K65" s="178"/>
      <c r="L65" s="178"/>
      <c r="M65" s="178"/>
      <c r="N65" s="133"/>
      <c r="O65" s="177"/>
      <c r="P65" s="133"/>
      <c r="Q65" s="178"/>
      <c r="R65" s="133"/>
      <c r="S65" s="178"/>
      <c r="T65" s="133"/>
      <c r="U65" s="133"/>
      <c r="V65" s="178"/>
      <c r="W65" s="178"/>
      <c r="X65" s="178"/>
      <c r="Y65" s="178"/>
      <c r="Z65" s="178"/>
      <c r="AA65" s="133"/>
      <c r="AB65" s="178"/>
      <c r="AC65" s="133"/>
      <c r="AD65" s="148"/>
    </row>
    <row r="66" spans="1:35" hidden="1" x14ac:dyDescent="0.25">
      <c r="A66" s="132" t="s">
        <v>221</v>
      </c>
      <c r="B66" s="32"/>
      <c r="C66" s="133">
        <v>0</v>
      </c>
      <c r="D66" s="133"/>
      <c r="E66" s="133"/>
      <c r="F66" s="133"/>
      <c r="G66" s="133">
        <v>0</v>
      </c>
      <c r="H66" s="133">
        <v>0</v>
      </c>
      <c r="I66" s="179">
        <f>+G66+H66</f>
        <v>0</v>
      </c>
      <c r="J66" s="133"/>
      <c r="K66" s="133">
        <v>0</v>
      </c>
      <c r="L66" s="133">
        <v>0</v>
      </c>
      <c r="M66" s="133">
        <v>0</v>
      </c>
      <c r="N66" s="179">
        <f>+L66+M66</f>
        <v>0</v>
      </c>
      <c r="O66" s="133">
        <v>0</v>
      </c>
      <c r="P66" s="179">
        <f>+I66+K66</f>
        <v>0</v>
      </c>
      <c r="Q66" s="133"/>
      <c r="R66" s="133"/>
      <c r="S66" s="133">
        <v>0</v>
      </c>
      <c r="T66" s="133"/>
      <c r="U66" s="133"/>
      <c r="V66" s="133">
        <v>403692000</v>
      </c>
      <c r="W66" s="133">
        <v>630018</v>
      </c>
      <c r="X66" s="133">
        <v>611355</v>
      </c>
      <c r="Y66" s="179">
        <f>+W66+X66</f>
        <v>1241373</v>
      </c>
      <c r="Z66" s="133"/>
      <c r="AA66" s="179">
        <f>+S66+V66</f>
        <v>403692000</v>
      </c>
      <c r="AB66" s="133">
        <v>0</v>
      </c>
      <c r="AC66" s="179">
        <f>+C66+P66+AA66+AB66</f>
        <v>403692000</v>
      </c>
      <c r="AD66" s="180">
        <f>+N66+Y66</f>
        <v>1241373</v>
      </c>
    </row>
    <row r="67" spans="1:35" hidden="1" x14ac:dyDescent="0.25">
      <c r="A67" s="132"/>
      <c r="B67" s="32"/>
      <c r="C67" s="133"/>
      <c r="D67" s="32"/>
      <c r="E67" s="32"/>
      <c r="F67" s="32"/>
      <c r="G67" s="133"/>
      <c r="H67" s="133"/>
      <c r="I67" s="133"/>
      <c r="J67" s="178"/>
      <c r="K67" s="133"/>
      <c r="L67" s="133"/>
      <c r="M67" s="133"/>
      <c r="N67" s="133"/>
      <c r="O67" s="159"/>
      <c r="P67" s="133"/>
      <c r="Q67" s="178"/>
      <c r="R67" s="133"/>
      <c r="S67" s="133"/>
      <c r="T67" s="133"/>
      <c r="U67" s="133"/>
      <c r="V67" s="133">
        <v>191758185</v>
      </c>
      <c r="W67" s="133">
        <v>320085</v>
      </c>
      <c r="X67" s="133">
        <v>318448</v>
      </c>
      <c r="Y67" s="179">
        <f>+W67+X67</f>
        <v>638533</v>
      </c>
      <c r="Z67" s="133"/>
      <c r="AA67" s="179">
        <f>+S67+V67</f>
        <v>191758185</v>
      </c>
      <c r="AB67" s="133">
        <v>0</v>
      </c>
      <c r="AC67" s="179">
        <f>+C67+P67+AA67+AB67</f>
        <v>191758185</v>
      </c>
      <c r="AD67" s="180">
        <f>+N67+Y67</f>
        <v>638533</v>
      </c>
    </row>
    <row r="68" spans="1:35" hidden="1" x14ac:dyDescent="0.25">
      <c r="B68" s="181"/>
      <c r="C68" s="140"/>
      <c r="D68" s="182"/>
      <c r="E68" s="182"/>
      <c r="F68" s="182"/>
      <c r="G68" s="140"/>
      <c r="H68" s="140"/>
      <c r="I68" s="183"/>
      <c r="J68" s="182"/>
      <c r="K68" s="140"/>
      <c r="L68" s="140"/>
      <c r="M68" s="140"/>
      <c r="N68" s="183"/>
      <c r="O68" s="184"/>
      <c r="P68" s="183"/>
      <c r="Q68" s="182"/>
      <c r="R68" s="182"/>
      <c r="S68" s="185"/>
      <c r="T68" s="182"/>
      <c r="U68" s="182"/>
      <c r="V68" s="140"/>
      <c r="W68" s="140"/>
      <c r="X68" s="140"/>
      <c r="Y68" s="140"/>
      <c r="Z68" s="140"/>
      <c r="AA68" s="140"/>
      <c r="AB68" s="140"/>
      <c r="AC68" s="140"/>
      <c r="AD68" s="183"/>
    </row>
    <row r="69" spans="1:35" hidden="1" x14ac:dyDescent="0.25">
      <c r="A69" s="132" t="s">
        <v>283</v>
      </c>
      <c r="B69" s="186"/>
      <c r="C69" s="143">
        <f>+C66</f>
        <v>0</v>
      </c>
      <c r="D69" s="187"/>
      <c r="E69" s="187"/>
      <c r="F69" s="187"/>
      <c r="G69" s="143"/>
      <c r="H69" s="143"/>
      <c r="I69" s="143">
        <f>+G69+H69</f>
        <v>0</v>
      </c>
      <c r="J69" s="187"/>
      <c r="K69" s="143"/>
      <c r="L69" s="143"/>
      <c r="M69" s="143"/>
      <c r="N69" s="143">
        <f>+L69+M69</f>
        <v>0</v>
      </c>
      <c r="O69" s="143"/>
      <c r="P69" s="143">
        <f>+I69+K69</f>
        <v>0</v>
      </c>
      <c r="Q69" s="187"/>
      <c r="R69" s="187"/>
      <c r="S69" s="143">
        <f>+S66</f>
        <v>0</v>
      </c>
      <c r="T69" s="187"/>
      <c r="U69" s="187"/>
      <c r="V69" s="143">
        <f>+V66</f>
        <v>403692000</v>
      </c>
      <c r="W69" s="143">
        <f>+W66</f>
        <v>630018</v>
      </c>
      <c r="X69" s="143">
        <f>+X66</f>
        <v>611355</v>
      </c>
      <c r="Y69" s="143">
        <f>+Y66</f>
        <v>1241373</v>
      </c>
      <c r="Z69" s="143"/>
      <c r="AA69" s="143">
        <f>+S69+V69</f>
        <v>403692000</v>
      </c>
      <c r="AB69" s="143"/>
      <c r="AC69" s="143">
        <f>+C69+P69+AA69+AB69</f>
        <v>403692000</v>
      </c>
      <c r="AD69" s="188">
        <f>+N69+Y69</f>
        <v>1241373</v>
      </c>
    </row>
    <row r="70" spans="1:35" hidden="1" x14ac:dyDescent="0.25">
      <c r="A70" s="132"/>
      <c r="B70" s="189"/>
      <c r="C70" s="133"/>
      <c r="D70" s="178"/>
      <c r="E70" s="178"/>
      <c r="F70" s="178"/>
      <c r="G70" s="133"/>
      <c r="H70" s="133"/>
      <c r="I70" s="133"/>
      <c r="J70" s="178"/>
      <c r="K70" s="133"/>
      <c r="L70" s="133"/>
      <c r="M70" s="133"/>
      <c r="N70" s="133"/>
      <c r="O70" s="133"/>
      <c r="P70" s="133"/>
      <c r="Q70" s="178"/>
      <c r="R70" s="178"/>
      <c r="S70" s="190"/>
      <c r="T70" s="178"/>
      <c r="U70" s="178"/>
      <c r="V70" s="133"/>
      <c r="W70" s="133"/>
      <c r="X70" s="133"/>
      <c r="Y70" s="133"/>
      <c r="Z70" s="133"/>
      <c r="AA70" s="133"/>
      <c r="AB70" s="133"/>
      <c r="AC70" s="133"/>
      <c r="AD70" s="148"/>
    </row>
    <row r="71" spans="1:35" x14ac:dyDescent="0.25">
      <c r="A71" s="131" t="s">
        <v>154</v>
      </c>
      <c r="B71" s="189"/>
      <c r="C71" s="133"/>
      <c r="D71" s="178"/>
      <c r="E71" s="178"/>
      <c r="F71" s="178"/>
      <c r="G71" s="133"/>
      <c r="H71" s="133"/>
      <c r="I71" s="133"/>
      <c r="J71" s="178"/>
      <c r="K71" s="133"/>
      <c r="L71" s="133"/>
      <c r="M71" s="133"/>
      <c r="N71" s="133"/>
      <c r="O71" s="133"/>
      <c r="P71" s="133"/>
      <c r="Q71" s="178"/>
      <c r="R71" s="178"/>
      <c r="S71" s="190"/>
      <c r="T71" s="178"/>
      <c r="U71" s="178"/>
      <c r="V71" s="133"/>
      <c r="W71" s="133"/>
      <c r="X71" s="133"/>
      <c r="Y71" s="133"/>
      <c r="Z71" s="133"/>
      <c r="AA71" s="133"/>
      <c r="AB71" s="133"/>
      <c r="AC71" s="133"/>
      <c r="AD71" s="148"/>
    </row>
    <row r="72" spans="1:35" hidden="1" x14ac:dyDescent="0.25">
      <c r="A72" s="1" t="s">
        <v>30</v>
      </c>
      <c r="B72" s="178"/>
      <c r="C72" s="133">
        <v>10057047</v>
      </c>
      <c r="D72" s="133"/>
      <c r="E72" s="178"/>
      <c r="F72" s="133"/>
      <c r="G72" s="133">
        <v>940859</v>
      </c>
      <c r="H72" s="133">
        <v>126308</v>
      </c>
      <c r="I72" s="179">
        <f>+G72+H72</f>
        <v>1067167</v>
      </c>
      <c r="J72" s="133"/>
      <c r="K72" s="133">
        <v>2388291</v>
      </c>
      <c r="L72" s="133">
        <v>7899</v>
      </c>
      <c r="M72" s="133">
        <v>0</v>
      </c>
      <c r="N72" s="179">
        <f>+L72+M72</f>
        <v>7899</v>
      </c>
      <c r="O72" s="133"/>
      <c r="P72" s="179">
        <f>+I72+K72</f>
        <v>3455458</v>
      </c>
      <c r="Q72" s="178"/>
      <c r="R72" s="178"/>
      <c r="S72" s="133">
        <v>0</v>
      </c>
      <c r="T72" s="178"/>
      <c r="U72" s="178"/>
      <c r="V72" s="133">
        <v>0</v>
      </c>
      <c r="W72" s="133">
        <v>0</v>
      </c>
      <c r="X72" s="133">
        <v>0</v>
      </c>
      <c r="Y72" s="179">
        <f>+W72+X72</f>
        <v>0</v>
      </c>
      <c r="Z72" s="133"/>
      <c r="AA72" s="179">
        <f>+S72+V72</f>
        <v>0</v>
      </c>
      <c r="AB72" s="133">
        <v>0</v>
      </c>
      <c r="AC72" s="179">
        <f>+C72+P72+AA72+AB72</f>
        <v>13512505</v>
      </c>
      <c r="AD72" s="180">
        <f>+N72+Y72</f>
        <v>7899</v>
      </c>
    </row>
    <row r="73" spans="1:35" x14ac:dyDescent="0.25">
      <c r="A73" s="1" t="s">
        <v>31</v>
      </c>
      <c r="B73" s="178"/>
      <c r="C73" s="226">
        <f>'EEC Billing Determinants'!I10</f>
        <v>90180848.610000014</v>
      </c>
      <c r="D73" s="133"/>
      <c r="E73" s="178"/>
      <c r="F73" s="133"/>
      <c r="G73" s="226">
        <f>SUM('EEC Billing Determinants'!I13:I16)</f>
        <v>15779816</v>
      </c>
      <c r="H73" s="226">
        <f>'EEC Billing Determinants'!I17</f>
        <v>2121657</v>
      </c>
      <c r="I73" s="226">
        <f>+G73+H73</f>
        <v>17901473</v>
      </c>
      <c r="J73" s="133"/>
      <c r="K73" s="226">
        <f>'EEC Billing Determinants'!I26</f>
        <v>170682292.36000001</v>
      </c>
      <c r="L73" s="133"/>
      <c r="M73" s="133"/>
      <c r="N73" s="226">
        <f>'EEC Billing Determinants'!J26</f>
        <v>445226.64</v>
      </c>
      <c r="O73" s="133"/>
      <c r="P73" s="226">
        <f>+I73+K73</f>
        <v>188583765.36000001</v>
      </c>
      <c r="Q73" s="178"/>
      <c r="R73" s="178"/>
      <c r="S73" s="226">
        <v>0</v>
      </c>
      <c r="T73" s="178"/>
      <c r="U73" s="178"/>
      <c r="V73" s="226">
        <f>'EEC Billing Determinants'!I33</f>
        <v>44247326</v>
      </c>
      <c r="W73" s="133"/>
      <c r="X73" s="133"/>
      <c r="Y73" s="226">
        <f>'EEC Billing Determinants'!J33</f>
        <v>80805.86</v>
      </c>
      <c r="Z73" s="133"/>
      <c r="AA73" s="226">
        <f>+S73+V73</f>
        <v>44247326</v>
      </c>
      <c r="AB73" s="133">
        <v>0</v>
      </c>
      <c r="AC73" s="226">
        <f>+C73+P73+AA73+AB73</f>
        <v>323011939.97000003</v>
      </c>
      <c r="AD73" s="248">
        <f>+N73+Y73</f>
        <v>526032.5</v>
      </c>
    </row>
    <row r="74" spans="1:35" hidden="1" x14ac:dyDescent="0.25">
      <c r="A74" s="1" t="s">
        <v>32</v>
      </c>
      <c r="B74" s="178"/>
      <c r="C74" s="133">
        <v>13562208</v>
      </c>
      <c r="D74" s="133"/>
      <c r="E74" s="178"/>
      <c r="F74" s="133"/>
      <c r="G74" s="133">
        <v>2216305</v>
      </c>
      <c r="H74" s="133">
        <v>158053</v>
      </c>
      <c r="I74" s="179">
        <f>+G74+H74</f>
        <v>2374358</v>
      </c>
      <c r="J74" s="133"/>
      <c r="K74" s="133">
        <v>10235836</v>
      </c>
      <c r="L74" s="133">
        <v>24874.48</v>
      </c>
      <c r="M74" s="133">
        <v>0</v>
      </c>
      <c r="N74" s="133"/>
      <c r="O74" s="133">
        <v>0</v>
      </c>
      <c r="P74" s="179">
        <f>+I74+K74</f>
        <v>12610194</v>
      </c>
      <c r="Q74" s="178"/>
      <c r="R74" s="178"/>
      <c r="S74" s="133">
        <v>0</v>
      </c>
      <c r="T74" s="178"/>
      <c r="U74" s="178"/>
      <c r="V74" s="133">
        <v>0</v>
      </c>
      <c r="W74" s="133">
        <v>0</v>
      </c>
      <c r="X74" s="133">
        <v>0</v>
      </c>
      <c r="Y74" s="179">
        <f t="shared" ref="Y74:Y88" si="13">+W74+X74</f>
        <v>0</v>
      </c>
      <c r="Z74" s="133">
        <v>0</v>
      </c>
      <c r="AA74" s="179">
        <f>+S74+V74</f>
        <v>0</v>
      </c>
      <c r="AB74" s="133">
        <v>0</v>
      </c>
      <c r="AC74" s="179">
        <f>+C74+P74+AA74+AB74</f>
        <v>26172402</v>
      </c>
      <c r="AD74" s="180" t="e">
        <f>+#REF!+Y74</f>
        <v>#REF!</v>
      </c>
      <c r="AG74" s="1" t="s">
        <v>295</v>
      </c>
    </row>
    <row r="75" spans="1:35" hidden="1" x14ac:dyDescent="0.25">
      <c r="A75" s="1" t="s">
        <v>33</v>
      </c>
      <c r="B75" s="178"/>
      <c r="C75" s="133">
        <v>1464744000</v>
      </c>
      <c r="D75" s="133"/>
      <c r="E75" s="178"/>
      <c r="F75" s="133"/>
      <c r="G75" s="133">
        <v>181600332</v>
      </c>
      <c r="H75" s="133">
        <v>11289000</v>
      </c>
      <c r="I75" s="179">
        <f>+G75+H75</f>
        <v>192889332</v>
      </c>
      <c r="J75" s="133"/>
      <c r="K75" s="133">
        <v>1315524668</v>
      </c>
      <c r="L75" s="133">
        <v>4065138</v>
      </c>
      <c r="M75" s="133">
        <v>2337906</v>
      </c>
      <c r="N75" s="133"/>
      <c r="O75" s="133">
        <v>2337906</v>
      </c>
      <c r="P75" s="179">
        <f>+I75+K75</f>
        <v>1508414000</v>
      </c>
      <c r="Q75" s="178"/>
      <c r="R75" s="178"/>
      <c r="S75" s="133">
        <v>0</v>
      </c>
      <c r="T75" s="178"/>
      <c r="U75" s="178"/>
      <c r="V75" s="226">
        <f>IF('EEC Rates Report'!$F$34=1,'Util Rev and Load Data'!AG75-'Util Rev and Load Data'!V67,'Util Rev and Load Data'!AG75)</f>
        <v>575008815</v>
      </c>
      <c r="W75" s="226">
        <f>IF('EEC Rates Report'!$F$34=1,'Util Rev and Load Data'!AH75-'Util Rev and Load Data'!W67,'Util Rev and Load Data'!AH75)</f>
        <v>1118781</v>
      </c>
      <c r="X75" s="226">
        <f>IF('EEC Rates Report'!$F$34=1,'Util Rev and Load Data'!AI75-'Util Rev and Load Data'!X67,'Util Rev and Load Data'!AI75)</f>
        <v>1226813</v>
      </c>
      <c r="Y75" s="179">
        <f t="shared" si="13"/>
        <v>2345594</v>
      </c>
      <c r="Z75" s="226">
        <f>IF('EEC Rates Report'!$F$34=1,'Util Rev and Load Data'!AK75-'Util Rev and Load Data'!Z67,'Util Rev and Load Data'!AK75)</f>
        <v>0</v>
      </c>
      <c r="AA75" s="179">
        <f>+S75+V75</f>
        <v>575008815</v>
      </c>
      <c r="AB75" s="133">
        <v>28000</v>
      </c>
      <c r="AC75" s="179">
        <f>+C75+P75+AA75+AB75</f>
        <v>3548194815</v>
      </c>
      <c r="AD75" s="180" t="e">
        <f>+#REF!+Y75</f>
        <v>#REF!</v>
      </c>
      <c r="AE75" s="31"/>
      <c r="AG75" s="188">
        <v>766767000</v>
      </c>
      <c r="AH75" s="188">
        <v>1438866</v>
      </c>
      <c r="AI75" s="188">
        <v>1545261</v>
      </c>
    </row>
    <row r="76" spans="1:35" hidden="1" x14ac:dyDescent="0.25">
      <c r="A76" s="1" t="s">
        <v>34</v>
      </c>
      <c r="B76" s="178"/>
      <c r="C76" s="133">
        <v>23141723</v>
      </c>
      <c r="D76" s="133"/>
      <c r="E76" s="178"/>
      <c r="F76" s="133"/>
      <c r="G76" s="133">
        <v>5006241</v>
      </c>
      <c r="H76" s="133">
        <v>184520</v>
      </c>
      <c r="I76" s="179">
        <f t="shared" ref="I76:I88" si="14">+G76+H76</f>
        <v>5190761</v>
      </c>
      <c r="J76" s="133"/>
      <c r="K76" s="133">
        <v>5072305</v>
      </c>
      <c r="L76" s="133">
        <v>31852</v>
      </c>
      <c r="M76" s="133">
        <v>0</v>
      </c>
      <c r="N76" s="133"/>
      <c r="O76" s="133">
        <v>0</v>
      </c>
      <c r="P76" s="179">
        <f t="shared" ref="P76:P88" si="15">+I76+K76</f>
        <v>10263066</v>
      </c>
      <c r="Q76" s="178"/>
      <c r="R76" s="178"/>
      <c r="S76" s="133">
        <v>0</v>
      </c>
      <c r="T76" s="178"/>
      <c r="U76" s="178"/>
      <c r="V76" s="133">
        <v>0</v>
      </c>
      <c r="W76" s="133">
        <v>0</v>
      </c>
      <c r="X76" s="133">
        <v>0</v>
      </c>
      <c r="Y76" s="179">
        <f t="shared" si="13"/>
        <v>0</v>
      </c>
      <c r="Z76" s="133">
        <v>0</v>
      </c>
      <c r="AA76" s="179">
        <f t="shared" ref="AA76:AA88" si="16">+S76+V76</f>
        <v>0</v>
      </c>
      <c r="AB76" s="133">
        <v>0</v>
      </c>
      <c r="AC76" s="179">
        <f t="shared" ref="AC76:AC88" si="17">+C76+P76+AA76+AB76</f>
        <v>33404789</v>
      </c>
      <c r="AD76" s="180" t="e">
        <f>+#REF!+Y76</f>
        <v>#REF!</v>
      </c>
      <c r="AG76" s="31"/>
    </row>
    <row r="77" spans="1:35" hidden="1" x14ac:dyDescent="0.25">
      <c r="A77" s="1" t="s">
        <v>35</v>
      </c>
      <c r="B77" s="178"/>
      <c r="C77" s="133">
        <v>7782751</v>
      </c>
      <c r="D77" s="133"/>
      <c r="E77" s="178"/>
      <c r="F77" s="133"/>
      <c r="G77" s="133">
        <v>2041607.8304525514</v>
      </c>
      <c r="H77" s="133">
        <v>48894</v>
      </c>
      <c r="I77" s="179">
        <f t="shared" si="14"/>
        <v>2090501.8304525514</v>
      </c>
      <c r="J77" s="133"/>
      <c r="K77" s="133">
        <v>1414960.2210945997</v>
      </c>
      <c r="L77" s="133">
        <v>5097.7496409765436</v>
      </c>
      <c r="M77" s="133">
        <v>0</v>
      </c>
      <c r="N77" s="133"/>
      <c r="O77" s="133">
        <v>0</v>
      </c>
      <c r="P77" s="179">
        <f t="shared" si="15"/>
        <v>3505462.0515471511</v>
      </c>
      <c r="Q77" s="178"/>
      <c r="R77" s="178"/>
      <c r="S77" s="133">
        <v>0</v>
      </c>
      <c r="T77" s="178"/>
      <c r="U77" s="178"/>
      <c r="V77" s="133">
        <v>0</v>
      </c>
      <c r="W77" s="133">
        <v>0</v>
      </c>
      <c r="X77" s="133">
        <v>0</v>
      </c>
      <c r="Y77" s="179">
        <f t="shared" si="13"/>
        <v>0</v>
      </c>
      <c r="Z77" s="133">
        <v>0</v>
      </c>
      <c r="AA77" s="179">
        <f t="shared" si="16"/>
        <v>0</v>
      </c>
      <c r="AB77" s="133">
        <v>0</v>
      </c>
      <c r="AC77" s="179">
        <f t="shared" si="17"/>
        <v>11288213.051547151</v>
      </c>
      <c r="AD77" s="180" t="e">
        <f>+#REF!+Y77</f>
        <v>#REF!</v>
      </c>
    </row>
    <row r="78" spans="1:35" hidden="1" x14ac:dyDescent="0.25">
      <c r="A78" s="1" t="s">
        <v>36</v>
      </c>
      <c r="B78" s="178"/>
      <c r="C78" s="133">
        <v>3500313</v>
      </c>
      <c r="D78" s="133"/>
      <c r="E78" s="178"/>
      <c r="F78" s="133"/>
      <c r="G78" s="133">
        <v>570901</v>
      </c>
      <c r="H78" s="133">
        <v>17094.150000000001</v>
      </c>
      <c r="I78" s="179">
        <f t="shared" si="14"/>
        <v>587995.15</v>
      </c>
      <c r="J78" s="133"/>
      <c r="K78" s="133">
        <v>866081</v>
      </c>
      <c r="L78" s="133">
        <v>4850</v>
      </c>
      <c r="M78" s="133">
        <v>0</v>
      </c>
      <c r="N78" s="133"/>
      <c r="O78" s="133">
        <v>0</v>
      </c>
      <c r="P78" s="179">
        <f t="shared" si="15"/>
        <v>1454076.15</v>
      </c>
      <c r="Q78" s="178"/>
      <c r="R78" s="178"/>
      <c r="S78" s="133">
        <v>0</v>
      </c>
      <c r="T78" s="178"/>
      <c r="U78" s="178"/>
      <c r="V78" s="133">
        <v>0</v>
      </c>
      <c r="W78" s="133">
        <v>0</v>
      </c>
      <c r="X78" s="133">
        <v>0</v>
      </c>
      <c r="Y78" s="179">
        <f t="shared" si="13"/>
        <v>0</v>
      </c>
      <c r="Z78" s="133">
        <v>0</v>
      </c>
      <c r="AA78" s="179">
        <f t="shared" si="16"/>
        <v>0</v>
      </c>
      <c r="AB78" s="133">
        <v>0</v>
      </c>
      <c r="AC78" s="179">
        <f t="shared" si="17"/>
        <v>4954389.1500000004</v>
      </c>
      <c r="AD78" s="180" t="e">
        <f>+#REF!+Y78</f>
        <v>#REF!</v>
      </c>
    </row>
    <row r="79" spans="1:35" hidden="1" x14ac:dyDescent="0.25">
      <c r="A79" s="1" t="s">
        <v>37</v>
      </c>
      <c r="B79" s="178"/>
      <c r="C79" s="133">
        <v>4928055</v>
      </c>
      <c r="D79" s="133"/>
      <c r="E79" s="178"/>
      <c r="F79" s="133"/>
      <c r="G79" s="133">
        <v>1791524</v>
      </c>
      <c r="H79" s="133">
        <v>67208</v>
      </c>
      <c r="I79" s="179">
        <f t="shared" si="14"/>
        <v>1858732</v>
      </c>
      <c r="J79" s="133"/>
      <c r="K79" s="133">
        <v>5462097</v>
      </c>
      <c r="L79" s="133">
        <v>12584.06</v>
      </c>
      <c r="M79" s="133">
        <v>0</v>
      </c>
      <c r="N79" s="133"/>
      <c r="O79" s="133">
        <v>0</v>
      </c>
      <c r="P79" s="179">
        <f t="shared" si="15"/>
        <v>7320829</v>
      </c>
      <c r="Q79" s="178"/>
      <c r="R79" s="178"/>
      <c r="S79" s="133">
        <v>0</v>
      </c>
      <c r="T79" s="178"/>
      <c r="U79" s="178"/>
      <c r="V79" s="133">
        <v>0</v>
      </c>
      <c r="W79" s="133">
        <v>0</v>
      </c>
      <c r="X79" s="133">
        <v>0</v>
      </c>
      <c r="Y79" s="179">
        <f t="shared" si="13"/>
        <v>0</v>
      </c>
      <c r="Z79" s="133">
        <v>0</v>
      </c>
      <c r="AA79" s="179">
        <f t="shared" si="16"/>
        <v>0</v>
      </c>
      <c r="AB79" s="133">
        <v>0</v>
      </c>
      <c r="AC79" s="179">
        <f t="shared" si="17"/>
        <v>12248884</v>
      </c>
      <c r="AD79" s="180" t="e">
        <f>+#REF!+Y79</f>
        <v>#REF!</v>
      </c>
    </row>
    <row r="80" spans="1:35" hidden="1" x14ac:dyDescent="0.25">
      <c r="A80" s="1" t="s">
        <v>38</v>
      </c>
      <c r="B80" s="178"/>
      <c r="C80" s="133">
        <v>15978156</v>
      </c>
      <c r="D80" s="133"/>
      <c r="E80" s="178"/>
      <c r="F80" s="133"/>
      <c r="G80" s="133">
        <v>5489141</v>
      </c>
      <c r="H80" s="133">
        <v>348276</v>
      </c>
      <c r="I80" s="179">
        <f t="shared" si="14"/>
        <v>5837417</v>
      </c>
      <c r="J80" s="133"/>
      <c r="K80" s="133">
        <v>12321631</v>
      </c>
      <c r="L80" s="133">
        <v>51888</v>
      </c>
      <c r="M80" s="133">
        <v>0</v>
      </c>
      <c r="N80" s="133"/>
      <c r="O80" s="133">
        <v>0</v>
      </c>
      <c r="P80" s="179">
        <f t="shared" si="15"/>
        <v>18159048</v>
      </c>
      <c r="Q80" s="178"/>
      <c r="R80" s="178"/>
      <c r="S80" s="133">
        <v>0</v>
      </c>
      <c r="T80" s="178"/>
      <c r="U80" s="178"/>
      <c r="V80" s="133">
        <v>13283160</v>
      </c>
      <c r="W80" s="133">
        <v>56989</v>
      </c>
      <c r="X80" s="133">
        <v>0</v>
      </c>
      <c r="Y80" s="179">
        <f t="shared" si="13"/>
        <v>56989</v>
      </c>
      <c r="Z80" s="133">
        <v>0</v>
      </c>
      <c r="AA80" s="179">
        <f t="shared" si="16"/>
        <v>13283160</v>
      </c>
      <c r="AB80" s="133">
        <v>0</v>
      </c>
      <c r="AC80" s="179">
        <f t="shared" si="17"/>
        <v>47420364</v>
      </c>
      <c r="AD80" s="180" t="e">
        <f>+#REF!+Y80</f>
        <v>#REF!</v>
      </c>
    </row>
    <row r="81" spans="1:34" hidden="1" x14ac:dyDescent="0.25">
      <c r="A81" s="1" t="s">
        <v>39</v>
      </c>
      <c r="B81" s="178"/>
      <c r="C81" s="133">
        <v>30394368</v>
      </c>
      <c r="D81" s="133"/>
      <c r="E81" s="178"/>
      <c r="F81" s="133"/>
      <c r="G81" s="133">
        <v>12001254</v>
      </c>
      <c r="H81" s="133">
        <v>487035</v>
      </c>
      <c r="I81" s="179">
        <f t="shared" si="14"/>
        <v>12488289</v>
      </c>
      <c r="J81" s="133"/>
      <c r="K81" s="133">
        <v>18033223</v>
      </c>
      <c r="L81" s="133">
        <v>58897.5</v>
      </c>
      <c r="M81" s="133">
        <v>0</v>
      </c>
      <c r="N81" s="133"/>
      <c r="O81" s="133">
        <v>0</v>
      </c>
      <c r="P81" s="179">
        <f t="shared" si="15"/>
        <v>30521512</v>
      </c>
      <c r="Q81" s="178"/>
      <c r="R81" s="178"/>
      <c r="S81" s="133">
        <v>0</v>
      </c>
      <c r="T81" s="178"/>
      <c r="U81" s="178"/>
      <c r="V81" s="133">
        <v>0</v>
      </c>
      <c r="W81" s="133">
        <v>0</v>
      </c>
      <c r="X81" s="133">
        <v>0</v>
      </c>
      <c r="Y81" s="179">
        <f t="shared" si="13"/>
        <v>0</v>
      </c>
      <c r="Z81" s="133">
        <v>0</v>
      </c>
      <c r="AA81" s="179">
        <f t="shared" si="16"/>
        <v>0</v>
      </c>
      <c r="AB81" s="133">
        <v>0</v>
      </c>
      <c r="AC81" s="179">
        <f t="shared" si="17"/>
        <v>60915880</v>
      </c>
      <c r="AD81" s="180" t="e">
        <f>+#REF!+Y81</f>
        <v>#REF!</v>
      </c>
    </row>
    <row r="82" spans="1:34" hidden="1" x14ac:dyDescent="0.25">
      <c r="A82" s="1" t="s">
        <v>40</v>
      </c>
      <c r="B82" s="178"/>
      <c r="C82" s="133">
        <v>20767905</v>
      </c>
      <c r="D82" s="133"/>
      <c r="E82" s="178"/>
      <c r="F82" s="133"/>
      <c r="G82" s="133">
        <v>5787467</v>
      </c>
      <c r="H82" s="133">
        <v>37400</v>
      </c>
      <c r="I82" s="179">
        <f t="shared" si="14"/>
        <v>5824867</v>
      </c>
      <c r="J82" s="133"/>
      <c r="K82" s="133">
        <v>17459420</v>
      </c>
      <c r="L82" s="133">
        <v>51590.400000000001</v>
      </c>
      <c r="M82" s="133">
        <v>0</v>
      </c>
      <c r="N82" s="133"/>
      <c r="O82" s="133">
        <v>0</v>
      </c>
      <c r="P82" s="179">
        <f t="shared" si="15"/>
        <v>23284287</v>
      </c>
      <c r="Q82" s="178"/>
      <c r="R82" s="178"/>
      <c r="S82" s="133">
        <v>0</v>
      </c>
      <c r="T82" s="178"/>
      <c r="U82" s="178"/>
      <c r="V82" s="133">
        <v>0</v>
      </c>
      <c r="W82" s="133">
        <v>0</v>
      </c>
      <c r="X82" s="133">
        <v>0</v>
      </c>
      <c r="Y82" s="179">
        <f t="shared" si="13"/>
        <v>0</v>
      </c>
      <c r="Z82" s="133">
        <v>0</v>
      </c>
      <c r="AA82" s="179">
        <f t="shared" si="16"/>
        <v>0</v>
      </c>
      <c r="AB82" s="133">
        <v>0</v>
      </c>
      <c r="AC82" s="179">
        <f t="shared" si="17"/>
        <v>44052192</v>
      </c>
      <c r="AD82" s="180" t="e">
        <f>+#REF!+Y82</f>
        <v>#REF!</v>
      </c>
    </row>
    <row r="83" spans="1:34" hidden="1" x14ac:dyDescent="0.25">
      <c r="A83" s="1" t="s">
        <v>41</v>
      </c>
      <c r="B83" s="178"/>
      <c r="C83" s="133">
        <v>9862631</v>
      </c>
      <c r="D83" s="133"/>
      <c r="E83" s="178"/>
      <c r="F83" s="133"/>
      <c r="G83" s="133">
        <v>2405120</v>
      </c>
      <c r="H83" s="133">
        <v>91938</v>
      </c>
      <c r="I83" s="179">
        <f t="shared" si="14"/>
        <v>2497058</v>
      </c>
      <c r="J83" s="133"/>
      <c r="K83" s="133">
        <v>6848575</v>
      </c>
      <c r="L83" s="133">
        <v>18997.327999999998</v>
      </c>
      <c r="M83" s="133">
        <v>0</v>
      </c>
      <c r="N83" s="133"/>
      <c r="O83" s="133">
        <v>0</v>
      </c>
      <c r="P83" s="179">
        <f t="shared" si="15"/>
        <v>9345633</v>
      </c>
      <c r="Q83" s="178"/>
      <c r="R83" s="178"/>
      <c r="S83" s="133">
        <v>0</v>
      </c>
      <c r="T83" s="178"/>
      <c r="U83" s="178"/>
      <c r="V83" s="133">
        <v>8391724</v>
      </c>
      <c r="W83" s="133">
        <v>18291.88</v>
      </c>
      <c r="X83" s="133">
        <v>0</v>
      </c>
      <c r="Y83" s="179">
        <f t="shared" si="13"/>
        <v>18291.88</v>
      </c>
      <c r="Z83" s="133">
        <v>0</v>
      </c>
      <c r="AA83" s="179">
        <f t="shared" si="16"/>
        <v>8391724</v>
      </c>
      <c r="AB83" s="133">
        <v>0</v>
      </c>
      <c r="AC83" s="179">
        <f t="shared" si="17"/>
        <v>27599988</v>
      </c>
      <c r="AD83" s="180" t="e">
        <f>+#REF!+Y83</f>
        <v>#REF!</v>
      </c>
    </row>
    <row r="84" spans="1:34" hidden="1" x14ac:dyDescent="0.25">
      <c r="A84" s="1" t="s">
        <v>42</v>
      </c>
      <c r="B84" s="178"/>
      <c r="C84" s="133">
        <v>3921505</v>
      </c>
      <c r="D84" s="133"/>
      <c r="E84" s="178"/>
      <c r="F84" s="133"/>
      <c r="G84" s="133">
        <v>1966719</v>
      </c>
      <c r="H84" s="133">
        <v>147888</v>
      </c>
      <c r="I84" s="179">
        <f t="shared" si="14"/>
        <v>2114607</v>
      </c>
      <c r="J84" s="133"/>
      <c r="K84" s="133">
        <v>0</v>
      </c>
      <c r="L84" s="133">
        <v>0</v>
      </c>
      <c r="M84" s="133">
        <v>0</v>
      </c>
      <c r="N84" s="133"/>
      <c r="O84" s="133">
        <v>0</v>
      </c>
      <c r="P84" s="179">
        <f t="shared" si="15"/>
        <v>2114607</v>
      </c>
      <c r="Q84" s="178"/>
      <c r="R84" s="178"/>
      <c r="S84" s="133">
        <v>0</v>
      </c>
      <c r="T84" s="178"/>
      <c r="U84" s="178"/>
      <c r="V84" s="133">
        <v>6960000</v>
      </c>
      <c r="W84" s="133">
        <v>25846</v>
      </c>
      <c r="X84" s="133">
        <v>0</v>
      </c>
      <c r="Y84" s="179">
        <f t="shared" si="13"/>
        <v>25846</v>
      </c>
      <c r="Z84" s="133">
        <v>0</v>
      </c>
      <c r="AA84" s="179">
        <f t="shared" si="16"/>
        <v>6960000</v>
      </c>
      <c r="AB84" s="133">
        <v>0</v>
      </c>
      <c r="AC84" s="179">
        <f t="shared" si="17"/>
        <v>12996112</v>
      </c>
      <c r="AD84" s="180" t="e">
        <f>+#REF!+Y84</f>
        <v>#REF!</v>
      </c>
    </row>
    <row r="85" spans="1:34" hidden="1" x14ac:dyDescent="0.25">
      <c r="A85" s="1" t="s">
        <v>172</v>
      </c>
      <c r="B85" s="178"/>
      <c r="C85" s="133">
        <v>22900914</v>
      </c>
      <c r="D85" s="133"/>
      <c r="E85" s="178"/>
      <c r="F85" s="133"/>
      <c r="G85" s="133">
        <v>7634230</v>
      </c>
      <c r="H85" s="133">
        <v>40633</v>
      </c>
      <c r="I85" s="179">
        <f t="shared" si="14"/>
        <v>7674863</v>
      </c>
      <c r="J85" s="133"/>
      <c r="K85" s="133">
        <v>36188354</v>
      </c>
      <c r="L85" s="133">
        <v>101941.35800000001</v>
      </c>
      <c r="M85" s="133">
        <v>0</v>
      </c>
      <c r="N85" s="133"/>
      <c r="O85" s="133">
        <v>0</v>
      </c>
      <c r="P85" s="179">
        <f t="shared" si="15"/>
        <v>43863217</v>
      </c>
      <c r="Q85" s="178"/>
      <c r="R85" s="178"/>
      <c r="S85" s="133">
        <v>0</v>
      </c>
      <c r="T85" s="178"/>
      <c r="U85" s="178"/>
      <c r="V85" s="133">
        <v>9444800</v>
      </c>
      <c r="W85" s="133">
        <v>46070</v>
      </c>
      <c r="X85" s="133">
        <v>0</v>
      </c>
      <c r="Y85" s="179">
        <f t="shared" si="13"/>
        <v>46070</v>
      </c>
      <c r="Z85" s="133">
        <v>0</v>
      </c>
      <c r="AA85" s="179">
        <f t="shared" si="16"/>
        <v>9444800</v>
      </c>
      <c r="AB85" s="133">
        <v>0</v>
      </c>
      <c r="AC85" s="179">
        <f t="shared" si="17"/>
        <v>76208931</v>
      </c>
      <c r="AD85" s="180" t="e">
        <f>+#REF!+Y85</f>
        <v>#REF!</v>
      </c>
    </row>
    <row r="86" spans="1:34" hidden="1" x14ac:dyDescent="0.25">
      <c r="A86" s="1" t="s">
        <v>44</v>
      </c>
      <c r="B86" s="178"/>
      <c r="C86" s="133">
        <v>25023368</v>
      </c>
      <c r="D86" s="133"/>
      <c r="E86" s="178"/>
      <c r="F86" s="133"/>
      <c r="G86" s="133">
        <v>4161015</v>
      </c>
      <c r="H86" s="133">
        <v>135290</v>
      </c>
      <c r="I86" s="179">
        <f t="shared" si="14"/>
        <v>4296305</v>
      </c>
      <c r="J86" s="133"/>
      <c r="K86" s="133">
        <v>23680644</v>
      </c>
      <c r="L86" s="133">
        <v>84646</v>
      </c>
      <c r="M86" s="133">
        <v>0</v>
      </c>
      <c r="N86" s="133"/>
      <c r="O86" s="133">
        <v>0</v>
      </c>
      <c r="P86" s="179">
        <f t="shared" si="15"/>
        <v>27976949</v>
      </c>
      <c r="Q86" s="178"/>
      <c r="R86" s="178"/>
      <c r="S86" s="133">
        <v>0</v>
      </c>
      <c r="T86" s="178"/>
      <c r="U86" s="178"/>
      <c r="V86" s="133">
        <v>0</v>
      </c>
      <c r="W86" s="133">
        <v>0</v>
      </c>
      <c r="X86" s="133">
        <v>0</v>
      </c>
      <c r="Y86" s="179">
        <f t="shared" si="13"/>
        <v>0</v>
      </c>
      <c r="Z86" s="133">
        <v>0</v>
      </c>
      <c r="AA86" s="179">
        <f t="shared" si="16"/>
        <v>0</v>
      </c>
      <c r="AB86" s="133">
        <v>0</v>
      </c>
      <c r="AC86" s="179">
        <f t="shared" si="17"/>
        <v>53000317</v>
      </c>
      <c r="AD86" s="180" t="e">
        <f>+#REF!+Y86</f>
        <v>#REF!</v>
      </c>
      <c r="AE86" s="31"/>
    </row>
    <row r="87" spans="1:34" hidden="1" x14ac:dyDescent="0.25">
      <c r="A87" s="1" t="s">
        <v>45</v>
      </c>
      <c r="B87" s="191"/>
      <c r="C87" s="133">
        <v>215029974</v>
      </c>
      <c r="D87" s="133"/>
      <c r="E87" s="178"/>
      <c r="F87" s="133"/>
      <c r="G87" s="133">
        <v>65699550</v>
      </c>
      <c r="H87" s="133">
        <v>1788561</v>
      </c>
      <c r="I87" s="179">
        <f t="shared" si="14"/>
        <v>67488111</v>
      </c>
      <c r="J87" s="133"/>
      <c r="K87" s="133">
        <v>65055605</v>
      </c>
      <c r="L87" s="133">
        <v>316547.62800000003</v>
      </c>
      <c r="M87" s="133">
        <v>0</v>
      </c>
      <c r="N87" s="133"/>
      <c r="O87" s="133">
        <v>0</v>
      </c>
      <c r="P87" s="179">
        <f t="shared" si="15"/>
        <v>132543716</v>
      </c>
      <c r="Q87" s="178"/>
      <c r="R87" s="178"/>
      <c r="S87" s="133">
        <v>6346397</v>
      </c>
      <c r="T87" s="178"/>
      <c r="U87" s="178"/>
      <c r="V87" s="133">
        <v>90599394</v>
      </c>
      <c r="W87" s="133">
        <v>150525</v>
      </c>
      <c r="X87" s="133">
        <v>0</v>
      </c>
      <c r="Y87" s="179">
        <f t="shared" si="13"/>
        <v>150525</v>
      </c>
      <c r="Z87" s="133">
        <v>0</v>
      </c>
      <c r="AA87" s="179">
        <f t="shared" si="16"/>
        <v>96945791</v>
      </c>
      <c r="AB87" s="133">
        <v>0</v>
      </c>
      <c r="AC87" s="179">
        <f t="shared" si="17"/>
        <v>444519481</v>
      </c>
      <c r="AD87" s="180" t="e">
        <f>+#REF!+Y87</f>
        <v>#REF!</v>
      </c>
    </row>
    <row r="88" spans="1:34" hidden="1" x14ac:dyDescent="0.25">
      <c r="A88" s="1" t="s">
        <v>46</v>
      </c>
      <c r="B88" s="178"/>
      <c r="C88" s="133">
        <v>60071815</v>
      </c>
      <c r="D88" s="133"/>
      <c r="E88" s="178"/>
      <c r="F88" s="133"/>
      <c r="G88" s="133">
        <v>5123367</v>
      </c>
      <c r="H88" s="133">
        <v>0</v>
      </c>
      <c r="I88" s="179">
        <f t="shared" si="14"/>
        <v>5123367</v>
      </c>
      <c r="J88" s="133"/>
      <c r="K88" s="133">
        <v>0</v>
      </c>
      <c r="L88" s="133">
        <v>0</v>
      </c>
      <c r="M88" s="133">
        <v>0</v>
      </c>
      <c r="N88" s="133"/>
      <c r="O88" s="133">
        <v>0</v>
      </c>
      <c r="P88" s="179">
        <f t="shared" si="15"/>
        <v>5123367</v>
      </c>
      <c r="Q88" s="178"/>
      <c r="R88" s="178"/>
      <c r="S88" s="133">
        <v>3626379</v>
      </c>
      <c r="T88" s="178"/>
      <c r="U88" s="178"/>
      <c r="V88" s="133">
        <v>0</v>
      </c>
      <c r="W88" s="133">
        <v>0</v>
      </c>
      <c r="X88" s="133">
        <v>0</v>
      </c>
      <c r="Y88" s="179">
        <f t="shared" si="13"/>
        <v>0</v>
      </c>
      <c r="Z88" s="133">
        <v>0</v>
      </c>
      <c r="AA88" s="179">
        <f t="shared" si="16"/>
        <v>3626379</v>
      </c>
      <c r="AB88" s="133">
        <v>0</v>
      </c>
      <c r="AC88" s="179">
        <f t="shared" si="17"/>
        <v>68821561</v>
      </c>
      <c r="AD88" s="180" t="e">
        <f>+#REF!+Y88</f>
        <v>#REF!</v>
      </c>
    </row>
    <row r="89" spans="1:34" hidden="1" x14ac:dyDescent="0.25">
      <c r="A89" s="132" t="s">
        <v>145</v>
      </c>
      <c r="B89" s="192"/>
      <c r="C89" s="193">
        <f>SUM(C72:C88)</f>
        <v>2021847581.6100001</v>
      </c>
      <c r="D89" s="193"/>
      <c r="E89" s="192"/>
      <c r="F89" s="193"/>
      <c r="G89" s="193">
        <f>SUM(G72:G88)</f>
        <v>320215448.83045256</v>
      </c>
      <c r="H89" s="193">
        <f>SUM(H72:H88)</f>
        <v>17089755.149999999</v>
      </c>
      <c r="I89" s="193">
        <f>G89+H89</f>
        <v>337305203.98045254</v>
      </c>
      <c r="J89" s="193"/>
      <c r="K89" s="193">
        <f>SUM(K72:K88)</f>
        <v>1691233982.5810947</v>
      </c>
      <c r="L89" s="193">
        <f>SUM(L72:L88)</f>
        <v>4836803.5036409758</v>
      </c>
      <c r="M89" s="193">
        <f>SUM(M72:M88)</f>
        <v>2337906</v>
      </c>
      <c r="N89" s="193"/>
      <c r="O89" s="193">
        <f>SUM(O72:O88)</f>
        <v>2337906</v>
      </c>
      <c r="P89" s="193">
        <f>SUM(P72:P88)</f>
        <v>2028539186.5615473</v>
      </c>
      <c r="Q89" s="193"/>
      <c r="R89" s="193"/>
      <c r="S89" s="193">
        <f>SUM(S72:S88)</f>
        <v>9972776</v>
      </c>
      <c r="T89" s="193"/>
      <c r="U89" s="193"/>
      <c r="V89" s="193">
        <f>SUM(V72:V88)</f>
        <v>747935219</v>
      </c>
      <c r="W89" s="193">
        <f>SUM(W72:W88)</f>
        <v>1416502.88</v>
      </c>
      <c r="X89" s="193">
        <f>SUM(X72:X88)</f>
        <v>1226813</v>
      </c>
      <c r="Y89" s="193">
        <f>SUM(Y72:Y72)</f>
        <v>0</v>
      </c>
      <c r="Z89" s="193">
        <f>SUM(Z72:Z88)</f>
        <v>0</v>
      </c>
      <c r="AA89" s="193">
        <f>SUM(AA72:AA88)</f>
        <v>757907995</v>
      </c>
      <c r="AB89" s="193">
        <f>SUM(AB72:AB88)</f>
        <v>28000</v>
      </c>
      <c r="AC89" s="193">
        <f>SUM(AC72:AC88)</f>
        <v>4808322763.1715469</v>
      </c>
      <c r="AD89" s="194" t="e">
        <f>SUM(AD72:AD88)</f>
        <v>#REF!</v>
      </c>
    </row>
    <row r="90" spans="1:34" hidden="1" x14ac:dyDescent="0.25">
      <c r="A90" s="132"/>
      <c r="B90" s="178"/>
      <c r="C90" s="133"/>
      <c r="D90" s="178"/>
      <c r="E90" s="178"/>
      <c r="F90" s="178"/>
      <c r="G90" s="178"/>
      <c r="H90" s="133"/>
      <c r="I90" s="133"/>
      <c r="J90" s="178"/>
      <c r="K90" s="178"/>
      <c r="L90" s="178"/>
      <c r="M90" s="178"/>
      <c r="N90" s="178"/>
      <c r="O90" s="178"/>
      <c r="P90" s="178"/>
      <c r="Q90" s="178"/>
      <c r="R90" s="178"/>
      <c r="S90" s="178"/>
      <c r="T90" s="178"/>
      <c r="U90" s="178"/>
      <c r="V90" s="178"/>
      <c r="W90" s="178"/>
      <c r="X90" s="178"/>
      <c r="Y90" s="178"/>
      <c r="Z90" s="178"/>
      <c r="AA90" s="178"/>
      <c r="AB90" s="178"/>
      <c r="AC90" s="133"/>
      <c r="AD90" s="191"/>
    </row>
    <row r="91" spans="1:34" hidden="1" x14ac:dyDescent="0.25">
      <c r="A91" s="132" t="s">
        <v>147</v>
      </c>
      <c r="B91" s="178"/>
      <c r="C91" s="133">
        <f>C69+C89</f>
        <v>2021847581.6100001</v>
      </c>
      <c r="D91" s="133"/>
      <c r="E91" s="133"/>
      <c r="F91" s="133"/>
      <c r="G91" s="133">
        <f>G69+G89</f>
        <v>320215448.83045256</v>
      </c>
      <c r="H91" s="133">
        <f>H69+H89</f>
        <v>17089755.149999999</v>
      </c>
      <c r="I91" s="133">
        <f>I69+I89</f>
        <v>337305203.98045254</v>
      </c>
      <c r="J91" s="133"/>
      <c r="K91" s="133">
        <f>K69+K89</f>
        <v>1691233982.5810947</v>
      </c>
      <c r="L91" s="133">
        <f>L69+L89</f>
        <v>4836803.5036409758</v>
      </c>
      <c r="M91" s="133">
        <f>M69+M89</f>
        <v>2337906</v>
      </c>
      <c r="N91" s="133"/>
      <c r="O91" s="133">
        <f>O69+O89</f>
        <v>2337906</v>
      </c>
      <c r="P91" s="133">
        <f>P69+P89</f>
        <v>2028539186.5615473</v>
      </c>
      <c r="Q91" s="133"/>
      <c r="R91" s="133"/>
      <c r="S91" s="133">
        <f>S69+S89</f>
        <v>9972776</v>
      </c>
      <c r="T91" s="133"/>
      <c r="U91" s="133"/>
      <c r="V91" s="133">
        <f t="shared" ref="V91:AD91" si="18">V69+V89</f>
        <v>1151627219</v>
      </c>
      <c r="W91" s="133">
        <f t="shared" si="18"/>
        <v>2046520.88</v>
      </c>
      <c r="X91" s="133">
        <f t="shared" si="18"/>
        <v>1838168</v>
      </c>
      <c r="Y91" s="133">
        <f t="shared" si="18"/>
        <v>1241373</v>
      </c>
      <c r="Z91" s="133">
        <f t="shared" si="18"/>
        <v>0</v>
      </c>
      <c r="AA91" s="133">
        <f t="shared" si="18"/>
        <v>1161599995</v>
      </c>
      <c r="AB91" s="133">
        <f t="shared" si="18"/>
        <v>28000</v>
      </c>
      <c r="AC91" s="133">
        <f t="shared" si="18"/>
        <v>5212014763.1715469</v>
      </c>
      <c r="AD91" s="148" t="e">
        <f t="shared" si="18"/>
        <v>#REF!</v>
      </c>
    </row>
    <row r="92" spans="1:34" hidden="1" x14ac:dyDescent="0.25">
      <c r="A92" s="30"/>
      <c r="B92" s="178"/>
      <c r="C92" s="133"/>
      <c r="D92" s="195"/>
      <c r="E92" s="133"/>
      <c r="F92" s="133"/>
      <c r="G92" s="133"/>
      <c r="H92" s="133"/>
      <c r="I92" s="133"/>
      <c r="J92" s="133"/>
      <c r="K92" s="133"/>
      <c r="L92" s="133"/>
      <c r="M92" s="133"/>
      <c r="N92" s="133"/>
      <c r="O92" s="133"/>
      <c r="P92" s="133"/>
      <c r="Q92" s="133"/>
      <c r="R92" s="133"/>
      <c r="S92" s="133"/>
      <c r="T92" s="133"/>
      <c r="U92" s="133"/>
      <c r="V92" s="133"/>
      <c r="W92" s="133"/>
      <c r="X92" s="133"/>
      <c r="Y92" s="133"/>
      <c r="Z92" s="133"/>
      <c r="AA92" s="133"/>
      <c r="AB92" s="133"/>
      <c r="AC92" s="133"/>
      <c r="AD92" s="148"/>
    </row>
    <row r="93" spans="1:34" x14ac:dyDescent="0.25">
      <c r="A93" s="30" t="s">
        <v>50</v>
      </c>
      <c r="B93" s="133"/>
      <c r="C93" s="133">
        <f>C73</f>
        <v>90180848.610000014</v>
      </c>
      <c r="D93" s="133"/>
      <c r="E93" s="133"/>
      <c r="F93" s="133"/>
      <c r="G93" s="133">
        <f>G73</f>
        <v>15779816</v>
      </c>
      <c r="H93" s="133">
        <f>H73</f>
        <v>2121657</v>
      </c>
      <c r="I93" s="133">
        <f>I73</f>
        <v>17901473</v>
      </c>
      <c r="J93" s="133"/>
      <c r="K93" s="133">
        <f t="shared" ref="K93:P93" si="19">K73</f>
        <v>170682292.36000001</v>
      </c>
      <c r="L93" s="133">
        <f t="shared" si="19"/>
        <v>0</v>
      </c>
      <c r="M93" s="133">
        <f t="shared" si="19"/>
        <v>0</v>
      </c>
      <c r="N93" s="133">
        <f t="shared" si="19"/>
        <v>445226.64</v>
      </c>
      <c r="O93" s="133">
        <f t="shared" si="19"/>
        <v>0</v>
      </c>
      <c r="P93" s="133">
        <f t="shared" si="19"/>
        <v>188583765.36000001</v>
      </c>
      <c r="Q93" s="133"/>
      <c r="R93" s="133"/>
      <c r="S93" s="133">
        <f>S73</f>
        <v>0</v>
      </c>
      <c r="T93" s="133"/>
      <c r="U93" s="133"/>
      <c r="V93" s="133">
        <f t="shared" ref="V93:AD93" si="20">V73</f>
        <v>44247326</v>
      </c>
      <c r="W93" s="133">
        <f t="shared" si="20"/>
        <v>0</v>
      </c>
      <c r="X93" s="133">
        <f t="shared" si="20"/>
        <v>0</v>
      </c>
      <c r="Y93" s="133">
        <f t="shared" si="20"/>
        <v>80805.86</v>
      </c>
      <c r="Z93" s="133">
        <f t="shared" si="20"/>
        <v>0</v>
      </c>
      <c r="AA93" s="133">
        <f t="shared" si="20"/>
        <v>44247326</v>
      </c>
      <c r="AB93" s="133">
        <f t="shared" si="20"/>
        <v>0</v>
      </c>
      <c r="AC93" s="133">
        <f t="shared" si="20"/>
        <v>323011939.97000003</v>
      </c>
      <c r="AD93" s="148">
        <f t="shared" si="20"/>
        <v>526032.5</v>
      </c>
    </row>
    <row r="94" spans="1:34" hidden="1" x14ac:dyDescent="0.25">
      <c r="A94" s="30" t="s">
        <v>155</v>
      </c>
      <c r="B94" s="178"/>
      <c r="C94" s="133">
        <f>C89-C93</f>
        <v>1931666733</v>
      </c>
      <c r="D94" s="133"/>
      <c r="E94" s="133"/>
      <c r="F94" s="133"/>
      <c r="G94" s="133">
        <f t="shared" ref="G94:AD94" si="21">G89-G93</f>
        <v>304435632.83045256</v>
      </c>
      <c r="H94" s="133">
        <f t="shared" si="21"/>
        <v>14968098.149999999</v>
      </c>
      <c r="I94" s="133">
        <f t="shared" si="21"/>
        <v>319403730.98045254</v>
      </c>
      <c r="J94" s="133"/>
      <c r="K94" s="133">
        <f t="shared" si="21"/>
        <v>1520551690.2210946</v>
      </c>
      <c r="L94" s="133">
        <f t="shared" si="21"/>
        <v>4836803.5036409758</v>
      </c>
      <c r="M94" s="133">
        <f t="shared" si="21"/>
        <v>2337906</v>
      </c>
      <c r="N94" s="133" t="e">
        <f>#REF!-N93</f>
        <v>#REF!</v>
      </c>
      <c r="O94" s="133"/>
      <c r="P94" s="133">
        <f t="shared" si="21"/>
        <v>1839955421.2015471</v>
      </c>
      <c r="Q94" s="133"/>
      <c r="R94" s="133"/>
      <c r="S94" s="133">
        <f t="shared" si="21"/>
        <v>9972776</v>
      </c>
      <c r="T94" s="133"/>
      <c r="U94" s="133"/>
      <c r="V94" s="133">
        <f>V89-V93</f>
        <v>703687893</v>
      </c>
      <c r="W94" s="133">
        <f t="shared" si="21"/>
        <v>1416502.88</v>
      </c>
      <c r="X94" s="133">
        <f t="shared" si="21"/>
        <v>1226813</v>
      </c>
      <c r="Y94" s="133">
        <f>Y89-Y93</f>
        <v>-80805.86</v>
      </c>
      <c r="Z94" s="133"/>
      <c r="AA94" s="133">
        <f>AA89-AA93</f>
        <v>713660669</v>
      </c>
      <c r="AB94" s="133">
        <f t="shared" si="21"/>
        <v>28000</v>
      </c>
      <c r="AC94" s="133">
        <f t="shared" si="21"/>
        <v>4485310823.2015467</v>
      </c>
      <c r="AD94" s="148" t="e">
        <f t="shared" si="21"/>
        <v>#REF!</v>
      </c>
      <c r="AG94" s="258">
        <f>+AA94+AG75-AA75</f>
        <v>905418854</v>
      </c>
      <c r="AH94" s="1" t="s">
        <v>296</v>
      </c>
    </row>
    <row r="95" spans="1:34" hidden="1" x14ac:dyDescent="0.25">
      <c r="A95" s="30"/>
      <c r="B95" s="178"/>
      <c r="C95" s="133"/>
      <c r="D95" s="133"/>
      <c r="E95" s="133"/>
      <c r="F95" s="133"/>
      <c r="G95" s="133"/>
      <c r="H95" s="133"/>
      <c r="I95" s="133"/>
      <c r="J95" s="133"/>
      <c r="K95" s="133"/>
      <c r="L95" s="133"/>
      <c r="M95" s="133"/>
      <c r="N95" s="133"/>
      <c r="O95" s="133"/>
      <c r="P95" s="133"/>
      <c r="Q95" s="133"/>
      <c r="R95" s="133"/>
      <c r="S95" s="133"/>
      <c r="T95" s="133"/>
      <c r="U95" s="133"/>
      <c r="V95" s="133"/>
      <c r="W95" s="133"/>
      <c r="X95" s="133"/>
      <c r="Y95" s="133"/>
      <c r="Z95" s="133"/>
      <c r="AA95" s="133"/>
      <c r="AB95" s="133"/>
      <c r="AC95" s="133"/>
      <c r="AD95" s="148"/>
    </row>
    <row r="96" spans="1:34" hidden="1" x14ac:dyDescent="0.25">
      <c r="B96" s="178"/>
      <c r="C96" s="133"/>
      <c r="D96" s="178"/>
      <c r="E96" s="178"/>
      <c r="F96" s="178"/>
      <c r="G96" s="178"/>
      <c r="H96" s="133"/>
      <c r="I96" s="133"/>
      <c r="J96" s="178"/>
      <c r="K96" s="178"/>
      <c r="L96" s="178"/>
      <c r="M96" s="178"/>
      <c r="N96" s="178"/>
      <c r="O96" s="178"/>
      <c r="P96" s="178"/>
      <c r="Q96" s="178"/>
      <c r="R96" s="178"/>
      <c r="S96" s="178"/>
      <c r="T96" s="178"/>
      <c r="U96" s="178"/>
      <c r="V96" s="178"/>
      <c r="W96" s="178"/>
      <c r="X96" s="178"/>
      <c r="Y96" s="178"/>
      <c r="Z96" s="178"/>
      <c r="AA96" s="178"/>
      <c r="AB96" s="178"/>
      <c r="AC96" s="178"/>
      <c r="AD96" s="191"/>
    </row>
    <row r="97" spans="1:30" hidden="1" x14ac:dyDescent="0.25">
      <c r="A97" s="132"/>
      <c r="B97" s="178"/>
      <c r="C97" s="133"/>
      <c r="D97" s="191"/>
      <c r="E97" s="178"/>
      <c r="F97" s="178"/>
      <c r="G97" s="178"/>
      <c r="H97" s="133"/>
      <c r="I97" s="133"/>
      <c r="J97" s="178"/>
      <c r="K97" s="178"/>
      <c r="L97" s="178"/>
      <c r="M97" s="178"/>
      <c r="N97" s="178"/>
      <c r="O97" s="178"/>
      <c r="P97" s="178"/>
      <c r="Q97" s="178"/>
      <c r="R97" s="178"/>
      <c r="S97" s="178"/>
      <c r="T97" s="178"/>
      <c r="U97" s="178"/>
      <c r="V97" s="178"/>
      <c r="W97" s="178"/>
      <c r="X97" s="178"/>
      <c r="Y97" s="178"/>
      <c r="Z97" s="178"/>
      <c r="AA97" s="178"/>
      <c r="AB97" s="178"/>
      <c r="AC97" s="178"/>
      <c r="AD97" s="191"/>
    </row>
    <row r="98" spans="1:30" s="28" customFormat="1" hidden="1" x14ac:dyDescent="0.25">
      <c r="A98" s="132" t="s">
        <v>148</v>
      </c>
      <c r="B98" s="196"/>
      <c r="C98" s="197"/>
      <c r="D98" s="198"/>
      <c r="E98" s="196"/>
      <c r="F98" s="196"/>
      <c r="G98" s="196" t="s">
        <v>19</v>
      </c>
      <c r="H98" s="155"/>
      <c r="I98" s="155" t="s">
        <v>19</v>
      </c>
      <c r="J98" s="196"/>
      <c r="K98" s="196" t="s">
        <v>19</v>
      </c>
      <c r="L98" s="196" t="s">
        <v>19</v>
      </c>
      <c r="M98" s="196" t="s">
        <v>19</v>
      </c>
      <c r="N98" s="196" t="s">
        <v>19</v>
      </c>
      <c r="O98" s="196"/>
      <c r="P98" s="155">
        <f>AC98-AA98-C98</f>
        <v>0</v>
      </c>
      <c r="Q98" s="196"/>
      <c r="R98" s="196"/>
      <c r="S98" s="196" t="s">
        <v>19</v>
      </c>
      <c r="T98" s="196"/>
      <c r="U98" s="196"/>
      <c r="V98" s="196" t="s">
        <v>19</v>
      </c>
      <c r="W98" s="196" t="s">
        <v>19</v>
      </c>
      <c r="X98" s="196" t="s">
        <v>19</v>
      </c>
      <c r="Y98" s="196" t="s">
        <v>19</v>
      </c>
      <c r="Z98" s="196"/>
      <c r="AA98" s="199"/>
      <c r="AB98" s="196"/>
      <c r="AC98" s="199"/>
      <c r="AD98" s="198" t="s">
        <v>19</v>
      </c>
    </row>
    <row r="99" spans="1:30" hidden="1" x14ac:dyDescent="0.25">
      <c r="A99" s="32"/>
      <c r="B99" s="189"/>
      <c r="C99" s="200"/>
      <c r="D99" s="201"/>
      <c r="E99" s="202"/>
      <c r="F99" s="203"/>
      <c r="G99" s="189"/>
      <c r="H99" s="159"/>
      <c r="I99" s="159"/>
      <c r="J99" s="189"/>
      <c r="K99" s="189"/>
      <c r="L99" s="189"/>
      <c r="M99" s="189"/>
      <c r="N99" s="189"/>
      <c r="O99" s="189"/>
      <c r="P99" s="189"/>
      <c r="Q99" s="189"/>
      <c r="R99" s="189"/>
      <c r="S99" s="189"/>
      <c r="T99" s="189"/>
      <c r="U99" s="189"/>
      <c r="V99" s="189"/>
      <c r="W99" s="189"/>
      <c r="X99" s="189"/>
      <c r="Y99" s="189"/>
      <c r="Z99" s="189"/>
      <c r="AA99" s="189"/>
      <c r="AB99" s="189"/>
      <c r="AC99" s="189"/>
      <c r="AD99" s="204"/>
    </row>
    <row r="100" spans="1:30" s="28" customFormat="1" ht="15.75" hidden="1" thickBot="1" x14ac:dyDescent="0.3">
      <c r="A100" s="205" t="s">
        <v>17</v>
      </c>
      <c r="B100" s="206"/>
      <c r="C100" s="207"/>
      <c r="D100" s="208"/>
      <c r="E100" s="206"/>
      <c r="F100" s="206"/>
      <c r="G100" s="206" t="s">
        <v>19</v>
      </c>
      <c r="H100" s="207">
        <f>H91-H98</f>
        <v>17089755.149999999</v>
      </c>
      <c r="I100" s="164" t="s">
        <v>19</v>
      </c>
      <c r="J100" s="206"/>
      <c r="K100" s="206" t="s">
        <v>19</v>
      </c>
      <c r="L100" s="206" t="s">
        <v>19</v>
      </c>
      <c r="M100" s="206" t="s">
        <v>19</v>
      </c>
      <c r="N100" s="206" t="s">
        <v>19</v>
      </c>
      <c r="O100" s="206"/>
      <c r="P100" s="207">
        <f>P91-P98</f>
        <v>2028539186.5615473</v>
      </c>
      <c r="Q100" s="206"/>
      <c r="R100" s="206"/>
      <c r="S100" s="206" t="s">
        <v>19</v>
      </c>
      <c r="T100" s="206"/>
      <c r="U100" s="206"/>
      <c r="V100" s="206" t="s">
        <v>19</v>
      </c>
      <c r="W100" s="206" t="s">
        <v>19</v>
      </c>
      <c r="X100" s="206" t="s">
        <v>19</v>
      </c>
      <c r="Y100" s="206" t="s">
        <v>19</v>
      </c>
      <c r="Z100" s="206"/>
      <c r="AA100" s="207">
        <f>AA91-AA98</f>
        <v>1161599995</v>
      </c>
      <c r="AB100" s="209">
        <f>AB96-AB98</f>
        <v>0</v>
      </c>
      <c r="AC100" s="207">
        <f>AC91-AC98</f>
        <v>5212014763.1715469</v>
      </c>
      <c r="AD100" s="208" t="s">
        <v>19</v>
      </c>
    </row>
    <row r="101" spans="1:30" ht="15.75" hidden="1" thickTop="1" x14ac:dyDescent="0.25"/>
    <row r="102" spans="1:30" x14ac:dyDescent="0.25">
      <c r="AC102" s="210" t="b">
        <f>AC93='EEC Billing Determinants'!I35</f>
        <v>1</v>
      </c>
      <c r="AD102" s="1" t="b">
        <f>AD93='EEC Billing Determinants'!J35</f>
        <v>1</v>
      </c>
    </row>
    <row r="103" spans="1:30" x14ac:dyDescent="0.25">
      <c r="AC103" s="210"/>
    </row>
    <row r="104" spans="1:30" x14ac:dyDescent="0.25">
      <c r="A104" s="12" t="s">
        <v>284</v>
      </c>
      <c r="B104" s="12"/>
      <c r="C104" s="36"/>
      <c r="AC104" s="210"/>
    </row>
    <row r="105" spans="1:30" x14ac:dyDescent="0.25">
      <c r="A105" s="1" t="s">
        <v>156</v>
      </c>
    </row>
    <row r="107" spans="1:30" x14ac:dyDescent="0.25">
      <c r="A107" s="211" t="s">
        <v>285</v>
      </c>
      <c r="P107" s="35"/>
      <c r="Q107" s="35"/>
      <c r="R107" s="35"/>
      <c r="S107" s="212"/>
      <c r="T107" s="212"/>
      <c r="U107" s="212"/>
    </row>
    <row r="108" spans="1:30" x14ac:dyDescent="0.25">
      <c r="A108" s="42"/>
      <c r="P108" s="35"/>
      <c r="Q108" s="35"/>
      <c r="R108" s="35"/>
      <c r="S108" s="212"/>
      <c r="T108" s="212"/>
      <c r="U108" s="212"/>
    </row>
    <row r="109" spans="1:30" x14ac:dyDescent="0.25">
      <c r="G109" s="31"/>
      <c r="H109" s="31"/>
      <c r="I109" s="31"/>
      <c r="J109" s="31"/>
      <c r="K109" s="31"/>
      <c r="L109" s="31"/>
      <c r="M109" s="31"/>
      <c r="N109" s="31"/>
      <c r="O109" s="31"/>
      <c r="P109" s="31"/>
    </row>
    <row r="110" spans="1:30" x14ac:dyDescent="0.25">
      <c r="A110" s="400"/>
    </row>
  </sheetData>
  <mergeCells count="21">
    <mergeCell ref="A57:AD57"/>
    <mergeCell ref="A9:AD9"/>
    <mergeCell ref="B10:D10"/>
    <mergeCell ref="F10:P10"/>
    <mergeCell ref="R10:AA10"/>
    <mergeCell ref="U11:Z11"/>
    <mergeCell ref="F11:I11"/>
    <mergeCell ref="J11:O11"/>
    <mergeCell ref="R11:T11"/>
    <mergeCell ref="W12:Y12"/>
    <mergeCell ref="L12:N12"/>
    <mergeCell ref="L60:N60"/>
    <mergeCell ref="W60:Y60"/>
    <mergeCell ref="AC60:AD60"/>
    <mergeCell ref="B58:D58"/>
    <mergeCell ref="F58:P58"/>
    <mergeCell ref="G59:I59"/>
    <mergeCell ref="K59:O59"/>
    <mergeCell ref="R59:T59"/>
    <mergeCell ref="U59:Z59"/>
    <mergeCell ref="R58:AA58"/>
  </mergeCells>
  <phoneticPr fontId="0" type="noConversion"/>
  <printOptions horizontalCentered="1" verticalCentered="1"/>
  <pageMargins left="0.25" right="0.25" top="0.75" bottom="0.75" header="0.3" footer="0.3"/>
  <pageSetup paperSize="5" scale="42" orientation="landscape" r:id="rId1"/>
  <headerFooter alignWithMargins="0">
    <oddHeader>&amp;A</oddHeader>
    <oddFooter>&amp;F</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3" tint="-0.249977111117893"/>
  </sheetPr>
  <dimension ref="A1:J34"/>
  <sheetViews>
    <sheetView zoomScale="115" zoomScaleNormal="115" workbookViewId="0">
      <pane xSplit="2" ySplit="5" topLeftCell="C6" activePane="bottomRight" state="frozen"/>
      <selection pane="topRight" activeCell="C1" sqref="C1"/>
      <selection pane="bottomLeft" activeCell="A6" sqref="A6"/>
      <selection pane="bottomRight" activeCell="D25" sqref="D25"/>
    </sheetView>
  </sheetViews>
  <sheetFormatPr defaultColWidth="12.5703125" defaultRowHeight="15" x14ac:dyDescent="0.25"/>
  <cols>
    <col min="1" max="1" width="12.5703125" style="7" customWidth="1"/>
    <col min="2" max="2" width="35" style="7" customWidth="1"/>
    <col min="3" max="5" width="15.140625" style="23" customWidth="1"/>
    <col min="6" max="6" width="3.5703125" style="7" customWidth="1"/>
    <col min="7" max="7" width="14.140625" style="7" customWidth="1"/>
    <col min="8" max="16384" width="12.5703125" style="7"/>
  </cols>
  <sheetData>
    <row r="1" spans="1:9" x14ac:dyDescent="0.25">
      <c r="A1" s="12" t="str">
        <f>+'Util Rev and Load Data'!A1</f>
        <v>BURLINGTON ELECTRIC DEPARTMENT</v>
      </c>
    </row>
    <row r="2" spans="1:9" x14ac:dyDescent="0.25">
      <c r="A2" s="6" t="s">
        <v>218</v>
      </c>
      <c r="C2" s="249"/>
      <c r="D2" s="249"/>
      <c r="G2" s="249"/>
      <c r="I2" s="23"/>
    </row>
    <row r="3" spans="1:9" x14ac:dyDescent="0.25">
      <c r="I3" s="23"/>
    </row>
    <row r="4" spans="1:9" x14ac:dyDescent="0.25">
      <c r="C4" s="23">
        <v>2021</v>
      </c>
      <c r="D4" s="23">
        <v>2021</v>
      </c>
      <c r="E4" s="23">
        <v>2021</v>
      </c>
      <c r="G4" s="23">
        <v>2022</v>
      </c>
    </row>
    <row r="5" spans="1:9" x14ac:dyDescent="0.25">
      <c r="C5" s="23" t="s">
        <v>185</v>
      </c>
      <c r="D5" s="23" t="s">
        <v>177</v>
      </c>
      <c r="E5" s="23" t="s">
        <v>214</v>
      </c>
      <c r="G5" s="23" t="s">
        <v>185</v>
      </c>
      <c r="H5" s="19"/>
    </row>
    <row r="6" spans="1:9" x14ac:dyDescent="0.25">
      <c r="C6" s="23" t="s">
        <v>189</v>
      </c>
      <c r="D6" s="23" t="s">
        <v>190</v>
      </c>
      <c r="E6" s="23" t="s">
        <v>191</v>
      </c>
      <c r="G6" s="23" t="s">
        <v>222</v>
      </c>
      <c r="H6" s="19"/>
    </row>
    <row r="7" spans="1:9" hidden="1" x14ac:dyDescent="0.25">
      <c r="B7" s="7" t="s">
        <v>192</v>
      </c>
      <c r="C7" s="37">
        <v>0</v>
      </c>
      <c r="D7" s="37"/>
      <c r="E7" s="37">
        <f t="shared" ref="E7:E22" si="0">+D7-C7</f>
        <v>0</v>
      </c>
      <c r="G7" s="19">
        <f>+D7</f>
        <v>0</v>
      </c>
      <c r="H7" s="19"/>
    </row>
    <row r="8" spans="1:9" hidden="1" x14ac:dyDescent="0.25">
      <c r="B8" s="7" t="s">
        <v>193</v>
      </c>
      <c r="C8" s="37">
        <v>235.58</v>
      </c>
      <c r="D8" s="37">
        <v>359.38</v>
      </c>
      <c r="E8" s="37">
        <f t="shared" si="0"/>
        <v>123.79999999999998</v>
      </c>
      <c r="G8" s="19">
        <f t="shared" ref="G8:G22" si="1">+D8</f>
        <v>359.38</v>
      </c>
      <c r="H8" s="19"/>
    </row>
    <row r="9" spans="1:9" hidden="1" x14ac:dyDescent="0.25">
      <c r="B9" s="7" t="s">
        <v>33</v>
      </c>
      <c r="C9" s="37">
        <v>160780.12</v>
      </c>
      <c r="D9" s="37">
        <v>12765.65</v>
      </c>
      <c r="E9" s="37">
        <f t="shared" si="0"/>
        <v>-148014.47</v>
      </c>
      <c r="G9" s="19">
        <f t="shared" si="1"/>
        <v>12765.65</v>
      </c>
      <c r="H9" s="19"/>
    </row>
    <row r="10" spans="1:9" hidden="1" x14ac:dyDescent="0.25">
      <c r="B10" s="7" t="s">
        <v>194</v>
      </c>
      <c r="C10" s="37">
        <v>0</v>
      </c>
      <c r="D10" s="37"/>
      <c r="E10" s="37">
        <f t="shared" si="0"/>
        <v>0</v>
      </c>
      <c r="G10" s="19">
        <f t="shared" si="1"/>
        <v>0</v>
      </c>
      <c r="H10" s="19"/>
    </row>
    <row r="11" spans="1:9" hidden="1" x14ac:dyDescent="0.25">
      <c r="B11" s="7" t="s">
        <v>195</v>
      </c>
      <c r="C11" s="37">
        <v>0</v>
      </c>
      <c r="D11" s="37"/>
      <c r="E11" s="37">
        <f t="shared" si="0"/>
        <v>0</v>
      </c>
      <c r="G11" s="19">
        <f t="shared" si="1"/>
        <v>0</v>
      </c>
      <c r="H11" s="19"/>
    </row>
    <row r="12" spans="1:9" hidden="1" x14ac:dyDescent="0.25">
      <c r="B12" s="7" t="s">
        <v>196</v>
      </c>
      <c r="C12" s="37">
        <v>0</v>
      </c>
      <c r="D12" s="37"/>
      <c r="E12" s="37">
        <f t="shared" si="0"/>
        <v>0</v>
      </c>
      <c r="G12" s="19">
        <f t="shared" si="1"/>
        <v>0</v>
      </c>
      <c r="H12" s="19"/>
    </row>
    <row r="13" spans="1:9" hidden="1" x14ac:dyDescent="0.25">
      <c r="B13" s="7" t="s">
        <v>197</v>
      </c>
      <c r="C13" s="37">
        <v>201.17</v>
      </c>
      <c r="D13" s="37">
        <v>211.1</v>
      </c>
      <c r="E13" s="37">
        <f t="shared" si="0"/>
        <v>9.9300000000000068</v>
      </c>
      <c r="G13" s="19">
        <f t="shared" si="1"/>
        <v>211.1</v>
      </c>
      <c r="H13" s="19"/>
    </row>
    <row r="14" spans="1:9" hidden="1" x14ac:dyDescent="0.25">
      <c r="B14" s="7" t="s">
        <v>198</v>
      </c>
      <c r="C14" s="37">
        <v>582.33000000000004</v>
      </c>
      <c r="D14" s="37">
        <v>445.84</v>
      </c>
      <c r="E14" s="37">
        <f t="shared" si="0"/>
        <v>-136.49000000000007</v>
      </c>
      <c r="G14" s="19">
        <f t="shared" si="1"/>
        <v>445.84</v>
      </c>
      <c r="H14" s="19"/>
    </row>
    <row r="15" spans="1:9" hidden="1" x14ac:dyDescent="0.25">
      <c r="B15" s="7" t="s">
        <v>199</v>
      </c>
      <c r="C15" s="37">
        <v>0</v>
      </c>
      <c r="D15" s="37"/>
      <c r="E15" s="37">
        <f t="shared" si="0"/>
        <v>0</v>
      </c>
      <c r="G15" s="19">
        <f t="shared" si="1"/>
        <v>0</v>
      </c>
      <c r="H15" s="19"/>
    </row>
    <row r="16" spans="1:9" hidden="1" x14ac:dyDescent="0.25">
      <c r="B16" s="7" t="s">
        <v>200</v>
      </c>
      <c r="C16" s="37">
        <v>241.85</v>
      </c>
      <c r="D16" s="37">
        <v>739.64</v>
      </c>
      <c r="E16" s="37">
        <f t="shared" si="0"/>
        <v>497.78999999999996</v>
      </c>
      <c r="G16" s="19">
        <f t="shared" si="1"/>
        <v>739.64</v>
      </c>
      <c r="H16" s="19"/>
    </row>
    <row r="17" spans="1:10" hidden="1" x14ac:dyDescent="0.25">
      <c r="B17" s="7" t="s">
        <v>201</v>
      </c>
      <c r="C17" s="37">
        <v>0</v>
      </c>
      <c r="D17" s="37"/>
      <c r="E17" s="37">
        <f t="shared" si="0"/>
        <v>0</v>
      </c>
      <c r="G17" s="19">
        <f t="shared" si="1"/>
        <v>0</v>
      </c>
      <c r="H17" s="19"/>
    </row>
    <row r="18" spans="1:10" hidden="1" x14ac:dyDescent="0.25">
      <c r="B18" s="7" t="s">
        <v>202</v>
      </c>
      <c r="C18" s="37">
        <v>0</v>
      </c>
      <c r="D18" s="37"/>
      <c r="E18" s="37">
        <f t="shared" si="0"/>
        <v>0</v>
      </c>
      <c r="G18" s="19">
        <f t="shared" si="1"/>
        <v>0</v>
      </c>
      <c r="H18" s="19"/>
    </row>
    <row r="19" spans="1:10" hidden="1" x14ac:dyDescent="0.25">
      <c r="B19" s="7" t="s">
        <v>203</v>
      </c>
      <c r="C19" s="37">
        <v>0</v>
      </c>
      <c r="D19" s="37"/>
      <c r="E19" s="37">
        <f t="shared" si="0"/>
        <v>0</v>
      </c>
      <c r="G19" s="19">
        <f t="shared" si="1"/>
        <v>0</v>
      </c>
      <c r="H19" s="19"/>
    </row>
    <row r="20" spans="1:10" hidden="1" x14ac:dyDescent="0.25">
      <c r="B20" s="7" t="s">
        <v>204</v>
      </c>
      <c r="C20" s="37">
        <v>284.52999999999997</v>
      </c>
      <c r="D20" s="37">
        <v>350.78</v>
      </c>
      <c r="E20" s="37">
        <f t="shared" si="0"/>
        <v>66.25</v>
      </c>
      <c r="G20" s="19">
        <f t="shared" si="1"/>
        <v>350.78</v>
      </c>
      <c r="H20" s="19"/>
    </row>
    <row r="21" spans="1:10" hidden="1" x14ac:dyDescent="0.25">
      <c r="B21" s="7" t="s">
        <v>205</v>
      </c>
      <c r="C21" s="37">
        <v>5749</v>
      </c>
      <c r="D21" s="37">
        <v>5419</v>
      </c>
      <c r="E21" s="37">
        <f t="shared" si="0"/>
        <v>-330</v>
      </c>
      <c r="G21" s="19">
        <f t="shared" si="1"/>
        <v>5419</v>
      </c>
      <c r="H21" s="19"/>
    </row>
    <row r="22" spans="1:10" hidden="1" x14ac:dyDescent="0.25">
      <c r="B22" s="10" t="s">
        <v>206</v>
      </c>
      <c r="C22" s="38">
        <v>0</v>
      </c>
      <c r="D22" s="38"/>
      <c r="E22" s="38">
        <f t="shared" si="0"/>
        <v>0</v>
      </c>
      <c r="G22" s="39">
        <f t="shared" si="1"/>
        <v>0</v>
      </c>
      <c r="H22" s="19"/>
    </row>
    <row r="23" spans="1:10" hidden="1" x14ac:dyDescent="0.25">
      <c r="C23" s="37"/>
      <c r="D23" s="37"/>
      <c r="E23" s="37"/>
      <c r="G23" s="19"/>
    </row>
    <row r="24" spans="1:10" hidden="1" x14ac:dyDescent="0.25">
      <c r="B24" s="12" t="s">
        <v>219</v>
      </c>
      <c r="C24" s="40">
        <f>+SUM(C7:C22)</f>
        <v>168074.58</v>
      </c>
      <c r="D24" s="40">
        <f>+SUM(D7:D22)</f>
        <v>20291.39</v>
      </c>
      <c r="E24" s="40">
        <f>+D24-C24</f>
        <v>-147783.19</v>
      </c>
      <c r="G24" s="19">
        <f>SUM(G7:G22)</f>
        <v>20291.39</v>
      </c>
    </row>
    <row r="25" spans="1:10" x14ac:dyDescent="0.25">
      <c r="B25" s="241" t="s">
        <v>207</v>
      </c>
      <c r="C25" s="244">
        <v>15454</v>
      </c>
      <c r="D25" s="244">
        <v>16141</v>
      </c>
      <c r="E25" s="254">
        <f>+D25-C25</f>
        <v>687</v>
      </c>
      <c r="G25" s="51">
        <v>8607.7199999999993</v>
      </c>
      <c r="I25" s="388" t="s">
        <v>401</v>
      </c>
    </row>
    <row r="26" spans="1:10" hidden="1" x14ac:dyDescent="0.25">
      <c r="B26" s="7" t="s">
        <v>187</v>
      </c>
      <c r="C26" s="40">
        <f>+SUM(C24+C25)</f>
        <v>183528.58</v>
      </c>
      <c r="D26" s="40">
        <f>+SUM(D24+D25)</f>
        <v>36432.39</v>
      </c>
      <c r="E26" s="40">
        <f>+SUM(E24+E25)</f>
        <v>-147096.19</v>
      </c>
      <c r="G26" s="40">
        <f>+SUM(G24+G25)</f>
        <v>28899.11</v>
      </c>
    </row>
    <row r="27" spans="1:10" x14ac:dyDescent="0.25">
      <c r="C27" s="40"/>
      <c r="D27" s="40"/>
      <c r="E27" s="40"/>
      <c r="J27" s="19"/>
    </row>
    <row r="28" spans="1:10" x14ac:dyDescent="0.25">
      <c r="C28" s="7"/>
      <c r="D28" s="7"/>
      <c r="E28" s="7"/>
    </row>
    <row r="29" spans="1:10" x14ac:dyDescent="0.25">
      <c r="C29" s="41"/>
      <c r="D29" s="41"/>
      <c r="I29" s="41"/>
    </row>
    <row r="30" spans="1:10" x14ac:dyDescent="0.25">
      <c r="A30" s="7" t="s">
        <v>208</v>
      </c>
      <c r="B30" s="7" t="s">
        <v>224</v>
      </c>
      <c r="I30" s="23"/>
    </row>
    <row r="31" spans="1:10" x14ac:dyDescent="0.25">
      <c r="A31" s="7" t="s">
        <v>210</v>
      </c>
      <c r="B31" s="7" t="s">
        <v>209</v>
      </c>
      <c r="I31" s="23"/>
    </row>
    <row r="32" spans="1:10" x14ac:dyDescent="0.25">
      <c r="A32" s="7" t="s">
        <v>212</v>
      </c>
      <c r="B32" s="7" t="s">
        <v>211</v>
      </c>
      <c r="I32" s="23"/>
    </row>
    <row r="33" spans="1:9" x14ac:dyDescent="0.25">
      <c r="A33" s="7" t="s">
        <v>223</v>
      </c>
      <c r="B33" s="7" t="s">
        <v>213</v>
      </c>
      <c r="I33" s="23"/>
    </row>
    <row r="34" spans="1:9" x14ac:dyDescent="0.25">
      <c r="I34" s="23"/>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R97"/>
  <sheetViews>
    <sheetView topLeftCell="S1" zoomScale="110" zoomScaleNormal="110" workbookViewId="0">
      <selection activeCell="U17" sqref="U17"/>
    </sheetView>
  </sheetViews>
  <sheetFormatPr defaultColWidth="9.140625" defaultRowHeight="15" x14ac:dyDescent="0.25"/>
  <cols>
    <col min="1" max="1" width="9.140625" style="7"/>
    <col min="2" max="2" width="18.5703125" style="7" customWidth="1"/>
    <col min="3" max="3" width="19.140625" style="7" customWidth="1"/>
    <col min="4" max="4" width="19.85546875" style="7" customWidth="1"/>
    <col min="5" max="9" width="19.140625" style="7" customWidth="1"/>
    <col min="10" max="10" width="5.140625" style="7" customWidth="1"/>
    <col min="11" max="11" width="18.140625" style="7" customWidth="1"/>
    <col min="12" max="12" width="11.140625" style="7" bestFit="1" customWidth="1"/>
    <col min="13" max="13" width="12.5703125" style="7" customWidth="1"/>
    <col min="14" max="14" width="11.85546875" style="7" customWidth="1"/>
    <col min="15" max="15" width="9.140625" style="7"/>
    <col min="16" max="16" width="11.5703125" style="7" customWidth="1"/>
    <col min="17" max="17" width="11.7109375" style="7" bestFit="1" customWidth="1"/>
    <col min="18" max="18" width="39" style="7" customWidth="1"/>
    <col min="19" max="19" width="15" style="7" customWidth="1"/>
    <col min="20" max="31" width="12.85546875" style="7" customWidth="1"/>
    <col min="32" max="32" width="14.5703125" style="7" customWidth="1"/>
    <col min="33" max="33" width="9.140625" style="7"/>
    <col min="34" max="34" width="12.85546875" style="7" bestFit="1" customWidth="1"/>
    <col min="35" max="40" width="12.85546875" style="7" customWidth="1"/>
    <col min="41" max="41" width="10.140625" style="7" customWidth="1"/>
    <col min="42" max="42" width="12.5703125" style="7" customWidth="1"/>
    <col min="43" max="43" width="16" style="7" customWidth="1"/>
    <col min="44" max="16384" width="9.140625" style="7"/>
  </cols>
  <sheetData>
    <row r="1" spans="1:44" x14ac:dyDescent="0.25">
      <c r="A1" s="12" t="str">
        <f>+'EEC Uncollectibles'!A1</f>
        <v>BURLINGTON ELECTRIC DEPARTMENT</v>
      </c>
      <c r="L1" s="7" t="s">
        <v>378</v>
      </c>
      <c r="M1" s="377">
        <f>'EEC Billing Determinants'!I18</f>
        <v>17901473</v>
      </c>
      <c r="N1" s="7">
        <f>'EEC Billing Determinants'!L13</f>
        <v>7.0299999999999998E-3</v>
      </c>
      <c r="O1" s="7">
        <f>(M1/M3)*N1</f>
        <v>6.6732867990922573E-4</v>
      </c>
    </row>
    <row r="2" spans="1:44" x14ac:dyDescent="0.25">
      <c r="A2" s="6" t="s">
        <v>282</v>
      </c>
      <c r="L2" s="7" t="s">
        <v>377</v>
      </c>
      <c r="M2" s="377">
        <f>'EEC Billing Determinants'!I26</f>
        <v>170682292.36000001</v>
      </c>
      <c r="N2" s="7">
        <f>'EEC Billing Determinants'!L21</f>
        <v>4.1599999999999996E-3</v>
      </c>
      <c r="O2" s="7">
        <f>(M2/M3)*N2</f>
        <v>3.7651084909783241E-3</v>
      </c>
      <c r="R2" s="1"/>
      <c r="S2" s="1"/>
      <c r="T2" s="1"/>
      <c r="U2" s="1"/>
      <c r="V2" s="1"/>
      <c r="W2" s="1"/>
      <c r="X2" s="1"/>
      <c r="Y2" s="1"/>
      <c r="AA2" s="35"/>
      <c r="AB2" s="35"/>
      <c r="AC2" s="35"/>
      <c r="AD2" s="35"/>
      <c r="AE2" s="35"/>
      <c r="AF2" s="346"/>
      <c r="AG2" s="1"/>
      <c r="AH2" s="1"/>
      <c r="AI2" s="1"/>
      <c r="AJ2" s="1"/>
      <c r="AK2" s="1"/>
      <c r="AL2" s="1"/>
      <c r="AM2" s="1"/>
      <c r="AN2" s="1"/>
    </row>
    <row r="3" spans="1:44" x14ac:dyDescent="0.25">
      <c r="A3" s="6"/>
      <c r="F3" s="369"/>
      <c r="G3" s="369"/>
      <c r="M3" s="377">
        <f>M1+M2</f>
        <v>188583765.36000001</v>
      </c>
      <c r="O3" s="7">
        <f>O1+O2</f>
        <v>4.4324371708875498E-3</v>
      </c>
      <c r="P3" s="1" t="s">
        <v>225</v>
      </c>
      <c r="Q3" s="327" t="s">
        <v>318</v>
      </c>
      <c r="R3" s="242"/>
      <c r="S3" s="1"/>
      <c r="T3" s="286">
        <f>0.525%+0.5%</f>
        <v>1.025E-2</v>
      </c>
      <c r="U3" s="286">
        <f t="shared" ref="U3:AE3" si="0">0.525%+0.5%</f>
        <v>1.025E-2</v>
      </c>
      <c r="V3" s="286">
        <f t="shared" si="0"/>
        <v>1.025E-2</v>
      </c>
      <c r="W3" s="286">
        <f t="shared" si="0"/>
        <v>1.025E-2</v>
      </c>
      <c r="X3" s="286">
        <f t="shared" si="0"/>
        <v>1.025E-2</v>
      </c>
      <c r="Y3" s="286">
        <f t="shared" si="0"/>
        <v>1.025E-2</v>
      </c>
      <c r="Z3" s="286">
        <f t="shared" si="0"/>
        <v>1.025E-2</v>
      </c>
      <c r="AA3" s="286">
        <f t="shared" si="0"/>
        <v>1.025E-2</v>
      </c>
      <c r="AB3" s="286">
        <f t="shared" si="0"/>
        <v>1.025E-2</v>
      </c>
      <c r="AC3" s="286">
        <f t="shared" si="0"/>
        <v>1.025E-2</v>
      </c>
      <c r="AD3" s="286">
        <f t="shared" si="0"/>
        <v>1.025E-2</v>
      </c>
      <c r="AE3" s="286">
        <f t="shared" si="0"/>
        <v>1.025E-2</v>
      </c>
      <c r="AF3" s="1"/>
      <c r="AG3" s="1"/>
      <c r="AH3" s="1"/>
      <c r="AI3" s="1"/>
      <c r="AJ3" s="1"/>
      <c r="AK3" s="1"/>
      <c r="AL3" s="1"/>
      <c r="AM3" s="1"/>
      <c r="AN3" s="1"/>
    </row>
    <row r="4" spans="1:44" x14ac:dyDescent="0.25">
      <c r="B4" s="8">
        <v>2021</v>
      </c>
      <c r="C4" s="9" t="s">
        <v>174</v>
      </c>
      <c r="D4" s="9"/>
      <c r="E4" s="9"/>
      <c r="F4" s="9"/>
      <c r="G4" s="10"/>
      <c r="H4" s="10"/>
      <c r="I4" s="11"/>
      <c r="K4" s="11"/>
      <c r="L4" s="1"/>
      <c r="Q4" s="327" t="s">
        <v>440</v>
      </c>
      <c r="R4" s="242"/>
      <c r="S4" s="1"/>
      <c r="T4" s="269">
        <f t="shared" ref="T4:AA4" si="1">1/1-T3</f>
        <v>0.98975000000000002</v>
      </c>
      <c r="U4" s="269">
        <f t="shared" si="1"/>
        <v>0.98975000000000002</v>
      </c>
      <c r="V4" s="269">
        <f t="shared" si="1"/>
        <v>0.98975000000000002</v>
      </c>
      <c r="W4" s="269">
        <f t="shared" si="1"/>
        <v>0.98975000000000002</v>
      </c>
      <c r="X4" s="269">
        <f t="shared" si="1"/>
        <v>0.98975000000000002</v>
      </c>
      <c r="Y4" s="269">
        <f t="shared" si="1"/>
        <v>0.98975000000000002</v>
      </c>
      <c r="Z4" s="269">
        <f t="shared" si="1"/>
        <v>0.98975000000000002</v>
      </c>
      <c r="AA4" s="269">
        <f t="shared" si="1"/>
        <v>0.98975000000000002</v>
      </c>
      <c r="AB4" s="269">
        <f>1/1-AB3</f>
        <v>0.98975000000000002</v>
      </c>
      <c r="AC4" s="269">
        <f>1/1-AC3</f>
        <v>0.98975000000000002</v>
      </c>
      <c r="AD4" s="269">
        <f>1/1-AD3</f>
        <v>0.98975000000000002</v>
      </c>
      <c r="AE4" s="269">
        <f>1/1-AE3</f>
        <v>0.98975000000000002</v>
      </c>
      <c r="AF4" s="1"/>
      <c r="AG4" s="1"/>
      <c r="AH4" s="1"/>
      <c r="AI4" s="1"/>
      <c r="AJ4" s="1"/>
      <c r="AK4" s="1"/>
      <c r="AL4" s="1"/>
      <c r="AM4" s="1"/>
      <c r="AN4" s="1"/>
    </row>
    <row r="5" spans="1:44" x14ac:dyDescent="0.25">
      <c r="C5" s="249"/>
      <c r="D5" s="249"/>
      <c r="Q5" s="28" t="s">
        <v>226</v>
      </c>
      <c r="R5" s="1"/>
      <c r="S5" s="107"/>
      <c r="T5" s="108"/>
      <c r="U5" s="1"/>
      <c r="V5" s="1"/>
      <c r="W5" s="1"/>
      <c r="X5" s="1"/>
      <c r="Y5" s="1"/>
      <c r="Z5" s="1"/>
      <c r="AA5" s="1"/>
      <c r="AB5" s="314" t="s">
        <v>332</v>
      </c>
      <c r="AC5" s="331"/>
      <c r="AD5" s="332"/>
      <c r="AE5" s="331"/>
      <c r="AF5" s="109" t="s">
        <v>227</v>
      </c>
      <c r="AG5" s="1"/>
      <c r="AH5" s="1"/>
      <c r="AI5" s="1"/>
      <c r="AJ5" s="1"/>
      <c r="AK5" s="1"/>
      <c r="AL5" s="1"/>
      <c r="AM5" s="1"/>
      <c r="AN5" s="1"/>
    </row>
    <row r="6" spans="1:44" x14ac:dyDescent="0.25">
      <c r="B6" s="1"/>
      <c r="C6" s="15" t="s">
        <v>405</v>
      </c>
      <c r="D6" s="15"/>
      <c r="E6" s="13">
        <v>2021</v>
      </c>
      <c r="F6" s="13">
        <v>2021</v>
      </c>
      <c r="G6" s="13">
        <v>2021</v>
      </c>
      <c r="H6" s="6"/>
      <c r="I6" s="14" t="s">
        <v>175</v>
      </c>
      <c r="K6" s="14" t="s">
        <v>159</v>
      </c>
      <c r="L6" s="1"/>
      <c r="M6" s="329">
        <v>2021</v>
      </c>
      <c r="Q6" s="33" t="s">
        <v>228</v>
      </c>
      <c r="R6" s="11" t="s">
        <v>229</v>
      </c>
      <c r="S6" s="110"/>
      <c r="T6" s="111" t="s">
        <v>230</v>
      </c>
      <c r="U6" s="111" t="s">
        <v>231</v>
      </c>
      <c r="V6" s="111" t="s">
        <v>232</v>
      </c>
      <c r="W6" s="111" t="s">
        <v>233</v>
      </c>
      <c r="X6" s="111" t="s">
        <v>234</v>
      </c>
      <c r="Y6" s="111" t="s">
        <v>235</v>
      </c>
      <c r="Z6" s="111" t="s">
        <v>236</v>
      </c>
      <c r="AA6" s="392">
        <v>44774</v>
      </c>
      <c r="AB6" s="111" t="s">
        <v>238</v>
      </c>
      <c r="AC6" s="111" t="s">
        <v>239</v>
      </c>
      <c r="AD6" s="111" t="s">
        <v>240</v>
      </c>
      <c r="AE6" s="111" t="s">
        <v>241</v>
      </c>
      <c r="AF6" s="111" t="s">
        <v>242</v>
      </c>
      <c r="AG6" s="1"/>
      <c r="AH6" s="1"/>
      <c r="AI6" s="1"/>
      <c r="AJ6" s="1"/>
      <c r="AK6" s="1"/>
      <c r="AL6" s="1"/>
      <c r="AM6" s="1"/>
      <c r="AN6" s="1"/>
    </row>
    <row r="7" spans="1:44" x14ac:dyDescent="0.25">
      <c r="C7" s="15" t="s">
        <v>176</v>
      </c>
      <c r="D7" s="15"/>
      <c r="E7" s="15" t="s">
        <v>177</v>
      </c>
      <c r="F7" s="15" t="s">
        <v>289</v>
      </c>
      <c r="G7" s="15" t="s">
        <v>297</v>
      </c>
      <c r="H7" s="15" t="s">
        <v>220</v>
      </c>
      <c r="I7" s="16">
        <v>2021</v>
      </c>
      <c r="K7" s="16">
        <v>2021</v>
      </c>
      <c r="L7" s="1"/>
      <c r="M7" s="530" t="s">
        <v>407</v>
      </c>
      <c r="Q7" s="1" t="s">
        <v>243</v>
      </c>
      <c r="R7" s="1" t="s">
        <v>244</v>
      </c>
      <c r="S7" s="1"/>
      <c r="T7" s="2"/>
      <c r="U7" s="2"/>
      <c r="V7" s="2"/>
      <c r="W7" s="2"/>
      <c r="X7" s="24"/>
      <c r="Y7" s="24"/>
      <c r="Z7" s="24"/>
      <c r="AA7" s="24"/>
      <c r="AB7" s="24"/>
      <c r="AC7" s="24"/>
      <c r="AD7" s="24"/>
      <c r="AE7" s="24"/>
      <c r="AF7" s="2">
        <f t="shared" ref="AF7:AF23" si="2">SUM(T7:AE7)</f>
        <v>0</v>
      </c>
      <c r="AG7" s="1"/>
      <c r="AH7" s="1"/>
      <c r="AI7" s="1"/>
      <c r="AJ7" s="1"/>
      <c r="AK7" s="1"/>
      <c r="AL7" s="1"/>
      <c r="AM7" s="1"/>
      <c r="AN7" s="2"/>
      <c r="AO7" s="2"/>
      <c r="AP7" s="19"/>
      <c r="AQ7" s="240"/>
      <c r="AR7" s="227"/>
    </row>
    <row r="8" spans="1:44" x14ac:dyDescent="0.25">
      <c r="C8" s="15" t="s">
        <v>179</v>
      </c>
      <c r="D8" s="15"/>
      <c r="E8" s="15" t="s">
        <v>1</v>
      </c>
      <c r="F8" s="15" t="s">
        <v>179</v>
      </c>
      <c r="G8" s="15" t="s">
        <v>179</v>
      </c>
      <c r="H8" s="15"/>
      <c r="I8" s="16" t="s">
        <v>178</v>
      </c>
      <c r="K8" s="16" t="s">
        <v>178</v>
      </c>
      <c r="L8" s="1"/>
      <c r="M8" s="530"/>
      <c r="Q8" s="1" t="s">
        <v>245</v>
      </c>
      <c r="R8" s="1" t="s">
        <v>246</v>
      </c>
      <c r="S8" s="1"/>
      <c r="T8" s="223">
        <f>'EEC 2022 data'!I6*T4</f>
        <v>222730.14310749999</v>
      </c>
      <c r="U8" s="223">
        <f>'EEC 2022 data'!I8*U4</f>
        <v>195338.06954500001</v>
      </c>
      <c r="V8" s="223">
        <f>'EEC 2022 data'!I10*V4</f>
        <v>168280.10589000004</v>
      </c>
      <c r="W8" s="223">
        <f>'EEC 2022 data'!I12*W4</f>
        <v>169380.76727499999</v>
      </c>
      <c r="X8" s="223">
        <f>'EEC 2022 data'!I14*X4</f>
        <v>165762.94399750003</v>
      </c>
      <c r="Y8" s="223">
        <f>'EEC 2022 data'!I16*Y4</f>
        <v>177646.41696249999</v>
      </c>
      <c r="Z8" s="223">
        <f>'EEC 2022 data'!I18*Z4</f>
        <v>187899.94983249999</v>
      </c>
      <c r="AA8" s="223">
        <f>'EEC 2022 data'!I20*'EEC Collection True-Up'!AA4</f>
        <v>212559.600775</v>
      </c>
      <c r="AB8" s="323">
        <v>210000</v>
      </c>
      <c r="AC8" s="323">
        <v>205000</v>
      </c>
      <c r="AD8" s="323">
        <v>200000</v>
      </c>
      <c r="AE8" s="323">
        <v>195000</v>
      </c>
      <c r="AF8" s="2">
        <f t="shared" si="2"/>
        <v>2309597.9973849999</v>
      </c>
      <c r="AG8" s="1"/>
      <c r="AH8" s="2"/>
      <c r="AI8" s="1"/>
      <c r="AJ8" s="1"/>
      <c r="AK8" s="1" t="s">
        <v>246</v>
      </c>
      <c r="AL8" s="1"/>
      <c r="AM8" s="1"/>
      <c r="AN8" s="2">
        <v>193288.23360000001</v>
      </c>
      <c r="AO8" s="2"/>
      <c r="AP8" s="19">
        <f>+U8</f>
        <v>195338.06954500001</v>
      </c>
      <c r="AQ8" s="240">
        <f>+AP8-AN8</f>
        <v>2049.8359449999989</v>
      </c>
      <c r="AR8" s="227">
        <f>+AQ8/AP8</f>
        <v>1.0493786233142734E-2</v>
      </c>
    </row>
    <row r="9" spans="1:44" x14ac:dyDescent="0.25">
      <c r="A9" s="6" t="s">
        <v>171</v>
      </c>
      <c r="C9" s="15" t="s">
        <v>288</v>
      </c>
      <c r="D9" s="15"/>
      <c r="E9" s="15"/>
      <c r="F9" s="15" t="s">
        <v>290</v>
      </c>
      <c r="G9" s="15" t="s">
        <v>288</v>
      </c>
      <c r="H9" s="6"/>
      <c r="I9" s="16"/>
      <c r="K9" s="15"/>
      <c r="L9" s="1"/>
      <c r="M9" s="324"/>
      <c r="Q9" s="1" t="s">
        <v>247</v>
      </c>
      <c r="R9" s="1" t="s">
        <v>248</v>
      </c>
      <c r="S9" s="1"/>
      <c r="T9" s="2"/>
      <c r="U9" s="2"/>
      <c r="V9" s="2"/>
      <c r="W9" s="2"/>
      <c r="X9" s="24"/>
      <c r="Y9" s="24"/>
      <c r="Z9" s="24"/>
      <c r="AA9" s="24"/>
      <c r="AB9" s="24"/>
      <c r="AC9" s="24"/>
      <c r="AD9" s="24"/>
      <c r="AE9" s="24"/>
      <c r="AF9" s="2">
        <f t="shared" si="2"/>
        <v>0</v>
      </c>
      <c r="AG9" s="1"/>
      <c r="AH9" s="509"/>
      <c r="AI9" s="1"/>
      <c r="AJ9" s="1"/>
      <c r="AK9" s="1"/>
      <c r="AL9" s="1"/>
      <c r="AM9" s="1"/>
      <c r="AN9" s="2"/>
      <c r="AO9" s="2"/>
      <c r="AP9" s="19"/>
      <c r="AQ9" s="240"/>
      <c r="AR9" s="227"/>
    </row>
    <row r="10" spans="1:44" x14ac:dyDescent="0.25">
      <c r="A10" s="6"/>
      <c r="B10" s="7" t="s">
        <v>180</v>
      </c>
      <c r="C10" s="17">
        <f>C13*F26</f>
        <v>788644.40542477986</v>
      </c>
      <c r="D10" s="213"/>
      <c r="E10" s="213">
        <f>+'Util Rev and Load Data'!C73</f>
        <v>90180848.610000014</v>
      </c>
      <c r="F10" s="37">
        <f>+E10*M10</f>
        <v>806216.78657340014</v>
      </c>
      <c r="G10" s="413">
        <f>'EEC 2021 data'!D31</f>
        <v>801526.85</v>
      </c>
      <c r="H10" s="37">
        <f>+G10-C10</f>
        <v>12882.444575220114</v>
      </c>
      <c r="I10" s="311">
        <v>0</v>
      </c>
      <c r="K10" s="37">
        <f>+H10-I10</f>
        <v>12882.444575220114</v>
      </c>
      <c r="L10" s="1"/>
      <c r="M10" s="415">
        <v>8.94E-3</v>
      </c>
      <c r="N10" s="7" t="s">
        <v>65</v>
      </c>
      <c r="O10" s="269"/>
      <c r="Q10" s="1" t="s">
        <v>249</v>
      </c>
      <c r="R10" s="1" t="s">
        <v>250</v>
      </c>
      <c r="S10" s="2"/>
      <c r="T10" s="2"/>
      <c r="U10" s="2"/>
      <c r="V10" s="2"/>
      <c r="W10" s="2"/>
      <c r="X10" s="24"/>
      <c r="Y10" s="24"/>
      <c r="Z10" s="24"/>
      <c r="AA10" s="24"/>
      <c r="AB10" s="24"/>
      <c r="AC10" s="24"/>
      <c r="AD10" s="24"/>
      <c r="AE10" s="24"/>
      <c r="AF10" s="2">
        <f t="shared" si="2"/>
        <v>0</v>
      </c>
      <c r="AG10" s="1"/>
      <c r="AH10" s="108"/>
      <c r="AI10" s="1"/>
      <c r="AJ10" s="1"/>
      <c r="AK10" s="1"/>
      <c r="AL10" s="1"/>
      <c r="AM10" s="1"/>
      <c r="AN10" s="2"/>
      <c r="AO10" s="2"/>
      <c r="AP10" s="19"/>
      <c r="AQ10" s="240"/>
      <c r="AR10" s="227"/>
    </row>
    <row r="11" spans="1:44" x14ac:dyDescent="0.25">
      <c r="A11" s="6"/>
      <c r="B11" s="7" t="s">
        <v>181</v>
      </c>
      <c r="C11" s="17">
        <f>C13*F27</f>
        <v>1654280.0023699009</v>
      </c>
      <c r="D11" s="213"/>
      <c r="E11" s="213">
        <f>+'Util Rev and Load Data'!P73</f>
        <v>188583765.36000001</v>
      </c>
      <c r="F11" s="37">
        <f>+E11*M11</f>
        <v>1636907.0833248002</v>
      </c>
      <c r="G11" s="413">
        <f>'EEC 2021 data'!E31+'EEC 2021 data'!G31</f>
        <v>1653133.16</v>
      </c>
      <c r="H11" s="37">
        <f>+G11-C11</f>
        <v>-1146.8423699010164</v>
      </c>
      <c r="I11" s="311">
        <v>0</v>
      </c>
      <c r="K11" s="37">
        <f>+H11-I11</f>
        <v>-1146.8423699010164</v>
      </c>
      <c r="L11" s="1"/>
      <c r="M11" s="415">
        <v>8.6800000000000002E-3</v>
      </c>
      <c r="N11" s="7" t="s">
        <v>65</v>
      </c>
      <c r="O11" s="269"/>
      <c r="Q11" s="1" t="s">
        <v>251</v>
      </c>
      <c r="R11" s="1" t="s">
        <v>252</v>
      </c>
      <c r="S11" s="2"/>
      <c r="T11" s="2"/>
      <c r="U11" s="2"/>
      <c r="V11" s="2"/>
      <c r="W11" s="2"/>
      <c r="X11" s="24"/>
      <c r="Y11" s="24"/>
      <c r="Z11" s="24"/>
      <c r="AA11" s="24"/>
      <c r="AB11" s="24"/>
      <c r="AC11" s="24"/>
      <c r="AD11" s="24"/>
      <c r="AE11" s="24"/>
      <c r="AF11" s="2">
        <f t="shared" si="2"/>
        <v>0</v>
      </c>
      <c r="AG11" s="1"/>
      <c r="AH11" s="108"/>
      <c r="AI11" s="1"/>
      <c r="AJ11" s="1"/>
      <c r="AK11" s="1"/>
      <c r="AL11" s="1"/>
      <c r="AM11" s="1"/>
      <c r="AN11" s="2"/>
      <c r="AO11" s="2"/>
      <c r="AP11" s="19"/>
      <c r="AQ11" s="240"/>
      <c r="AR11" s="227"/>
    </row>
    <row r="12" spans="1:44" x14ac:dyDescent="0.25">
      <c r="A12" s="6"/>
      <c r="B12" s="10" t="s">
        <v>182</v>
      </c>
      <c r="C12" s="411">
        <f>C13*F28</f>
        <v>255016.3922053189</v>
      </c>
      <c r="D12" s="213"/>
      <c r="E12" s="412">
        <f>+'Util Rev and Load Data'!AA73</f>
        <v>44247326</v>
      </c>
      <c r="F12" s="38">
        <f>+E12*M12</f>
        <v>251767.28493999998</v>
      </c>
      <c r="G12" s="414">
        <f>'EEC 2021 data'!F31</f>
        <v>279691.84000000003</v>
      </c>
      <c r="H12" s="38">
        <f>+G12-C12</f>
        <v>24675.447794681124</v>
      </c>
      <c r="I12" s="312">
        <v>0</v>
      </c>
      <c r="K12" s="38">
        <f>+H12-I12</f>
        <v>24675.447794681124</v>
      </c>
      <c r="L12" s="1"/>
      <c r="M12" s="415">
        <v>5.6899999999999997E-3</v>
      </c>
      <c r="N12" s="7" t="s">
        <v>65</v>
      </c>
      <c r="O12" s="269"/>
      <c r="Q12" s="1" t="s">
        <v>253</v>
      </c>
      <c r="R12" s="1" t="s">
        <v>254</v>
      </c>
      <c r="S12" s="1"/>
      <c r="T12" s="2"/>
      <c r="U12" s="2"/>
      <c r="V12" s="2"/>
      <c r="W12" s="2"/>
      <c r="X12" s="24"/>
      <c r="Y12" s="24"/>
      <c r="Z12" s="24"/>
      <c r="AA12" s="24"/>
      <c r="AB12" s="24"/>
      <c r="AC12" s="24"/>
      <c r="AD12" s="24"/>
      <c r="AE12" s="24"/>
      <c r="AF12" s="2">
        <f t="shared" si="2"/>
        <v>0</v>
      </c>
      <c r="AG12" s="1"/>
      <c r="AH12" s="2"/>
      <c r="AI12" s="1"/>
      <c r="AJ12" s="1"/>
      <c r="AK12" s="1"/>
      <c r="AL12" s="1"/>
      <c r="AM12" s="1"/>
      <c r="AN12" s="2"/>
      <c r="AO12" s="2"/>
      <c r="AP12" s="19"/>
      <c r="AQ12" s="240"/>
      <c r="AR12" s="227"/>
    </row>
    <row r="13" spans="1:44" x14ac:dyDescent="0.25">
      <c r="A13" s="6"/>
      <c r="B13" s="7" t="s">
        <v>10</v>
      </c>
      <c r="C13" s="17">
        <v>2697940.8</v>
      </c>
      <c r="D13" s="397" t="s">
        <v>492</v>
      </c>
      <c r="E13" s="213">
        <f>SUM(E10:E12)</f>
        <v>323011939.97000003</v>
      </c>
      <c r="F13" s="37">
        <f>SUM(F10:F12)</f>
        <v>2694891.1548382007</v>
      </c>
      <c r="G13" s="413">
        <f>SUM(G10:G12)</f>
        <v>2734351.8499999996</v>
      </c>
      <c r="H13" s="37">
        <f>SUM(H10:H12)</f>
        <v>36411.050000000221</v>
      </c>
      <c r="I13" s="311">
        <f>SUM(I10:I12)</f>
        <v>0</v>
      </c>
      <c r="K13" s="37">
        <f>SUM(K10:K12)</f>
        <v>36411.050000000221</v>
      </c>
      <c r="L13" s="1"/>
      <c r="M13" s="330">
        <f>(M10*F26)+(M11*F27)+(M12*F28)</f>
        <v>8.473378910581187E-3</v>
      </c>
      <c r="N13" s="7" t="s">
        <v>337</v>
      </c>
      <c r="O13" s="269"/>
      <c r="Q13" s="1" t="s">
        <v>255</v>
      </c>
      <c r="R13" s="1" t="s">
        <v>256</v>
      </c>
      <c r="S13" s="1"/>
      <c r="T13" s="2"/>
      <c r="U13" s="2"/>
      <c r="V13" s="2"/>
      <c r="W13" s="2"/>
      <c r="X13" s="24"/>
      <c r="Y13" s="24"/>
      <c r="Z13" s="24"/>
      <c r="AA13" s="24"/>
      <c r="AB13" s="24"/>
      <c r="AC13" s="24"/>
      <c r="AD13" s="24"/>
      <c r="AE13" s="24"/>
      <c r="AF13" s="2">
        <f t="shared" si="2"/>
        <v>0</v>
      </c>
      <c r="AG13" s="1"/>
      <c r="AH13" s="1"/>
      <c r="AI13" s="1"/>
      <c r="AJ13" s="1"/>
      <c r="AK13" s="1"/>
      <c r="AL13" s="1"/>
      <c r="AM13" s="1"/>
      <c r="AN13" s="2"/>
      <c r="AO13" s="2"/>
      <c r="AP13" s="19"/>
      <c r="AQ13" s="240"/>
      <c r="AR13" s="227"/>
    </row>
    <row r="14" spans="1:44" x14ac:dyDescent="0.25">
      <c r="A14" s="6"/>
      <c r="D14" s="306"/>
      <c r="E14" s="308"/>
      <c r="G14" s="40"/>
      <c r="H14" s="40"/>
      <c r="I14" s="40"/>
      <c r="J14" s="40"/>
      <c r="K14" s="40"/>
      <c r="L14" s="1"/>
      <c r="Q14" s="1" t="s">
        <v>257</v>
      </c>
      <c r="R14" s="1" t="s">
        <v>258</v>
      </c>
      <c r="S14" s="1"/>
      <c r="T14" s="2"/>
      <c r="U14" s="2"/>
      <c r="V14" s="2"/>
      <c r="W14" s="2"/>
      <c r="X14" s="24"/>
      <c r="Y14" s="24"/>
      <c r="Z14" s="24"/>
      <c r="AA14" s="24"/>
      <c r="AB14" s="24"/>
      <c r="AC14" s="24"/>
      <c r="AD14" s="24"/>
      <c r="AE14" s="24"/>
      <c r="AF14" s="2">
        <f t="shared" si="2"/>
        <v>0</v>
      </c>
      <c r="AG14" s="1"/>
      <c r="AH14" s="1"/>
      <c r="AI14" s="1"/>
      <c r="AJ14" s="1"/>
      <c r="AK14" s="1"/>
      <c r="AL14" s="1"/>
      <c r="AM14" s="1"/>
      <c r="AN14" s="2"/>
      <c r="AO14" s="2"/>
      <c r="AP14" s="19"/>
      <c r="AQ14" s="240"/>
      <c r="AR14" s="227"/>
    </row>
    <row r="15" spans="1:44" x14ac:dyDescent="0.25">
      <c r="A15" s="6"/>
      <c r="B15" s="7" t="s">
        <v>183</v>
      </c>
      <c r="C15" s="20"/>
      <c r="D15" s="20"/>
      <c r="E15" s="20"/>
      <c r="F15" s="370"/>
      <c r="G15" s="37"/>
      <c r="H15" s="37"/>
      <c r="I15" s="37"/>
      <c r="J15" s="40"/>
      <c r="K15" s="37"/>
      <c r="L15" s="1"/>
      <c r="Q15" s="1" t="s">
        <v>259</v>
      </c>
      <c r="R15" s="1" t="s">
        <v>260</v>
      </c>
      <c r="S15" s="1"/>
      <c r="T15" s="2"/>
      <c r="U15" s="2"/>
      <c r="V15" s="2"/>
      <c r="W15" s="2"/>
      <c r="X15" s="24"/>
      <c r="Y15" s="24"/>
      <c r="Z15" s="24"/>
      <c r="AA15" s="24"/>
      <c r="AB15" s="24"/>
      <c r="AC15" s="24"/>
      <c r="AD15" s="24"/>
      <c r="AE15" s="24"/>
      <c r="AF15" s="2">
        <f t="shared" si="2"/>
        <v>0</v>
      </c>
      <c r="AG15" s="1"/>
      <c r="AH15" s="1"/>
      <c r="AI15" s="1"/>
      <c r="AJ15" s="1"/>
      <c r="AK15" s="1"/>
      <c r="AL15" s="1"/>
      <c r="AM15" s="1"/>
      <c r="AN15" s="2"/>
      <c r="AO15" s="2"/>
      <c r="AP15" s="19"/>
      <c r="AQ15" s="240"/>
      <c r="AR15" s="227"/>
    </row>
    <row r="16" spans="1:44" x14ac:dyDescent="0.25">
      <c r="A16" s="6"/>
      <c r="B16" s="7" t="s">
        <v>188</v>
      </c>
      <c r="C16" s="17"/>
      <c r="D16" s="213"/>
      <c r="E16" s="213"/>
      <c r="G16" s="307"/>
      <c r="H16" s="37"/>
      <c r="I16" s="37"/>
      <c r="J16" s="40"/>
      <c r="K16" s="37"/>
      <c r="L16" s="1"/>
      <c r="M16" s="256"/>
      <c r="O16" s="21"/>
      <c r="Q16" s="1" t="s">
        <v>261</v>
      </c>
      <c r="R16" s="1" t="s">
        <v>262</v>
      </c>
      <c r="S16" s="1"/>
      <c r="T16" s="2"/>
      <c r="U16" s="2"/>
      <c r="V16" s="2"/>
      <c r="W16" s="2"/>
      <c r="X16" s="24"/>
      <c r="Y16" s="24"/>
      <c r="Z16" s="24"/>
      <c r="AA16" s="24"/>
      <c r="AB16" s="24"/>
      <c r="AC16" s="24"/>
      <c r="AD16" s="24"/>
      <c r="AE16" s="24"/>
      <c r="AF16" s="2">
        <f t="shared" si="2"/>
        <v>0</v>
      </c>
      <c r="AG16" s="1"/>
      <c r="AH16" s="1"/>
      <c r="AI16" s="1"/>
      <c r="AJ16" s="1"/>
      <c r="AK16" s="1"/>
      <c r="AL16" s="1"/>
      <c r="AM16" s="1"/>
      <c r="AN16" s="2"/>
      <c r="AO16" s="2"/>
      <c r="AP16" s="19"/>
      <c r="AQ16" s="240"/>
      <c r="AR16" s="227"/>
    </row>
    <row r="17" spans="1:44" x14ac:dyDescent="0.25">
      <c r="C17" s="17"/>
      <c r="D17" s="213"/>
      <c r="E17" s="213"/>
      <c r="F17" s="37"/>
      <c r="G17" s="37"/>
      <c r="H17" s="37"/>
      <c r="I17" s="37"/>
      <c r="J17" s="40"/>
      <c r="K17" s="37"/>
      <c r="L17" s="1"/>
      <c r="M17" s="256"/>
      <c r="O17" s="21"/>
      <c r="Q17" s="1" t="s">
        <v>263</v>
      </c>
      <c r="R17" s="1" t="s">
        <v>264</v>
      </c>
      <c r="S17" s="1"/>
      <c r="T17" s="2"/>
      <c r="U17" s="2"/>
      <c r="V17" s="2"/>
      <c r="W17" s="2"/>
      <c r="X17" s="24"/>
      <c r="Y17" s="24"/>
      <c r="Z17" s="24"/>
      <c r="AA17" s="24"/>
      <c r="AB17" s="24"/>
      <c r="AC17" s="24"/>
      <c r="AD17" s="24"/>
      <c r="AE17" s="24"/>
      <c r="AF17" s="2">
        <f t="shared" si="2"/>
        <v>0</v>
      </c>
      <c r="AG17" s="1"/>
      <c r="AH17" s="1"/>
      <c r="AI17" s="1"/>
      <c r="AJ17" s="1"/>
      <c r="AK17" s="1"/>
      <c r="AL17" s="1"/>
      <c r="AM17" s="1"/>
      <c r="AN17" s="2"/>
      <c r="AO17" s="2"/>
      <c r="AP17" s="19"/>
      <c r="AQ17" s="240"/>
      <c r="AR17" s="227"/>
    </row>
    <row r="18" spans="1:44" x14ac:dyDescent="0.25">
      <c r="C18" s="17"/>
      <c r="D18" s="213"/>
      <c r="E18" s="213"/>
      <c r="F18" s="37"/>
      <c r="G18" s="37"/>
      <c r="H18" s="37"/>
      <c r="I18" s="37"/>
      <c r="J18" s="40"/>
      <c r="K18" s="37"/>
      <c r="L18" s="1"/>
      <c r="M18" s="256"/>
      <c r="O18" s="21"/>
      <c r="Q18" s="1" t="s">
        <v>265</v>
      </c>
      <c r="R18" s="1" t="s">
        <v>266</v>
      </c>
      <c r="S18" s="3"/>
      <c r="T18" s="2"/>
      <c r="U18" s="2"/>
      <c r="V18" s="2"/>
      <c r="W18" s="2"/>
      <c r="X18" s="24"/>
      <c r="Y18" s="24"/>
      <c r="Z18" s="24"/>
      <c r="AA18" s="24"/>
      <c r="AB18" s="24"/>
      <c r="AC18" s="24"/>
      <c r="AD18" s="24"/>
      <c r="AE18" s="24"/>
      <c r="AF18" s="2">
        <f t="shared" si="2"/>
        <v>0</v>
      </c>
      <c r="AG18" s="1"/>
      <c r="AH18" s="1"/>
      <c r="AI18" s="1"/>
      <c r="AJ18" s="1"/>
      <c r="AK18" s="1"/>
      <c r="AL18" s="1"/>
      <c r="AM18" s="1"/>
      <c r="AN18" s="2"/>
      <c r="AO18" s="2"/>
      <c r="AP18" s="19"/>
      <c r="AQ18" s="240"/>
      <c r="AR18" s="227"/>
    </row>
    <row r="19" spans="1:44" x14ac:dyDescent="0.25">
      <c r="B19" s="8">
        <v>2022</v>
      </c>
      <c r="C19" s="9" t="s">
        <v>184</v>
      </c>
      <c r="D19" s="9"/>
      <c r="E19" s="9"/>
      <c r="F19" s="9"/>
      <c r="G19" s="10"/>
      <c r="H19" s="10"/>
      <c r="I19" s="10"/>
      <c r="K19" s="10"/>
      <c r="L19" s="1"/>
      <c r="Q19" s="1" t="s">
        <v>267</v>
      </c>
      <c r="R19" s="1" t="s">
        <v>268</v>
      </c>
      <c r="S19" s="2"/>
      <c r="T19" s="2"/>
      <c r="U19" s="2"/>
      <c r="V19" s="2"/>
      <c r="W19" s="2"/>
      <c r="X19" s="24"/>
      <c r="Y19" s="24"/>
      <c r="Z19" s="24"/>
      <c r="AA19" s="24"/>
      <c r="AB19" s="24"/>
      <c r="AC19" s="24"/>
      <c r="AD19" s="24"/>
      <c r="AE19" s="24"/>
      <c r="AF19" s="2">
        <f t="shared" si="2"/>
        <v>0</v>
      </c>
      <c r="AG19" s="1"/>
      <c r="AH19" s="1"/>
      <c r="AI19" s="1"/>
      <c r="AJ19" s="1"/>
      <c r="AK19" s="1"/>
      <c r="AL19" s="1"/>
      <c r="AM19" s="1"/>
      <c r="AN19" s="2"/>
      <c r="AO19" s="2"/>
      <c r="AP19" s="19"/>
      <c r="AQ19" s="240"/>
      <c r="AR19" s="227"/>
    </row>
    <row r="20" spans="1:44" x14ac:dyDescent="0.25">
      <c r="G20" s="15"/>
      <c r="K20" s="12"/>
      <c r="L20" s="1"/>
      <c r="Q20" s="1" t="s">
        <v>269</v>
      </c>
      <c r="R20" s="1" t="s">
        <v>270</v>
      </c>
      <c r="S20" s="1"/>
      <c r="T20" s="2"/>
      <c r="U20" s="2"/>
      <c r="V20" s="2"/>
      <c r="W20" s="2"/>
      <c r="X20" s="24"/>
      <c r="Y20" s="24"/>
      <c r="Z20" s="24"/>
      <c r="AA20" s="24"/>
      <c r="AB20" s="24"/>
      <c r="AC20" s="24"/>
      <c r="AD20" s="24"/>
      <c r="AE20" s="24"/>
      <c r="AF20" s="2">
        <f t="shared" si="2"/>
        <v>0</v>
      </c>
      <c r="AG20" s="1"/>
      <c r="AH20" s="1"/>
      <c r="AI20" s="1"/>
      <c r="AJ20" s="1"/>
      <c r="AK20" s="1"/>
      <c r="AL20" s="1"/>
      <c r="AM20" s="1"/>
      <c r="AN20" s="2"/>
      <c r="AO20" s="2"/>
      <c r="AP20" s="19"/>
      <c r="AQ20" s="240"/>
      <c r="AR20" s="227"/>
    </row>
    <row r="21" spans="1:44" x14ac:dyDescent="0.25">
      <c r="C21" s="13" t="s">
        <v>406</v>
      </c>
      <c r="D21" s="13"/>
      <c r="F21" s="28"/>
      <c r="G21" s="13">
        <v>2022</v>
      </c>
      <c r="H21" s="13">
        <v>2022</v>
      </c>
      <c r="I21" s="13">
        <v>2022</v>
      </c>
      <c r="K21" s="14" t="s">
        <v>159</v>
      </c>
      <c r="L21" s="1"/>
      <c r="Q21" s="1" t="s">
        <v>271</v>
      </c>
      <c r="R21" s="1" t="s">
        <v>272</v>
      </c>
      <c r="S21" s="1"/>
      <c r="T21" s="2"/>
      <c r="U21" s="2"/>
      <c r="V21" s="2"/>
      <c r="W21" s="2"/>
      <c r="X21" s="24"/>
      <c r="Y21" s="24"/>
      <c r="Z21" s="24"/>
      <c r="AA21" s="24"/>
      <c r="AB21" s="24"/>
      <c r="AC21" s="24"/>
      <c r="AD21" s="24"/>
      <c r="AE21" s="24"/>
      <c r="AF21" s="2">
        <f t="shared" si="2"/>
        <v>0</v>
      </c>
      <c r="AG21" s="1"/>
      <c r="AH21" s="1"/>
      <c r="AI21" s="1"/>
      <c r="AJ21" s="1"/>
      <c r="AK21" s="1"/>
      <c r="AL21" s="1"/>
      <c r="AM21" s="1"/>
      <c r="AN21" s="2"/>
      <c r="AO21" s="2"/>
      <c r="AP21" s="19"/>
      <c r="AQ21" s="240"/>
      <c r="AR21" s="227"/>
    </row>
    <row r="22" spans="1:44" x14ac:dyDescent="0.25">
      <c r="C22" s="390" t="s">
        <v>176</v>
      </c>
      <c r="D22" s="15"/>
      <c r="F22" s="23" t="s">
        <v>458</v>
      </c>
      <c r="G22" s="13" t="s">
        <v>177</v>
      </c>
      <c r="H22" s="13" t="s">
        <v>335</v>
      </c>
      <c r="I22" s="13" t="s">
        <v>441</v>
      </c>
      <c r="K22" s="16">
        <v>2022</v>
      </c>
      <c r="L22" s="1"/>
      <c r="M22" s="329">
        <v>2022</v>
      </c>
      <c r="N22" s="324"/>
      <c r="Q22" s="1" t="s">
        <v>273</v>
      </c>
      <c r="R22" s="1" t="s">
        <v>279</v>
      </c>
      <c r="S22" s="2"/>
      <c r="T22" s="2"/>
      <c r="U22" s="2"/>
      <c r="V22" s="2"/>
      <c r="W22" s="2"/>
      <c r="X22" s="24"/>
      <c r="Y22" s="24"/>
      <c r="Z22" s="24"/>
      <c r="AA22" s="24"/>
      <c r="AB22" s="24"/>
      <c r="AC22" s="24"/>
      <c r="AD22" s="24"/>
      <c r="AE22" s="24"/>
      <c r="AF22" s="2">
        <f t="shared" si="2"/>
        <v>0</v>
      </c>
      <c r="AG22" s="1"/>
      <c r="AH22" s="1"/>
      <c r="AI22" s="1"/>
      <c r="AJ22" s="1"/>
      <c r="AK22" s="1"/>
      <c r="AL22" s="1"/>
      <c r="AM22" s="1"/>
      <c r="AN22" s="2"/>
      <c r="AO22" s="2"/>
      <c r="AP22" s="19"/>
      <c r="AQ22" s="240"/>
      <c r="AR22" s="227"/>
    </row>
    <row r="23" spans="1:44" x14ac:dyDescent="0.25">
      <c r="C23" s="15" t="s">
        <v>179</v>
      </c>
      <c r="D23" s="15"/>
      <c r="F23" s="23" t="s">
        <v>179</v>
      </c>
      <c r="G23" s="13" t="s">
        <v>515</v>
      </c>
      <c r="H23" s="13" t="s">
        <v>516</v>
      </c>
      <c r="I23" s="13" t="s">
        <v>10</v>
      </c>
      <c r="K23" s="16" t="s">
        <v>178</v>
      </c>
      <c r="M23" s="329" t="s">
        <v>287</v>
      </c>
      <c r="N23" s="324"/>
      <c r="Q23" s="1" t="s">
        <v>274</v>
      </c>
      <c r="R23" s="1" t="s">
        <v>275</v>
      </c>
      <c r="S23" s="1"/>
      <c r="T23" s="2"/>
      <c r="U23" s="2"/>
      <c r="V23" s="2"/>
      <c r="W23" s="2"/>
      <c r="X23" s="24"/>
      <c r="Y23" s="24"/>
      <c r="Z23" s="24"/>
      <c r="AA23" s="24"/>
      <c r="AB23" s="24"/>
      <c r="AC23" s="24"/>
      <c r="AD23" s="24"/>
      <c r="AE23" s="24"/>
      <c r="AF23" s="2">
        <f t="shared" si="2"/>
        <v>0</v>
      </c>
      <c r="AG23" s="1"/>
      <c r="AH23" s="1"/>
      <c r="AI23" s="1"/>
      <c r="AJ23" s="1"/>
      <c r="AK23" s="1"/>
      <c r="AL23" s="1"/>
      <c r="AM23" s="1"/>
      <c r="AN23" s="2"/>
      <c r="AO23" s="2"/>
      <c r="AP23" s="19"/>
      <c r="AQ23" s="240"/>
      <c r="AR23" s="227"/>
    </row>
    <row r="24" spans="1:44" x14ac:dyDescent="0.25">
      <c r="C24" s="15" t="s">
        <v>288</v>
      </c>
      <c r="D24" s="23"/>
      <c r="F24" s="23" t="s">
        <v>315</v>
      </c>
      <c r="G24" s="15" t="s">
        <v>179</v>
      </c>
      <c r="H24" s="15" t="s">
        <v>179</v>
      </c>
      <c r="I24" s="15" t="s">
        <v>179</v>
      </c>
      <c r="K24" s="23"/>
      <c r="M24" s="324"/>
      <c r="N24" s="324"/>
      <c r="Q24" s="1"/>
      <c r="R24" s="1"/>
      <c r="S24" s="1"/>
      <c r="T24" s="2"/>
      <c r="U24" s="1"/>
      <c r="V24" s="1"/>
      <c r="W24" s="1"/>
      <c r="X24" s="1"/>
      <c r="Y24" s="1"/>
      <c r="Z24" s="1"/>
      <c r="AA24" s="1"/>
      <c r="AB24" s="1"/>
      <c r="AC24" s="1"/>
      <c r="AD24" s="1"/>
      <c r="AE24" s="1"/>
      <c r="AF24" s="2"/>
      <c r="AG24" s="1"/>
      <c r="AH24" s="1"/>
      <c r="AI24" s="1"/>
      <c r="AJ24" s="1"/>
      <c r="AK24" s="1"/>
      <c r="AL24" s="1"/>
      <c r="AM24" s="1"/>
      <c r="AN24" s="1"/>
      <c r="AP24" s="19"/>
      <c r="AQ24" s="240"/>
    </row>
    <row r="25" spans="1:44" x14ac:dyDescent="0.25">
      <c r="A25" s="7" t="s">
        <v>50</v>
      </c>
      <c r="C25" s="23"/>
      <c r="D25" s="23"/>
      <c r="F25" s="23"/>
      <c r="G25" s="15" t="s">
        <v>288</v>
      </c>
      <c r="H25" s="15" t="s">
        <v>288</v>
      </c>
      <c r="I25" s="15" t="s">
        <v>288</v>
      </c>
      <c r="K25" s="23"/>
      <c r="M25" s="324"/>
      <c r="N25" s="324"/>
      <c r="Q25" s="112" t="s">
        <v>276</v>
      </c>
      <c r="R25" s="22"/>
      <c r="S25" s="4">
        <f t="shared" ref="S25:AE25" si="3">SUM(S7:S23)</f>
        <v>0</v>
      </c>
      <c r="T25" s="4">
        <f t="shared" si="3"/>
        <v>222730.14310749999</v>
      </c>
      <c r="U25" s="4">
        <f>SUM(U7:U23)</f>
        <v>195338.06954500001</v>
      </c>
      <c r="V25" s="4">
        <f t="shared" si="3"/>
        <v>168280.10589000004</v>
      </c>
      <c r="W25" s="4">
        <f t="shared" si="3"/>
        <v>169380.76727499999</v>
      </c>
      <c r="X25" s="4">
        <f t="shared" si="3"/>
        <v>165762.94399750003</v>
      </c>
      <c r="Y25" s="4">
        <f t="shared" si="3"/>
        <v>177646.41696249999</v>
      </c>
      <c r="Z25" s="4">
        <f t="shared" si="3"/>
        <v>187899.94983249999</v>
      </c>
      <c r="AA25" s="4">
        <f t="shared" si="3"/>
        <v>212559.600775</v>
      </c>
      <c r="AB25" s="4">
        <f t="shared" si="3"/>
        <v>210000</v>
      </c>
      <c r="AC25" s="4">
        <f t="shared" si="3"/>
        <v>205000</v>
      </c>
      <c r="AD25" s="4">
        <f t="shared" si="3"/>
        <v>200000</v>
      </c>
      <c r="AE25" s="4">
        <f t="shared" si="3"/>
        <v>195000</v>
      </c>
      <c r="AF25" s="5">
        <f>SUM(AF7:AF23)</f>
        <v>2309597.9973849999</v>
      </c>
      <c r="AG25" s="1"/>
      <c r="AH25" s="1"/>
      <c r="AI25" s="1"/>
      <c r="AJ25" s="1"/>
      <c r="AK25" s="1"/>
      <c r="AL25" s="1"/>
      <c r="AM25" s="1"/>
      <c r="AN25" s="1"/>
    </row>
    <row r="26" spans="1:44" x14ac:dyDescent="0.25">
      <c r="B26" s="7" t="s">
        <v>3</v>
      </c>
      <c r="C26" s="318">
        <v>611395</v>
      </c>
      <c r="D26" s="384" t="s">
        <v>449</v>
      </c>
      <c r="F26" s="320">
        <f>+AC61</f>
        <v>0.29231345825852811</v>
      </c>
      <c r="G26" s="318">
        <f>+$G$29*F26</f>
        <v>438352.67661317252</v>
      </c>
      <c r="H26" s="318">
        <f>+C26/C29*H29</f>
        <v>237440.41574491464</v>
      </c>
      <c r="I26" s="318">
        <f>+H26+G26</f>
        <v>675793.09235808719</v>
      </c>
      <c r="J26" s="324"/>
      <c r="K26" s="325">
        <f>+I26-C26</f>
        <v>64398.092358087189</v>
      </c>
      <c r="M26" s="328">
        <v>6.8999999999999999E-3</v>
      </c>
      <c r="N26" s="324" t="s">
        <v>65</v>
      </c>
      <c r="Q26" s="1"/>
      <c r="R26" s="1"/>
      <c r="S26" s="1"/>
      <c r="T26" s="1"/>
      <c r="U26" s="1"/>
      <c r="V26" s="1"/>
      <c r="W26" s="1"/>
      <c r="X26" s="1"/>
      <c r="Y26" s="1"/>
      <c r="Z26" s="1"/>
      <c r="AA26" s="1"/>
      <c r="AB26" s="1"/>
      <c r="AC26" s="1"/>
      <c r="AD26" s="1"/>
      <c r="AE26" s="1"/>
      <c r="AF26" s="1"/>
      <c r="AG26" s="1"/>
      <c r="AH26" s="1"/>
      <c r="AI26" s="1"/>
      <c r="AJ26" s="1"/>
      <c r="AK26" s="1"/>
      <c r="AL26" s="1"/>
      <c r="AM26" s="1"/>
      <c r="AN26" s="1"/>
    </row>
    <row r="27" spans="1:44" x14ac:dyDescent="0.25">
      <c r="B27" s="7" t="s">
        <v>4</v>
      </c>
      <c r="C27" s="318">
        <v>1272070</v>
      </c>
      <c r="D27" s="384" t="s">
        <v>450</v>
      </c>
      <c r="F27" s="320">
        <f>+AC62</f>
        <v>0.61316393686989024</v>
      </c>
      <c r="G27" s="318">
        <f>+$G$29*F27</f>
        <v>919499.41179878986</v>
      </c>
      <c r="H27" s="318">
        <f>+C27/C29*H29</f>
        <v>494019.13600312988</v>
      </c>
      <c r="I27" s="318">
        <f>+H27+G27</f>
        <v>1413518.5478019197</v>
      </c>
      <c r="J27" s="324"/>
      <c r="K27" s="325">
        <f>+I27-C27</f>
        <v>141448.54780191975</v>
      </c>
      <c r="M27" s="328">
        <v>7.0299999999999998E-3</v>
      </c>
      <c r="N27" s="324" t="s">
        <v>65</v>
      </c>
      <c r="S27" s="1"/>
      <c r="T27" s="1"/>
      <c r="U27" s="1"/>
      <c r="V27" s="1"/>
      <c r="W27" s="1"/>
      <c r="X27" s="1"/>
      <c r="Y27" s="19"/>
      <c r="Z27" s="1"/>
      <c r="AA27" s="19">
        <f>+AA29-AA28</f>
        <v>-222730.14310749993</v>
      </c>
      <c r="AB27" s="1"/>
      <c r="AC27" s="19">
        <f>+AC29-AC28</f>
        <v>1914597.9973849999</v>
      </c>
      <c r="AD27" s="1"/>
      <c r="AE27" s="3">
        <f>+AE29-AE28</f>
        <v>0</v>
      </c>
      <c r="AF27" s="2">
        <f>+AE27+Y27</f>
        <v>0</v>
      </c>
      <c r="AG27" s="1"/>
      <c r="AH27" s="1"/>
      <c r="AI27" s="1"/>
      <c r="AJ27" s="1"/>
      <c r="AK27" s="1"/>
      <c r="AL27" s="1"/>
      <c r="AM27" s="1"/>
      <c r="AN27" s="1"/>
    </row>
    <row r="28" spans="1:44" x14ac:dyDescent="0.25">
      <c r="B28" s="10" t="s">
        <v>47</v>
      </c>
      <c r="C28" s="319">
        <v>202237</v>
      </c>
      <c r="D28" s="384" t="s">
        <v>451</v>
      </c>
      <c r="F28" s="321">
        <f>+AC63</f>
        <v>9.4522604871581664E-2</v>
      </c>
      <c r="G28" s="319">
        <f>+$G$29*F28</f>
        <v>141745.9089730375</v>
      </c>
      <c r="H28" s="319">
        <f>+C28/C29*H29</f>
        <v>78540.448251955459</v>
      </c>
      <c r="I28" s="319">
        <f>+H28+G28</f>
        <v>220286.35722499294</v>
      </c>
      <c r="J28" s="324"/>
      <c r="K28" s="326">
        <f>+I28-C28</f>
        <v>18049.357224992942</v>
      </c>
      <c r="M28" s="328">
        <v>0</v>
      </c>
      <c r="N28" s="324" t="s">
        <v>65</v>
      </c>
      <c r="R28" s="1"/>
      <c r="S28" s="1"/>
      <c r="T28" s="1"/>
      <c r="U28" s="1"/>
      <c r="V28" s="1"/>
      <c r="W28" s="1"/>
      <c r="X28" s="1"/>
      <c r="Y28" s="245"/>
      <c r="Z28" s="1"/>
      <c r="AA28" s="245">
        <f>SUM(T8:AA8)</f>
        <v>1499597.9973849999</v>
      </c>
      <c r="AB28" s="1"/>
      <c r="AC28" s="245"/>
      <c r="AD28" s="1"/>
      <c r="AE28" s="245">
        <f>SUM(AB8:AE8)</f>
        <v>810000</v>
      </c>
      <c r="AF28" s="1"/>
      <c r="AG28" s="1"/>
      <c r="AH28" s="1"/>
      <c r="AI28" s="1"/>
      <c r="AJ28" s="1"/>
      <c r="AK28" s="1"/>
      <c r="AL28" s="1"/>
      <c r="AM28" s="1"/>
      <c r="AN28" s="1"/>
    </row>
    <row r="29" spans="1:44" x14ac:dyDescent="0.25">
      <c r="B29" s="7" t="s">
        <v>186</v>
      </c>
      <c r="C29" s="19">
        <f>SUM(C26:C28)</f>
        <v>2085702</v>
      </c>
      <c r="D29" s="23"/>
      <c r="F29" s="322">
        <f>SUM(F26:F28)</f>
        <v>1</v>
      </c>
      <c r="G29" s="318">
        <f>AA28</f>
        <v>1499597.9973849999</v>
      </c>
      <c r="H29" s="318">
        <f>+AE28</f>
        <v>810000</v>
      </c>
      <c r="I29" s="318">
        <f>SUM(I26:I28)</f>
        <v>2309597.9973849999</v>
      </c>
      <c r="J29" s="324"/>
      <c r="K29" s="325">
        <f>SUM(K26:K28)</f>
        <v>223895.99738499988</v>
      </c>
      <c r="M29" s="328">
        <f>(M26*F26)+(M27*F27)+(M28*F28)</f>
        <v>6.3275053381791728E-3</v>
      </c>
      <c r="N29" s="324" t="s">
        <v>337</v>
      </c>
      <c r="P29" s="1" t="s">
        <v>225</v>
      </c>
      <c r="Q29" s="242" t="s">
        <v>318</v>
      </c>
      <c r="R29" s="242"/>
      <c r="S29" s="1"/>
      <c r="T29" s="1"/>
      <c r="U29" s="1"/>
      <c r="V29" s="1"/>
      <c r="W29" s="1"/>
      <c r="X29" s="1"/>
      <c r="Y29" s="3">
        <f>SUM(S25:Y25)</f>
        <v>1099138.4467775</v>
      </c>
      <c r="Z29" s="170">
        <f>+Y29/AF29</f>
        <v>0.57572485045952182</v>
      </c>
      <c r="AA29" s="3">
        <f>SUM(U25:AA25)</f>
        <v>1276867.8542775</v>
      </c>
      <c r="AB29" s="170">
        <f>+AA29/AF29</f>
        <v>0.66881888866298245</v>
      </c>
      <c r="AC29" s="3">
        <f>SUM(T25:AC25)</f>
        <v>1914597.9973849999</v>
      </c>
      <c r="AD29" s="1"/>
      <c r="AE29" s="3">
        <f>SUM(AB25:AE25)</f>
        <v>810000</v>
      </c>
      <c r="AF29" s="3">
        <f>+AE29+Y29</f>
        <v>1909138.4467775</v>
      </c>
      <c r="AG29" s="1"/>
      <c r="AH29" s="1"/>
      <c r="AI29" s="1"/>
      <c r="AJ29" s="1"/>
      <c r="AK29" s="1"/>
      <c r="AL29" s="1"/>
      <c r="AM29" s="1"/>
      <c r="AN29" s="1"/>
    </row>
    <row r="30" spans="1:44" x14ac:dyDescent="0.25">
      <c r="D30" s="23"/>
      <c r="G30" s="19"/>
      <c r="H30" s="19"/>
      <c r="K30" s="40"/>
      <c r="Q30" s="242" t="s">
        <v>347</v>
      </c>
      <c r="R30" s="242"/>
      <c r="S30" s="1"/>
      <c r="T30" s="287">
        <f t="shared" ref="T30:Y30" si="4">0.5%+0.5%</f>
        <v>0.01</v>
      </c>
      <c r="U30" s="287">
        <f t="shared" si="4"/>
        <v>0.01</v>
      </c>
      <c r="V30" s="287">
        <f t="shared" si="4"/>
        <v>0.01</v>
      </c>
      <c r="W30" s="287">
        <f t="shared" si="4"/>
        <v>0.01</v>
      </c>
      <c r="X30" s="287">
        <f t="shared" si="4"/>
        <v>0.01</v>
      </c>
      <c r="Y30" s="287">
        <f t="shared" si="4"/>
        <v>0.01</v>
      </c>
      <c r="Z30" s="287">
        <f t="shared" ref="Z30:AE30" si="5">0.525%+0.5%</f>
        <v>1.025E-2</v>
      </c>
      <c r="AA30" s="287">
        <f t="shared" si="5"/>
        <v>1.025E-2</v>
      </c>
      <c r="AB30" s="287">
        <f t="shared" si="5"/>
        <v>1.025E-2</v>
      </c>
      <c r="AC30" s="287">
        <f t="shared" si="5"/>
        <v>1.025E-2</v>
      </c>
      <c r="AD30" s="287">
        <f t="shared" si="5"/>
        <v>1.025E-2</v>
      </c>
      <c r="AE30" s="287">
        <f t="shared" si="5"/>
        <v>1.025E-2</v>
      </c>
      <c r="AF30" s="1"/>
      <c r="AG30" s="1"/>
      <c r="AH30" s="1"/>
      <c r="AI30" s="1"/>
      <c r="AJ30" s="1"/>
      <c r="AK30" s="1"/>
      <c r="AL30" s="1"/>
      <c r="AM30" s="1"/>
      <c r="AN30" s="1"/>
    </row>
    <row r="31" spans="1:44" x14ac:dyDescent="0.25">
      <c r="C31" s="333"/>
      <c r="F31" s="23"/>
      <c r="K31" s="40">
        <f>C29-I29</f>
        <v>-223895.99738499988</v>
      </c>
      <c r="Q31" s="28" t="s">
        <v>226</v>
      </c>
      <c r="R31" s="1"/>
      <c r="S31" s="107"/>
      <c r="T31" s="288">
        <f>1/1-T30</f>
        <v>0.99</v>
      </c>
      <c r="U31" s="288">
        <f t="shared" ref="U31:AE31" si="6">1/1-U30</f>
        <v>0.99</v>
      </c>
      <c r="V31" s="288">
        <f t="shared" si="6"/>
        <v>0.99</v>
      </c>
      <c r="W31" s="288">
        <f t="shared" si="6"/>
        <v>0.99</v>
      </c>
      <c r="X31" s="288">
        <f t="shared" si="6"/>
        <v>0.99</v>
      </c>
      <c r="Y31" s="288">
        <f t="shared" si="6"/>
        <v>0.99</v>
      </c>
      <c r="Z31" s="288">
        <f t="shared" si="6"/>
        <v>0.98975000000000002</v>
      </c>
      <c r="AA31" s="288">
        <f t="shared" si="6"/>
        <v>0.98975000000000002</v>
      </c>
      <c r="AB31" s="288">
        <f t="shared" si="6"/>
        <v>0.98975000000000002</v>
      </c>
      <c r="AC31" s="288">
        <f t="shared" si="6"/>
        <v>0.98975000000000002</v>
      </c>
      <c r="AD31" s="288">
        <f t="shared" si="6"/>
        <v>0.98975000000000002</v>
      </c>
      <c r="AE31" s="288">
        <f t="shared" si="6"/>
        <v>0.98975000000000002</v>
      </c>
      <c r="AF31" s="109" t="s">
        <v>227</v>
      </c>
      <c r="AG31" s="1"/>
      <c r="AH31" s="1"/>
      <c r="AI31" s="1"/>
      <c r="AJ31" s="1"/>
      <c r="AK31" s="1"/>
      <c r="AL31" s="1"/>
      <c r="AM31" s="1"/>
      <c r="AN31" s="1"/>
    </row>
    <row r="32" spans="1:44" x14ac:dyDescent="0.25">
      <c r="F32" s="23"/>
      <c r="K32" s="40"/>
      <c r="Q32" s="33" t="s">
        <v>228</v>
      </c>
      <c r="R32" s="11" t="s">
        <v>229</v>
      </c>
      <c r="S32" s="110"/>
      <c r="T32" s="111" t="s">
        <v>230</v>
      </c>
      <c r="U32" s="111" t="s">
        <v>231</v>
      </c>
      <c r="V32" s="111" t="s">
        <v>232</v>
      </c>
      <c r="W32" s="111" t="s">
        <v>233</v>
      </c>
      <c r="X32" s="111" t="s">
        <v>234</v>
      </c>
      <c r="Y32" s="111" t="s">
        <v>235</v>
      </c>
      <c r="Z32" s="111" t="s">
        <v>236</v>
      </c>
      <c r="AA32" s="111" t="s">
        <v>237</v>
      </c>
      <c r="AB32" s="111" t="s">
        <v>238</v>
      </c>
      <c r="AC32" s="111" t="s">
        <v>239</v>
      </c>
      <c r="AD32" s="111" t="s">
        <v>240</v>
      </c>
      <c r="AE32" s="111" t="s">
        <v>241</v>
      </c>
      <c r="AF32" s="111" t="s">
        <v>242</v>
      </c>
      <c r="AG32" s="1"/>
      <c r="AH32" s="1"/>
      <c r="AI32" s="1"/>
      <c r="AJ32" s="1"/>
      <c r="AK32" s="1"/>
      <c r="AL32" s="1"/>
      <c r="AM32" s="1"/>
      <c r="AN32" s="1"/>
    </row>
    <row r="33" spans="3:42" x14ac:dyDescent="0.25">
      <c r="C33" s="17"/>
      <c r="D33" s="213"/>
      <c r="E33" s="228"/>
      <c r="F33" s="21"/>
      <c r="G33" s="17"/>
      <c r="H33" s="17"/>
      <c r="I33" s="17"/>
      <c r="K33" s="216"/>
      <c r="Q33" s="1" t="s">
        <v>245</v>
      </c>
      <c r="R33" s="1" t="s">
        <v>246</v>
      </c>
      <c r="S33" s="1"/>
      <c r="T33" s="223">
        <f>'EEC 2021 data'!$I6*T31</f>
        <v>217676.28960000002</v>
      </c>
      <c r="U33" s="223">
        <f>'EEC 2021 data'!$I8*U31</f>
        <v>229605.057</v>
      </c>
      <c r="V33" s="223">
        <f>'EEC 2021 data'!$I10*V31</f>
        <v>211370.6727</v>
      </c>
      <c r="W33" s="223">
        <f>'EEC 2021 data'!I12*W31</f>
        <v>212158.93049999999</v>
      </c>
      <c r="X33" s="223">
        <f>'EEC 2021 data'!I14*X31</f>
        <v>200545.51769999997</v>
      </c>
      <c r="Y33" s="223">
        <f>'EEC 2021 data'!I16*Y31</f>
        <v>224352.79019999999</v>
      </c>
      <c r="Z33" s="223">
        <f>'EEC 2021 data'!I18*Z31</f>
        <v>243944.14768250001</v>
      </c>
      <c r="AA33" s="223">
        <f>'EEC 2021 data'!I20*AA31</f>
        <v>250415.12328500004</v>
      </c>
      <c r="AB33" s="223">
        <f>'EEC 2021 data'!I22*AB31</f>
        <v>267176.75728000002</v>
      </c>
      <c r="AC33" s="223">
        <f>'EEC 2021 data'!I24*AC31</f>
        <v>221186.04403000002</v>
      </c>
      <c r="AD33" s="223">
        <f>'EEC 2021 data'!I26*AD31</f>
        <v>214303.69863500001</v>
      </c>
      <c r="AE33" s="223">
        <f>'EEC 2021 data'!I28*AE31</f>
        <v>213916.91423250001</v>
      </c>
      <c r="AF33" s="223">
        <f>SUM(T33:AE33)</f>
        <v>2706651.942845</v>
      </c>
      <c r="AG33" s="1"/>
      <c r="AH33" s="1"/>
      <c r="AI33" s="218">
        <f>+X33/SUM($T33:$W33)</f>
        <v>0.23029742304694198</v>
      </c>
      <c r="AJ33" s="218">
        <f>+Y33/SUM($T33:$W33)</f>
        <v>0.25763662049900415</v>
      </c>
      <c r="AK33" s="25">
        <f t="shared" ref="AK33:AP33" si="7">+Z33/SUM($T33:$Y33)</f>
        <v>0.1882707453333495</v>
      </c>
      <c r="AL33" s="25">
        <f t="shared" si="7"/>
        <v>0.19326490244386255</v>
      </c>
      <c r="AM33" s="25">
        <f t="shared" si="7"/>
        <v>0.20620116410548978</v>
      </c>
      <c r="AN33" s="25">
        <f t="shared" si="7"/>
        <v>0.17070653984723785</v>
      </c>
      <c r="AO33" s="25">
        <f t="shared" si="7"/>
        <v>0.16539489654909798</v>
      </c>
      <c r="AP33" s="25">
        <f t="shared" si="7"/>
        <v>0.16509638482650166</v>
      </c>
    </row>
    <row r="34" spans="3:42" x14ac:dyDescent="0.25">
      <c r="F34" s="19"/>
      <c r="G34" s="19"/>
      <c r="Q34" s="1"/>
      <c r="R34" s="1"/>
      <c r="S34" s="1"/>
      <c r="T34" s="2"/>
      <c r="U34" s="1"/>
      <c r="V34" s="1"/>
      <c r="W34" s="1"/>
      <c r="X34" s="1"/>
      <c r="Y34" s="1"/>
      <c r="Z34" s="1"/>
      <c r="AA34" s="1"/>
      <c r="AB34" s="1"/>
      <c r="AC34" s="1"/>
      <c r="AD34" s="1"/>
      <c r="AE34" s="1"/>
      <c r="AF34" s="2"/>
      <c r="AG34" s="1"/>
      <c r="AH34" s="1"/>
      <c r="AI34" s="1"/>
      <c r="AJ34" s="1"/>
      <c r="AK34" s="1"/>
      <c r="AL34" s="1"/>
      <c r="AM34" s="1"/>
      <c r="AN34" s="1"/>
    </row>
    <row r="35" spans="3:42" x14ac:dyDescent="0.25">
      <c r="F35" s="19"/>
      <c r="G35" s="19"/>
      <c r="Q35" s="112" t="s">
        <v>276</v>
      </c>
      <c r="R35" s="22"/>
      <c r="S35" s="4">
        <f t="shared" ref="S35:AF35" si="8">SUM(S33:S33)</f>
        <v>0</v>
      </c>
      <c r="T35" s="4">
        <f t="shared" si="8"/>
        <v>217676.28960000002</v>
      </c>
      <c r="U35" s="4">
        <f t="shared" si="8"/>
        <v>229605.057</v>
      </c>
      <c r="V35" s="4">
        <f t="shared" si="8"/>
        <v>211370.6727</v>
      </c>
      <c r="W35" s="4">
        <f t="shared" si="8"/>
        <v>212158.93049999999</v>
      </c>
      <c r="X35" s="4">
        <f t="shared" si="8"/>
        <v>200545.51769999997</v>
      </c>
      <c r="Y35" s="4">
        <f t="shared" si="8"/>
        <v>224352.79019999999</v>
      </c>
      <c r="Z35" s="4">
        <f t="shared" si="8"/>
        <v>243944.14768250001</v>
      </c>
      <c r="AA35" s="4">
        <f t="shared" si="8"/>
        <v>250415.12328500004</v>
      </c>
      <c r="AB35" s="4">
        <f t="shared" si="8"/>
        <v>267176.75728000002</v>
      </c>
      <c r="AC35" s="4">
        <f t="shared" si="8"/>
        <v>221186.04403000002</v>
      </c>
      <c r="AD35" s="4">
        <f t="shared" si="8"/>
        <v>214303.69863500001</v>
      </c>
      <c r="AE35" s="4">
        <f t="shared" si="8"/>
        <v>213916.91423250001</v>
      </c>
      <c r="AF35" s="5">
        <f t="shared" si="8"/>
        <v>2706651.942845</v>
      </c>
      <c r="AG35" s="1"/>
      <c r="AH35" s="1"/>
      <c r="AI35" s="1"/>
      <c r="AJ35" s="1"/>
      <c r="AK35" s="1"/>
      <c r="AL35" s="27">
        <f>2616130</f>
        <v>2616130</v>
      </c>
      <c r="AM35" s="1"/>
      <c r="AN35" s="1"/>
    </row>
    <row r="36" spans="3:42" x14ac:dyDescent="0.25">
      <c r="Q36" s="1"/>
      <c r="R36" s="1"/>
      <c r="S36" s="1"/>
      <c r="T36" s="1"/>
      <c r="U36" s="1"/>
      <c r="V36" s="1"/>
      <c r="W36" s="1"/>
      <c r="X36" s="1"/>
      <c r="Y36" s="1"/>
      <c r="Z36" s="1"/>
      <c r="AA36" s="1"/>
      <c r="AB36" s="1"/>
      <c r="AC36" s="1"/>
      <c r="AD36" s="1"/>
      <c r="AE36" s="1"/>
      <c r="AF36" s="2"/>
      <c r="AG36" s="1"/>
      <c r="AH36" s="1"/>
      <c r="AI36" s="1"/>
      <c r="AJ36" s="1"/>
      <c r="AK36" s="1"/>
      <c r="AL36" s="393">
        <f>AL35/12</f>
        <v>218010.83333333334</v>
      </c>
      <c r="AM36" s="1"/>
      <c r="AN36" s="1"/>
    </row>
    <row r="38" spans="3:42" x14ac:dyDescent="0.25">
      <c r="Q38" s="15" t="s">
        <v>458</v>
      </c>
      <c r="T38" s="235"/>
    </row>
    <row r="39" spans="3:42" x14ac:dyDescent="0.25">
      <c r="Q39" s="15" t="s">
        <v>179</v>
      </c>
      <c r="T39" s="227"/>
    </row>
    <row r="40" spans="3:42" x14ac:dyDescent="0.25">
      <c r="Q40" s="239" t="s">
        <v>298</v>
      </c>
      <c r="S40" s="313">
        <v>2022</v>
      </c>
      <c r="T40" s="239" t="s">
        <v>348</v>
      </c>
      <c r="U40"/>
      <c r="V40"/>
      <c r="W40"/>
      <c r="X40"/>
      <c r="Y40"/>
      <c r="Z40"/>
    </row>
    <row r="41" spans="3:42" x14ac:dyDescent="0.25">
      <c r="R41" s="229" t="s">
        <v>299</v>
      </c>
      <c r="T41"/>
      <c r="U41"/>
      <c r="V41"/>
      <c r="W41"/>
      <c r="X41"/>
      <c r="Y41"/>
      <c r="Z41"/>
    </row>
    <row r="42" spans="3:42" x14ac:dyDescent="0.25">
      <c r="R42"/>
      <c r="T42" s="230" t="s">
        <v>300</v>
      </c>
      <c r="U42" s="230" t="s">
        <v>301</v>
      </c>
      <c r="V42" s="230" t="s">
        <v>302</v>
      </c>
      <c r="W42" s="230" t="s">
        <v>303</v>
      </c>
      <c r="X42" s="230" t="s">
        <v>304</v>
      </c>
      <c r="Y42" s="230" t="s">
        <v>305</v>
      </c>
      <c r="Z42" s="230" t="s">
        <v>333</v>
      </c>
      <c r="AA42" s="230" t="s">
        <v>334</v>
      </c>
      <c r="AB42" s="7" t="s">
        <v>345</v>
      </c>
      <c r="AC42" s="7" t="s">
        <v>346</v>
      </c>
    </row>
    <row r="43" spans="3:42" x14ac:dyDescent="0.25">
      <c r="R43"/>
      <c r="T43"/>
      <c r="U43"/>
      <c r="V43"/>
      <c r="W43"/>
      <c r="X43"/>
      <c r="Y43"/>
    </row>
    <row r="44" spans="3:42" x14ac:dyDescent="0.25">
      <c r="R44" s="229" t="s">
        <v>306</v>
      </c>
      <c r="T44" s="250">
        <v>75519.02</v>
      </c>
      <c r="U44" s="250">
        <v>66152.789999999994</v>
      </c>
      <c r="V44" s="250">
        <v>51915.7</v>
      </c>
      <c r="W44" s="250">
        <v>49028.57</v>
      </c>
      <c r="X44" s="250">
        <v>43059.1</v>
      </c>
      <c r="Y44" s="250">
        <v>45107.57</v>
      </c>
      <c r="Z44" s="250">
        <v>49455.46</v>
      </c>
      <c r="AA44" s="250">
        <v>62654.11</v>
      </c>
    </row>
    <row r="45" spans="3:42" x14ac:dyDescent="0.25">
      <c r="R45" s="229" t="s">
        <v>307</v>
      </c>
      <c r="T45" s="251"/>
      <c r="U45" s="251"/>
      <c r="V45" s="250"/>
      <c r="W45" s="250"/>
      <c r="X45" s="250"/>
      <c r="Y45" s="250"/>
      <c r="Z45" s="250"/>
      <c r="AA45" s="250"/>
    </row>
    <row r="46" spans="3:42" x14ac:dyDescent="0.25">
      <c r="R46" t="s">
        <v>308</v>
      </c>
      <c r="T46" s="250">
        <v>12487.72</v>
      </c>
      <c r="U46" s="250">
        <v>12130.85</v>
      </c>
      <c r="V46" s="250">
        <v>9518.11</v>
      </c>
      <c r="W46" s="250">
        <v>8999.11</v>
      </c>
      <c r="X46" s="250">
        <v>7830.6</v>
      </c>
      <c r="Y46" s="250">
        <v>8530.1</v>
      </c>
      <c r="Z46" s="250">
        <v>9007.6</v>
      </c>
      <c r="AA46" s="250">
        <v>10562.17</v>
      </c>
    </row>
    <row r="47" spans="3:42" x14ac:dyDescent="0.25">
      <c r="R47" t="s">
        <v>309</v>
      </c>
      <c r="T47" s="250">
        <v>69160.42</v>
      </c>
      <c r="U47" s="250">
        <v>63191.74</v>
      </c>
      <c r="V47" s="250">
        <v>53808.73</v>
      </c>
      <c r="W47" s="250">
        <v>57678.06</v>
      </c>
      <c r="X47" s="250">
        <v>55894.1</v>
      </c>
      <c r="Y47" s="250">
        <v>61189.04</v>
      </c>
      <c r="Z47" s="250">
        <v>63797.14</v>
      </c>
      <c r="AA47" s="250">
        <v>72615.039999999994</v>
      </c>
    </row>
    <row r="48" spans="3:42" x14ac:dyDescent="0.25">
      <c r="R48" t="s">
        <v>310</v>
      </c>
      <c r="T48" s="250">
        <v>46698.59</v>
      </c>
      <c r="U48" s="250">
        <v>38972.199999999997</v>
      </c>
      <c r="V48" s="250">
        <v>38909.980000000003</v>
      </c>
      <c r="W48" s="250">
        <v>38678.58</v>
      </c>
      <c r="X48" s="250">
        <v>41998.1</v>
      </c>
      <c r="Y48" s="250">
        <v>44617.54</v>
      </c>
      <c r="Z48" s="250">
        <v>45960.9</v>
      </c>
      <c r="AA48" s="250">
        <v>47461.9</v>
      </c>
    </row>
    <row r="49" spans="18:29" x14ac:dyDescent="0.25">
      <c r="R49" s="229" t="s">
        <v>47</v>
      </c>
      <c r="T49" s="251"/>
      <c r="U49" s="251"/>
      <c r="V49" s="250"/>
      <c r="W49" s="250"/>
      <c r="X49" s="250"/>
      <c r="Y49" s="250"/>
      <c r="Z49" s="250"/>
      <c r="AA49" s="250"/>
    </row>
    <row r="50" spans="18:29" x14ac:dyDescent="0.25">
      <c r="R50" t="s">
        <v>309</v>
      </c>
      <c r="T50" s="250">
        <v>11966.58</v>
      </c>
      <c r="U50" s="250">
        <v>11140.91</v>
      </c>
      <c r="V50" s="250">
        <v>9819.6299999999992</v>
      </c>
      <c r="W50" s="250">
        <v>10651.79</v>
      </c>
      <c r="X50" s="250">
        <v>11487.22</v>
      </c>
      <c r="Y50" s="250">
        <v>12958.72</v>
      </c>
      <c r="Z50" s="250">
        <v>13577.91</v>
      </c>
      <c r="AA50" s="250">
        <v>13721.19</v>
      </c>
    </row>
    <row r="51" spans="18:29" x14ac:dyDescent="0.25">
      <c r="R51" t="s">
        <v>310</v>
      </c>
      <c r="T51" s="250">
        <v>7286.04</v>
      </c>
      <c r="U51" s="250">
        <v>4491.22</v>
      </c>
      <c r="V51" s="250">
        <v>4787.51</v>
      </c>
      <c r="W51" s="250">
        <v>5030.3900000000003</v>
      </c>
      <c r="X51" s="250">
        <v>6248.14</v>
      </c>
      <c r="Y51" s="250">
        <v>6220.32</v>
      </c>
      <c r="Z51" s="250">
        <v>7121.18</v>
      </c>
      <c r="AA51" s="250">
        <v>6705.1</v>
      </c>
    </row>
    <row r="52" spans="18:29" x14ac:dyDescent="0.25">
      <c r="R52" s="229" t="s">
        <v>311</v>
      </c>
      <c r="T52" s="251"/>
      <c r="U52" s="251"/>
      <c r="V52" s="250"/>
      <c r="W52" s="250"/>
      <c r="X52" s="250"/>
      <c r="Y52" s="250"/>
      <c r="Z52" s="250"/>
      <c r="AA52" s="250"/>
    </row>
    <row r="53" spans="18:29" x14ac:dyDescent="0.25">
      <c r="R53" s="232" t="s">
        <v>312</v>
      </c>
      <c r="T53" s="252">
        <v>1918.4</v>
      </c>
      <c r="U53" s="252">
        <v>1281.31</v>
      </c>
      <c r="V53" s="252">
        <v>1263.18</v>
      </c>
      <c r="W53" s="252">
        <v>1068.4000000000001</v>
      </c>
      <c r="X53" s="252">
        <v>962.35</v>
      </c>
      <c r="Y53" s="252">
        <v>862.86</v>
      </c>
      <c r="Z53" s="252">
        <v>925.68</v>
      </c>
      <c r="AA53" s="252">
        <v>1041.3800000000001</v>
      </c>
    </row>
    <row r="54" spans="18:29" x14ac:dyDescent="0.25">
      <c r="R54" t="s">
        <v>10</v>
      </c>
      <c r="T54" s="250">
        <f t="shared" ref="T54:AA54" si="9">SUM(T44:T53)</f>
        <v>225036.77</v>
      </c>
      <c r="U54" s="250">
        <f t="shared" si="9"/>
        <v>197361.02000000002</v>
      </c>
      <c r="V54" s="250">
        <f t="shared" si="9"/>
        <v>170022.84000000003</v>
      </c>
      <c r="W54" s="250">
        <f t="shared" si="9"/>
        <v>171134.90000000002</v>
      </c>
      <c r="X54" s="250">
        <f t="shared" si="9"/>
        <v>167479.61000000002</v>
      </c>
      <c r="Y54" s="250">
        <f t="shared" si="9"/>
        <v>179486.15</v>
      </c>
      <c r="Z54" s="250">
        <f t="shared" si="9"/>
        <v>189845.87</v>
      </c>
      <c r="AA54" s="250">
        <f t="shared" si="9"/>
        <v>214760.89</v>
      </c>
    </row>
    <row r="55" spans="18:29" x14ac:dyDescent="0.25">
      <c r="R55"/>
      <c r="T55" s="231"/>
      <c r="U55" s="231"/>
      <c r="V55" s="231"/>
      <c r="W55" s="231"/>
      <c r="X55" s="231"/>
      <c r="Y55" s="231"/>
    </row>
    <row r="56" spans="18:29" x14ac:dyDescent="0.25">
      <c r="R56" s="7" t="s">
        <v>313</v>
      </c>
      <c r="T56" s="233">
        <f>+T44</f>
        <v>75519.02</v>
      </c>
      <c r="U56" s="233">
        <f t="shared" ref="U56:Y56" si="10">+U44</f>
        <v>66152.789999999994</v>
      </c>
      <c r="V56" s="233">
        <f t="shared" si="10"/>
        <v>51915.7</v>
      </c>
      <c r="W56" s="233">
        <f t="shared" si="10"/>
        <v>49028.57</v>
      </c>
      <c r="X56" s="233">
        <f t="shared" si="10"/>
        <v>43059.1</v>
      </c>
      <c r="Y56" s="233">
        <f t="shared" si="10"/>
        <v>45107.57</v>
      </c>
      <c r="Z56" s="233">
        <f>+Z44</f>
        <v>49455.46</v>
      </c>
      <c r="AA56" s="233">
        <f>+AA44</f>
        <v>62654.11</v>
      </c>
      <c r="AB56" s="257">
        <f>SUM(T56:AA56)</f>
        <v>442892.32</v>
      </c>
      <c r="AC56" s="236">
        <f>AB56/$AB$59</f>
        <v>0.292313458258528</v>
      </c>
    </row>
    <row r="57" spans="18:29" x14ac:dyDescent="0.25">
      <c r="R57" s="7" t="s">
        <v>4</v>
      </c>
      <c r="T57" s="233">
        <f t="shared" ref="T57:Y57" si="11">+T46+T47+T48+T53</f>
        <v>130265.12999999999</v>
      </c>
      <c r="U57" s="233">
        <f t="shared" si="11"/>
        <v>115576.09999999999</v>
      </c>
      <c r="V57" s="233">
        <f t="shared" si="11"/>
        <v>103500</v>
      </c>
      <c r="W57" s="233">
        <f t="shared" si="11"/>
        <v>106424.15</v>
      </c>
      <c r="X57" s="233">
        <f t="shared" si="11"/>
        <v>106685.15</v>
      </c>
      <c r="Y57" s="233">
        <f t="shared" si="11"/>
        <v>115199.54</v>
      </c>
      <c r="Z57" s="233">
        <f>+Z46+Z47+Z48+Z53</f>
        <v>119691.32</v>
      </c>
      <c r="AA57" s="233">
        <f>+AA46+AA47+AA48+AA53</f>
        <v>131680.49</v>
      </c>
      <c r="AB57" s="257">
        <f>SUM(T57:AA57)</f>
        <v>929021.88000000012</v>
      </c>
      <c r="AC57" s="236">
        <f>AB57/$AB$59</f>
        <v>0.61316393686989024</v>
      </c>
    </row>
    <row r="58" spans="18:29" x14ac:dyDescent="0.25">
      <c r="R58" s="7" t="s">
        <v>47</v>
      </c>
      <c r="T58" s="238">
        <f t="shared" ref="T58:Y58" si="12">+T50+T51</f>
        <v>19252.62</v>
      </c>
      <c r="U58" s="238">
        <f t="shared" si="12"/>
        <v>15632.130000000001</v>
      </c>
      <c r="V58" s="238">
        <f t="shared" si="12"/>
        <v>14607.14</v>
      </c>
      <c r="W58" s="238">
        <f t="shared" si="12"/>
        <v>15682.18</v>
      </c>
      <c r="X58" s="238">
        <f t="shared" si="12"/>
        <v>17735.36</v>
      </c>
      <c r="Y58" s="238">
        <f t="shared" si="12"/>
        <v>19179.04</v>
      </c>
      <c r="Z58" s="238">
        <f>+Z50+Z51</f>
        <v>20699.09</v>
      </c>
      <c r="AA58" s="238">
        <f>+AA50+AA51</f>
        <v>20426.29</v>
      </c>
      <c r="AB58" s="257">
        <f>SUM(T58:AA58)</f>
        <v>143213.85</v>
      </c>
      <c r="AC58" s="236">
        <f>AB58/$AB$59</f>
        <v>9.4522604871581636E-2</v>
      </c>
    </row>
    <row r="59" spans="18:29" x14ac:dyDescent="0.25">
      <c r="T59" s="233">
        <f t="shared" ref="T59:Y59" si="13">SUM(T56:T58)</f>
        <v>225036.77</v>
      </c>
      <c r="U59" s="233">
        <f t="shared" si="13"/>
        <v>197361.02</v>
      </c>
      <c r="V59" s="233">
        <f t="shared" si="13"/>
        <v>170022.84000000003</v>
      </c>
      <c r="W59" s="233">
        <f t="shared" si="13"/>
        <v>171134.9</v>
      </c>
      <c r="X59" s="233">
        <f t="shared" si="13"/>
        <v>167479.60999999999</v>
      </c>
      <c r="Y59" s="233">
        <f t="shared" si="13"/>
        <v>179486.15</v>
      </c>
      <c r="Z59" s="233">
        <f>SUM(Z56:Z58)</f>
        <v>189845.87</v>
      </c>
      <c r="AA59" s="233">
        <f>SUM(AA56:AA58)</f>
        <v>214760.88999999998</v>
      </c>
      <c r="AB59" s="257">
        <f>SUM(AB56:AB58)</f>
        <v>1515128.0500000003</v>
      </c>
    </row>
    <row r="61" spans="18:29" x14ac:dyDescent="0.25">
      <c r="R61" s="7" t="s">
        <v>314</v>
      </c>
      <c r="S61" s="7">
        <v>0.98970000000000002</v>
      </c>
      <c r="T61" s="234">
        <f t="shared" ref="T61:Y61" si="14">+T56*$S$61</f>
        <v>74741.174094000002</v>
      </c>
      <c r="U61" s="234">
        <f t="shared" si="14"/>
        <v>65471.416262999992</v>
      </c>
      <c r="V61" s="234">
        <f t="shared" si="14"/>
        <v>51380.968289999997</v>
      </c>
      <c r="W61" s="234">
        <f t="shared" si="14"/>
        <v>48523.575729000004</v>
      </c>
      <c r="X61" s="234">
        <f t="shared" si="14"/>
        <v>42615.591269999997</v>
      </c>
      <c r="Y61" s="234">
        <f t="shared" si="14"/>
        <v>44642.962029000002</v>
      </c>
      <c r="Z61" s="234">
        <f t="shared" ref="Z61:AA63" si="15">+Z56*$S$61</f>
        <v>48946.068762000003</v>
      </c>
      <c r="AA61" s="234">
        <f t="shared" si="15"/>
        <v>62008.772667000005</v>
      </c>
      <c r="AB61" s="257">
        <f>SUM(T61:AA61)</f>
        <v>438330.52910400002</v>
      </c>
      <c r="AC61" s="236">
        <f>+AB61/$AB$64</f>
        <v>0.29231345825852811</v>
      </c>
    </row>
    <row r="62" spans="18:29" x14ac:dyDescent="0.25">
      <c r="T62" s="234">
        <f t="shared" ref="T62:Y62" si="16">+T57*$S$61</f>
        <v>128923.39916099999</v>
      </c>
      <c r="U62" s="234">
        <f t="shared" si="16"/>
        <v>114385.66617</v>
      </c>
      <c r="V62" s="234">
        <f t="shared" si="16"/>
        <v>102433.95</v>
      </c>
      <c r="W62" s="234">
        <f t="shared" si="16"/>
        <v>105327.98125499999</v>
      </c>
      <c r="X62" s="234">
        <f t="shared" si="16"/>
        <v>105586.292955</v>
      </c>
      <c r="Y62" s="234">
        <f t="shared" si="16"/>
        <v>114012.984738</v>
      </c>
      <c r="Z62" s="234">
        <f t="shared" si="15"/>
        <v>118458.49940400002</v>
      </c>
      <c r="AA62" s="234">
        <f t="shared" si="15"/>
        <v>130324.18095299999</v>
      </c>
      <c r="AB62" s="257">
        <f>SUM(T62:AA62)</f>
        <v>919452.95463599986</v>
      </c>
      <c r="AC62" s="236">
        <f>+AB62/$AB$64</f>
        <v>0.61316393686989024</v>
      </c>
    </row>
    <row r="63" spans="18:29" x14ac:dyDescent="0.25">
      <c r="T63" s="237">
        <f t="shared" ref="T63:Y63" si="17">+T58*$S$61</f>
        <v>19054.318014</v>
      </c>
      <c r="U63" s="237">
        <f t="shared" si="17"/>
        <v>15471.119061000001</v>
      </c>
      <c r="V63" s="237">
        <f t="shared" si="17"/>
        <v>14456.686458</v>
      </c>
      <c r="W63" s="237">
        <f t="shared" si="17"/>
        <v>15520.653546000001</v>
      </c>
      <c r="X63" s="237">
        <f t="shared" si="17"/>
        <v>17552.685792</v>
      </c>
      <c r="Y63" s="237">
        <f t="shared" si="17"/>
        <v>18981.495888000001</v>
      </c>
      <c r="Z63" s="237">
        <f t="shared" si="15"/>
        <v>20485.889373000002</v>
      </c>
      <c r="AA63" s="237">
        <f t="shared" si="15"/>
        <v>20215.899213000001</v>
      </c>
      <c r="AB63" s="257">
        <f>SUM(T63:AA63)</f>
        <v>141738.74734500001</v>
      </c>
      <c r="AC63" s="236">
        <f>+AB63/$AB$64</f>
        <v>9.4522604871581664E-2</v>
      </c>
    </row>
    <row r="64" spans="18:29" x14ac:dyDescent="0.25">
      <c r="T64" s="233">
        <f t="shared" ref="T64:Y64" si="18">SUM(T61:T63)</f>
        <v>222718.89126899999</v>
      </c>
      <c r="U64" s="233">
        <f t="shared" si="18"/>
        <v>195328.20149399998</v>
      </c>
      <c r="V64" s="233">
        <f t="shared" si="18"/>
        <v>168271.60474800001</v>
      </c>
      <c r="W64" s="233">
        <f t="shared" si="18"/>
        <v>169372.21052999998</v>
      </c>
      <c r="X64" s="233">
        <f t="shared" si="18"/>
        <v>165754.57001699999</v>
      </c>
      <c r="Y64" s="233">
        <f t="shared" si="18"/>
        <v>177637.44265500002</v>
      </c>
      <c r="Z64" s="233">
        <f>SUM(Z61:Z63)</f>
        <v>187890.45753900002</v>
      </c>
      <c r="AA64" s="233">
        <f>SUM(AA61:AA63)</f>
        <v>212548.85283299998</v>
      </c>
      <c r="AB64" s="257">
        <f>SUM(AB61:AB63)</f>
        <v>1499522.2310849999</v>
      </c>
    </row>
    <row r="66" spans="18:27" x14ac:dyDescent="0.25">
      <c r="T66" s="235">
        <f>T64-T25</f>
        <v>-11.251838500000304</v>
      </c>
      <c r="U66" s="235">
        <f t="shared" ref="U66:AA66" si="19">U64-U25</f>
        <v>-9.8680510000267532</v>
      </c>
      <c r="V66" s="235">
        <f t="shared" si="19"/>
        <v>-8.50114200002281</v>
      </c>
      <c r="W66" s="235">
        <f t="shared" si="19"/>
        <v>-8.5567450000089593</v>
      </c>
      <c r="X66" s="235">
        <f t="shared" si="19"/>
        <v>-8.3739805000368506</v>
      </c>
      <c r="Y66" s="235">
        <f t="shared" si="19"/>
        <v>-8.9743074999714736</v>
      </c>
      <c r="Z66" s="235">
        <f t="shared" si="19"/>
        <v>-9.4922934999631252</v>
      </c>
      <c r="AA66" s="235">
        <f t="shared" si="19"/>
        <v>-10.747942000016337</v>
      </c>
    </row>
    <row r="67" spans="18:27" x14ac:dyDescent="0.25">
      <c r="T67" s="235"/>
      <c r="U67" s="235"/>
      <c r="V67" s="235"/>
      <c r="W67" s="235"/>
      <c r="X67" s="235"/>
      <c r="Y67" s="235"/>
      <c r="Z67" s="235"/>
    </row>
    <row r="69" spans="18:27" x14ac:dyDescent="0.25">
      <c r="Y69" s="315"/>
    </row>
    <row r="73" spans="18:27" x14ac:dyDescent="0.25">
      <c r="R73" s="229"/>
      <c r="T73" s="316"/>
      <c r="U73" s="316"/>
      <c r="V73" s="316"/>
      <c r="W73" s="316"/>
      <c r="X73" s="316"/>
      <c r="Y73" s="316"/>
    </row>
    <row r="74" spans="18:27" x14ac:dyDescent="0.25">
      <c r="R74" s="229"/>
      <c r="T74" s="231"/>
      <c r="U74" s="231"/>
      <c r="V74" s="316"/>
      <c r="W74" s="316"/>
      <c r="X74" s="316"/>
      <c r="Y74" s="316"/>
    </row>
    <row r="75" spans="18:27" x14ac:dyDescent="0.25">
      <c r="R75"/>
      <c r="T75" s="316"/>
      <c r="U75" s="316"/>
      <c r="V75" s="316"/>
      <c r="W75" s="316"/>
      <c r="X75" s="316"/>
      <c r="Y75" s="316"/>
    </row>
    <row r="76" spans="18:27" x14ac:dyDescent="0.25">
      <c r="R76"/>
      <c r="T76" s="316"/>
      <c r="U76" s="316"/>
      <c r="V76" s="316"/>
      <c r="W76" s="316"/>
      <c r="X76" s="316"/>
      <c r="Y76" s="316"/>
    </row>
    <row r="77" spans="18:27" x14ac:dyDescent="0.25">
      <c r="R77"/>
      <c r="T77" s="316"/>
      <c r="U77" s="316"/>
      <c r="V77" s="316"/>
      <c r="W77" s="316"/>
      <c r="X77" s="316"/>
      <c r="Y77" s="316"/>
    </row>
    <row r="78" spans="18:27" x14ac:dyDescent="0.25">
      <c r="R78" s="229"/>
      <c r="T78" s="231"/>
      <c r="U78" s="231"/>
      <c r="V78" s="316"/>
      <c r="W78" s="316"/>
      <c r="X78" s="316"/>
      <c r="Y78" s="316"/>
    </row>
    <row r="79" spans="18:27" x14ac:dyDescent="0.25">
      <c r="R79"/>
      <c r="T79" s="316"/>
      <c r="U79" s="316"/>
      <c r="V79" s="316"/>
      <c r="W79" s="316"/>
      <c r="X79" s="316"/>
      <c r="Y79" s="316"/>
    </row>
    <row r="80" spans="18:27" x14ac:dyDescent="0.25">
      <c r="R80"/>
      <c r="T80" s="316"/>
      <c r="U80" s="316"/>
      <c r="V80" s="316"/>
      <c r="W80" s="316"/>
      <c r="X80" s="316"/>
      <c r="Y80" s="316"/>
    </row>
    <row r="81" spans="18:27" x14ac:dyDescent="0.25">
      <c r="R81" s="229"/>
      <c r="T81" s="231"/>
      <c r="U81" s="231"/>
      <c r="V81" s="316"/>
      <c r="W81" s="316"/>
      <c r="X81" s="316"/>
      <c r="Y81" s="316"/>
    </row>
    <row r="82" spans="18:27" x14ac:dyDescent="0.25">
      <c r="R82"/>
      <c r="T82" s="316"/>
      <c r="U82" s="316"/>
      <c r="V82" s="316"/>
      <c r="W82" s="316"/>
      <c r="X82" s="316"/>
      <c r="Y82" s="316"/>
    </row>
    <row r="83" spans="18:27" x14ac:dyDescent="0.25">
      <c r="R83"/>
      <c r="T83" s="316"/>
      <c r="U83" s="316"/>
      <c r="V83" s="316"/>
      <c r="W83" s="316"/>
      <c r="X83" s="316"/>
      <c r="Y83" s="316"/>
    </row>
    <row r="85" spans="18:27" x14ac:dyDescent="0.25">
      <c r="T85" s="233"/>
      <c r="U85" s="233"/>
      <c r="V85" s="233"/>
      <c r="W85" s="233"/>
      <c r="X85" s="233"/>
      <c r="Y85" s="233"/>
      <c r="Z85" s="233"/>
      <c r="AA85" s="18"/>
    </row>
    <row r="86" spans="18:27" x14ac:dyDescent="0.25">
      <c r="T86" s="233"/>
      <c r="U86" s="233"/>
      <c r="V86" s="233"/>
      <c r="W86" s="233"/>
      <c r="X86" s="233"/>
      <c r="Y86" s="233"/>
      <c r="Z86" s="233"/>
      <c r="AA86" s="18"/>
    </row>
    <row r="87" spans="18:27" x14ac:dyDescent="0.25">
      <c r="T87" s="233"/>
      <c r="U87" s="233"/>
      <c r="V87" s="233"/>
      <c r="W87" s="233"/>
      <c r="X87" s="233"/>
      <c r="Y87" s="233"/>
      <c r="Z87" s="233"/>
      <c r="AA87" s="18"/>
    </row>
    <row r="88" spans="18:27" x14ac:dyDescent="0.25">
      <c r="T88" s="233"/>
      <c r="U88" s="233"/>
      <c r="V88" s="233"/>
      <c r="W88" s="233"/>
      <c r="X88" s="233"/>
      <c r="Y88" s="233"/>
      <c r="Z88" s="233"/>
      <c r="AA88" s="317"/>
    </row>
    <row r="90" spans="18:27" x14ac:dyDescent="0.25">
      <c r="T90" s="234"/>
      <c r="U90" s="234"/>
      <c r="V90" s="234"/>
      <c r="W90" s="234"/>
      <c r="X90" s="234"/>
      <c r="Y90" s="234"/>
      <c r="Z90" s="234"/>
    </row>
    <row r="91" spans="18:27" x14ac:dyDescent="0.25">
      <c r="T91" s="233"/>
      <c r="U91" s="233"/>
      <c r="V91" s="233"/>
      <c r="W91" s="233"/>
      <c r="X91" s="233"/>
      <c r="Y91" s="233"/>
    </row>
    <row r="97" spans="20:26" x14ac:dyDescent="0.25">
      <c r="T97" s="227"/>
      <c r="U97" s="227"/>
      <c r="V97" s="227"/>
      <c r="W97" s="227"/>
      <c r="X97" s="227"/>
      <c r="Y97" s="227"/>
      <c r="Z97" s="227"/>
    </row>
  </sheetData>
  <mergeCells count="1">
    <mergeCell ref="M7:M8"/>
  </mergeCells>
  <phoneticPr fontId="28" type="noConversion"/>
  <pageMargins left="0.7" right="0.7" top="0.75" bottom="0.75" header="0.3" footer="0.3"/>
  <pageSetup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3" tint="0.39997558519241921"/>
  </sheetPr>
  <dimension ref="B3:P37"/>
  <sheetViews>
    <sheetView zoomScaleNormal="100" workbookViewId="0">
      <pane xSplit="2" ySplit="3" topLeftCell="C4" activePane="bottomRight" state="frozen"/>
      <selection pane="topRight" activeCell="C1" sqref="C1"/>
      <selection pane="bottomLeft" activeCell="A4" sqref="A4"/>
      <selection pane="bottomRight" activeCell="D19" sqref="D19"/>
    </sheetView>
  </sheetViews>
  <sheetFormatPr defaultRowHeight="12.75" x14ac:dyDescent="0.2"/>
  <cols>
    <col min="1" max="1" width="8.28515625" customWidth="1"/>
    <col min="2" max="2" width="10" bestFit="1" customWidth="1"/>
    <col min="4" max="4" width="12.42578125" customWidth="1"/>
    <col min="5" max="5" width="13.5703125" customWidth="1"/>
    <col min="6" max="6" width="12.7109375" customWidth="1"/>
    <col min="7" max="7" width="13.7109375" customWidth="1"/>
    <col min="9" max="9" width="14" bestFit="1" customWidth="1"/>
    <col min="10" max="10" width="13.42578125" bestFit="1" customWidth="1"/>
    <col min="14" max="14" width="12.85546875" customWidth="1"/>
    <col min="15" max="15" width="14.42578125" customWidth="1"/>
  </cols>
  <sheetData>
    <row r="3" spans="2:16" x14ac:dyDescent="0.2">
      <c r="B3" s="343" t="s">
        <v>398</v>
      </c>
      <c r="D3" t="s">
        <v>3</v>
      </c>
      <c r="E3" t="s">
        <v>4</v>
      </c>
      <c r="F3" t="s">
        <v>47</v>
      </c>
      <c r="G3" t="s">
        <v>330</v>
      </c>
      <c r="I3" t="s">
        <v>331</v>
      </c>
    </row>
    <row r="4" spans="2:16" x14ac:dyDescent="0.2">
      <c r="N4" t="s">
        <v>344</v>
      </c>
      <c r="O4" t="s">
        <v>18</v>
      </c>
    </row>
    <row r="5" spans="2:16" x14ac:dyDescent="0.2">
      <c r="B5" t="s">
        <v>319</v>
      </c>
      <c r="D5" s="247">
        <v>8447318</v>
      </c>
      <c r="E5" s="247">
        <f>1438677+13148368+34627</f>
        <v>14621672</v>
      </c>
      <c r="F5" s="247">
        <f>3216822+5116</f>
        <v>3221938</v>
      </c>
      <c r="G5" s="247">
        <v>220506</v>
      </c>
      <c r="H5" s="247"/>
      <c r="I5" s="247">
        <f>SUM(D5:G5)</f>
        <v>26511434</v>
      </c>
      <c r="N5" s="304">
        <f>I6</f>
        <v>225036.77</v>
      </c>
      <c r="O5" s="247">
        <f>I5</f>
        <v>26511434</v>
      </c>
      <c r="P5">
        <f>N5/O5</f>
        <v>8.4882911275187909E-3</v>
      </c>
    </row>
    <row r="6" spans="2:16" x14ac:dyDescent="0.2">
      <c r="D6" s="246">
        <v>75519.02</v>
      </c>
      <c r="E6" s="246">
        <f>12487.72+69160.42+46698.59</f>
        <v>128346.73</v>
      </c>
      <c r="F6" s="246">
        <f>11966.58+7286.04</f>
        <v>19252.62</v>
      </c>
      <c r="G6" s="246">
        <v>1918.4</v>
      </c>
      <c r="H6" s="246"/>
      <c r="I6" s="391">
        <f>SUM(D6:G6)</f>
        <v>225036.77</v>
      </c>
      <c r="N6" s="304">
        <f>I8</f>
        <v>197361.02</v>
      </c>
      <c r="O6" s="247">
        <f>I7</f>
        <v>30176176</v>
      </c>
      <c r="P6">
        <f t="shared" ref="P6:P16" si="0">N6/O6</f>
        <v>6.5402925804780559E-3</v>
      </c>
    </row>
    <row r="7" spans="2:16" x14ac:dyDescent="0.2">
      <c r="B7" t="s">
        <v>320</v>
      </c>
      <c r="D7" s="247">
        <v>9587361</v>
      </c>
      <c r="E7" s="247">
        <f>1725583+15190321+35502</f>
        <v>16951406</v>
      </c>
      <c r="F7" s="247">
        <f>3449199+5166</f>
        <v>3454365</v>
      </c>
      <c r="G7" s="247">
        <v>183044</v>
      </c>
      <c r="H7" s="247"/>
      <c r="I7" s="247">
        <f t="shared" ref="I7:I28" si="1">SUM(D7:G7)</f>
        <v>30176176</v>
      </c>
      <c r="N7" s="304">
        <f>I10</f>
        <v>170022.84000000003</v>
      </c>
      <c r="O7" s="247">
        <f>I9</f>
        <v>25074269</v>
      </c>
      <c r="P7">
        <f t="shared" si="0"/>
        <v>6.7807695610189083E-3</v>
      </c>
    </row>
    <row r="8" spans="2:16" x14ac:dyDescent="0.2">
      <c r="D8" s="246">
        <v>66152.789999999994</v>
      </c>
      <c r="E8" s="246">
        <f>12130.85+63191.74+38972.2</f>
        <v>114294.79</v>
      </c>
      <c r="F8" s="246">
        <f>11140.91+4491.22</f>
        <v>15632.130000000001</v>
      </c>
      <c r="G8" s="246">
        <v>1281.31</v>
      </c>
      <c r="H8" s="246"/>
      <c r="I8" s="391">
        <f t="shared" si="1"/>
        <v>197361.02</v>
      </c>
      <c r="N8" s="304">
        <f>I12</f>
        <v>171134.9</v>
      </c>
      <c r="O8" s="247">
        <f>I11</f>
        <v>25742026</v>
      </c>
      <c r="P8">
        <f t="shared" si="0"/>
        <v>6.6480742424858087E-3</v>
      </c>
    </row>
    <row r="9" spans="2:16" x14ac:dyDescent="0.2">
      <c r="B9" t="s">
        <v>321</v>
      </c>
      <c r="D9" s="247">
        <v>7524014</v>
      </c>
      <c r="E9" s="247">
        <f>1353927+12934790+35445</f>
        <v>14324162</v>
      </c>
      <c r="F9" s="247">
        <f>3040132+5507</f>
        <v>3045639</v>
      </c>
      <c r="G9" s="247">
        <v>180454</v>
      </c>
      <c r="H9" s="247"/>
      <c r="I9" s="247">
        <f t="shared" si="1"/>
        <v>25074269</v>
      </c>
      <c r="N9" s="304">
        <f>I14</f>
        <v>167479.61000000002</v>
      </c>
      <c r="O9" s="247">
        <f>I13</f>
        <v>24529754</v>
      </c>
      <c r="P9">
        <f t="shared" si="0"/>
        <v>6.8276106641754339E-3</v>
      </c>
    </row>
    <row r="10" spans="2:16" x14ac:dyDescent="0.2">
      <c r="D10" s="246">
        <v>51915.7</v>
      </c>
      <c r="E10" s="246">
        <f>9518.11+53808.73+38909.98</f>
        <v>102236.82</v>
      </c>
      <c r="F10" s="246">
        <f>9819.63+4787.51</f>
        <v>14607.14</v>
      </c>
      <c r="G10" s="246">
        <v>1263.18</v>
      </c>
      <c r="H10" s="246"/>
      <c r="I10" s="391">
        <f t="shared" si="1"/>
        <v>170022.84000000003</v>
      </c>
      <c r="N10" s="304">
        <f>I16</f>
        <v>179486.15</v>
      </c>
      <c r="O10" s="247">
        <f>I15</f>
        <v>26642670</v>
      </c>
      <c r="P10">
        <f t="shared" si="0"/>
        <v>6.7367928965077449E-3</v>
      </c>
    </row>
    <row r="11" spans="2:16" x14ac:dyDescent="0.2">
      <c r="B11" t="s">
        <v>322</v>
      </c>
      <c r="D11" s="247">
        <v>7105590</v>
      </c>
      <c r="E11" s="247">
        <f>1280101+13864919+35234</f>
        <v>15180254</v>
      </c>
      <c r="F11" s="247">
        <f>3297768+5786</f>
        <v>3303554</v>
      </c>
      <c r="G11" s="247">
        <v>152628</v>
      </c>
      <c r="H11" s="247"/>
      <c r="I11" s="247">
        <f t="shared" si="1"/>
        <v>25742026</v>
      </c>
      <c r="N11" s="304">
        <f>I18</f>
        <v>189845.87</v>
      </c>
      <c r="O11" s="247">
        <f>I17</f>
        <v>28170605</v>
      </c>
      <c r="P11">
        <f t="shared" si="0"/>
        <v>6.7391477747815497E-3</v>
      </c>
    </row>
    <row r="12" spans="2:16" x14ac:dyDescent="0.2">
      <c r="D12" s="246">
        <v>49028.57</v>
      </c>
      <c r="E12" s="246">
        <f>8999.11+57678.06+38678.58</f>
        <v>105355.75</v>
      </c>
      <c r="F12" s="246">
        <f>10651.79+5030.39</f>
        <v>15682.18</v>
      </c>
      <c r="G12" s="246">
        <v>1068.4000000000001</v>
      </c>
      <c r="H12" s="246"/>
      <c r="I12" s="391">
        <f t="shared" si="1"/>
        <v>171134.9</v>
      </c>
      <c r="N12" s="304">
        <f>I20</f>
        <v>214760.9</v>
      </c>
      <c r="O12" s="247">
        <f>I19</f>
        <v>32435104</v>
      </c>
      <c r="P12">
        <f t="shared" si="0"/>
        <v>6.6212490023155159E-3</v>
      </c>
    </row>
    <row r="13" spans="2:16" x14ac:dyDescent="0.2">
      <c r="B13" t="s">
        <v>304</v>
      </c>
      <c r="D13" s="247">
        <v>6240450</v>
      </c>
      <c r="E13" s="247">
        <f>1113883+13436081+38258</f>
        <v>14588222</v>
      </c>
      <c r="F13" s="247">
        <f>3556416+7187</f>
        <v>3563603</v>
      </c>
      <c r="G13" s="247">
        <v>137479</v>
      </c>
      <c r="H13" s="247"/>
      <c r="I13" s="247">
        <f t="shared" si="1"/>
        <v>24529754</v>
      </c>
      <c r="N13" s="304">
        <f>I22</f>
        <v>0</v>
      </c>
      <c r="O13" s="247">
        <f>I21</f>
        <v>0</v>
      </c>
      <c r="P13" t="e">
        <f t="shared" si="0"/>
        <v>#DIV/0!</v>
      </c>
    </row>
    <row r="14" spans="2:16" x14ac:dyDescent="0.2">
      <c r="D14" s="246">
        <v>43059.1</v>
      </c>
      <c r="E14" s="246">
        <f>7830.6+55894.1+41998.1</f>
        <v>105722.79999999999</v>
      </c>
      <c r="F14" s="246">
        <f>11487.22+6248.14</f>
        <v>17735.36</v>
      </c>
      <c r="G14" s="246">
        <v>962.35</v>
      </c>
      <c r="H14" s="246"/>
      <c r="I14" s="391">
        <f t="shared" si="1"/>
        <v>167479.61000000002</v>
      </c>
      <c r="N14" s="304">
        <f>I24</f>
        <v>0</v>
      </c>
      <c r="O14" s="247">
        <f>I23</f>
        <v>0</v>
      </c>
      <c r="P14" t="e">
        <f t="shared" si="0"/>
        <v>#DIV/0!</v>
      </c>
    </row>
    <row r="15" spans="2:16" x14ac:dyDescent="0.2">
      <c r="B15" t="s">
        <v>323</v>
      </c>
      <c r="D15" s="247">
        <v>6537329</v>
      </c>
      <c r="E15" s="247">
        <f>1213385+14708903+40645</f>
        <v>15962933</v>
      </c>
      <c r="F15" s="247">
        <f>4011987+7155</f>
        <v>4019142</v>
      </c>
      <c r="G15" s="247">
        <v>123266</v>
      </c>
      <c r="H15" s="247"/>
      <c r="I15" s="247">
        <f t="shared" si="1"/>
        <v>26642670</v>
      </c>
      <c r="N15" s="304">
        <f>I26</f>
        <v>0</v>
      </c>
      <c r="O15" s="247">
        <f>I25</f>
        <v>0</v>
      </c>
      <c r="P15" t="e">
        <f t="shared" si="0"/>
        <v>#DIV/0!</v>
      </c>
    </row>
    <row r="16" spans="2:16" x14ac:dyDescent="0.2">
      <c r="D16" s="246">
        <v>45107.57</v>
      </c>
      <c r="E16" s="246">
        <f>8530.1+61189.04+44617.54</f>
        <v>114336.68</v>
      </c>
      <c r="F16" s="246">
        <f>12958.72+6220.32</f>
        <v>19179.04</v>
      </c>
      <c r="G16" s="246">
        <v>862.86</v>
      </c>
      <c r="H16" s="246"/>
      <c r="I16" s="391">
        <f t="shared" si="1"/>
        <v>179486.15</v>
      </c>
      <c r="N16" s="304">
        <f>I28</f>
        <v>0</v>
      </c>
      <c r="O16" s="247">
        <f>I27</f>
        <v>0</v>
      </c>
      <c r="P16" s="310" t="e">
        <f t="shared" si="0"/>
        <v>#DIV/0!</v>
      </c>
    </row>
    <row r="17" spans="2:15" x14ac:dyDescent="0.2">
      <c r="B17" t="s">
        <v>324</v>
      </c>
      <c r="D17" s="247">
        <v>7167458</v>
      </c>
      <c r="E17" s="247">
        <f>1281308+15335852+41868</f>
        <v>16659028</v>
      </c>
      <c r="F17" s="247">
        <f>4203688+8191</f>
        <v>4211879</v>
      </c>
      <c r="G17" s="247">
        <v>132240</v>
      </c>
      <c r="H17" s="247"/>
      <c r="I17" s="247">
        <f t="shared" si="1"/>
        <v>28170605</v>
      </c>
      <c r="N17" s="231">
        <f>SUM(N5:N16)</f>
        <v>1515128.06</v>
      </c>
      <c r="O17" s="305">
        <f>SUM(O5:O16)</f>
        <v>219282038</v>
      </c>
    </row>
    <row r="18" spans="2:15" x14ac:dyDescent="0.2">
      <c r="D18" s="246">
        <v>49455.46</v>
      </c>
      <c r="E18" s="246">
        <f>9007.6+63797.14+45960.9</f>
        <v>118765.64000000001</v>
      </c>
      <c r="F18" s="246">
        <f>13577.91+7121.18</f>
        <v>20699.09</v>
      </c>
      <c r="G18" s="246">
        <v>925.68</v>
      </c>
      <c r="H18" s="246"/>
      <c r="I18" s="391">
        <f t="shared" si="1"/>
        <v>189845.87</v>
      </c>
      <c r="O18">
        <f>N17/O17</f>
        <v>6.9094946116836078E-3</v>
      </c>
    </row>
    <row r="19" spans="2:15" x14ac:dyDescent="0.2">
      <c r="B19" t="s">
        <v>325</v>
      </c>
      <c r="D19" s="247">
        <v>9080306</v>
      </c>
      <c r="E19" s="247">
        <f>1502442+17455538</f>
        <v>18957980</v>
      </c>
      <c r="F19" s="247">
        <v>4248049</v>
      </c>
      <c r="G19" s="247">
        <v>148769</v>
      </c>
      <c r="H19" s="247"/>
      <c r="I19" s="247">
        <f t="shared" si="1"/>
        <v>32435104</v>
      </c>
    </row>
    <row r="20" spans="2:15" x14ac:dyDescent="0.2">
      <c r="D20" s="246">
        <v>62654.11</v>
      </c>
      <c r="E20" s="246">
        <f>10562.17+72615.04+47461.9</f>
        <v>130639.10999999999</v>
      </c>
      <c r="F20" s="246">
        <f>13721.19+6705.1</f>
        <v>20426.29</v>
      </c>
      <c r="G20" s="246">
        <v>1041.3900000000001</v>
      </c>
      <c r="H20" s="246"/>
      <c r="I20" s="246">
        <f t="shared" si="1"/>
        <v>214760.9</v>
      </c>
      <c r="J20" s="305">
        <f>SUM((I5,I7,I9,I11,I13,I15,I17,I19))</f>
        <v>219282038</v>
      </c>
    </row>
    <row r="21" spans="2:15" x14ac:dyDescent="0.2">
      <c r="B21" t="s">
        <v>326</v>
      </c>
      <c r="D21" s="247"/>
      <c r="E21" s="247"/>
      <c r="F21" s="247"/>
      <c r="G21" s="247"/>
      <c r="H21" s="247"/>
      <c r="I21" s="247">
        <f t="shared" si="1"/>
        <v>0</v>
      </c>
    </row>
    <row r="22" spans="2:15" x14ac:dyDescent="0.2">
      <c r="D22" s="246"/>
      <c r="E22" s="246"/>
      <c r="F22" s="246"/>
      <c r="G22" s="246"/>
      <c r="H22" s="246"/>
      <c r="I22" s="246">
        <f t="shared" si="1"/>
        <v>0</v>
      </c>
    </row>
    <row r="23" spans="2:15" x14ac:dyDescent="0.2">
      <c r="B23" t="s">
        <v>327</v>
      </c>
      <c r="D23" s="247"/>
      <c r="E23" s="247"/>
      <c r="F23" s="247"/>
      <c r="G23" s="247"/>
      <c r="H23" s="247"/>
      <c r="I23" s="247">
        <f t="shared" si="1"/>
        <v>0</v>
      </c>
    </row>
    <row r="24" spans="2:15" x14ac:dyDescent="0.2">
      <c r="D24" s="246"/>
      <c r="E24" s="387"/>
      <c r="F24" s="246"/>
      <c r="G24" s="246"/>
      <c r="H24" s="246"/>
      <c r="I24" s="246">
        <f t="shared" si="1"/>
        <v>0</v>
      </c>
    </row>
    <row r="25" spans="2:15" x14ac:dyDescent="0.2">
      <c r="B25" t="s">
        <v>328</v>
      </c>
      <c r="D25" s="247"/>
      <c r="E25" s="247"/>
      <c r="F25" s="247"/>
      <c r="G25" s="247"/>
      <c r="H25" s="247"/>
      <c r="I25" s="247">
        <f t="shared" si="1"/>
        <v>0</v>
      </c>
    </row>
    <row r="26" spans="2:15" x14ac:dyDescent="0.2">
      <c r="D26" s="246"/>
      <c r="E26" s="246"/>
      <c r="F26" s="246"/>
      <c r="G26" s="246"/>
      <c r="H26" s="246"/>
      <c r="I26" s="246">
        <f t="shared" si="1"/>
        <v>0</v>
      </c>
    </row>
    <row r="27" spans="2:15" x14ac:dyDescent="0.2">
      <c r="B27" t="s">
        <v>329</v>
      </c>
      <c r="D27" s="247"/>
      <c r="E27" s="247"/>
      <c r="F27" s="247"/>
      <c r="G27" s="247"/>
      <c r="H27" s="247"/>
      <c r="I27" s="247">
        <f t="shared" si="1"/>
        <v>0</v>
      </c>
    </row>
    <row r="28" spans="2:15" x14ac:dyDescent="0.2">
      <c r="D28" s="246"/>
      <c r="E28" s="246"/>
      <c r="F28" s="246"/>
      <c r="G28" s="246"/>
      <c r="H28" s="246"/>
      <c r="I28" s="246">
        <f t="shared" si="1"/>
        <v>0</v>
      </c>
    </row>
    <row r="32" spans="2:15" x14ac:dyDescent="0.2">
      <c r="D32" s="389" t="s">
        <v>487</v>
      </c>
      <c r="E32" s="365"/>
      <c r="F32" s="365"/>
      <c r="G32" s="365"/>
      <c r="H32" s="365"/>
      <c r="I32" s="365"/>
    </row>
    <row r="35" spans="4:4" x14ac:dyDescent="0.2">
      <c r="D35" s="362"/>
    </row>
    <row r="37" spans="4:4" x14ac:dyDescent="0.2">
      <c r="D37" s="343" t="s">
        <v>400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39997558519241921"/>
  </sheetPr>
  <dimension ref="B3:P37"/>
  <sheetViews>
    <sheetView zoomScaleNormal="100" workbookViewId="0">
      <pane xSplit="2" ySplit="3" topLeftCell="C4" activePane="bottomRight" state="frozen"/>
      <selection pane="topRight" activeCell="C1" sqref="C1"/>
      <selection pane="bottomLeft" activeCell="A4" sqref="A4"/>
      <selection pane="bottomRight" activeCell="D31" sqref="D31"/>
    </sheetView>
  </sheetViews>
  <sheetFormatPr defaultRowHeight="12.75" x14ac:dyDescent="0.2"/>
  <cols>
    <col min="1" max="1" width="3.42578125" customWidth="1"/>
    <col min="2" max="2" width="10" bestFit="1" customWidth="1"/>
    <col min="4" max="4" width="16.5703125" customWidth="1"/>
    <col min="5" max="5" width="13.5703125" customWidth="1"/>
    <col min="6" max="6" width="12.7109375" customWidth="1"/>
    <col min="7" max="7" width="13.7109375" customWidth="1"/>
    <col min="9" max="9" width="14" bestFit="1" customWidth="1"/>
    <col min="10" max="10" width="13.42578125" bestFit="1" customWidth="1"/>
    <col min="14" max="14" width="12.85546875" customWidth="1"/>
    <col min="15" max="15" width="14.42578125" customWidth="1"/>
  </cols>
  <sheetData>
    <row r="3" spans="2:16" x14ac:dyDescent="0.2">
      <c r="B3" s="343" t="s">
        <v>397</v>
      </c>
      <c r="D3" t="s">
        <v>3</v>
      </c>
      <c r="E3" t="s">
        <v>4</v>
      </c>
      <c r="F3" t="s">
        <v>47</v>
      </c>
      <c r="G3" t="s">
        <v>330</v>
      </c>
      <c r="I3" t="s">
        <v>331</v>
      </c>
    </row>
    <row r="4" spans="2:16" x14ac:dyDescent="0.2">
      <c r="N4" t="s">
        <v>344</v>
      </c>
      <c r="O4" t="s">
        <v>18</v>
      </c>
    </row>
    <row r="5" spans="2:16" x14ac:dyDescent="0.2">
      <c r="B5" t="s">
        <v>319</v>
      </c>
      <c r="D5" s="247">
        <v>8424602</v>
      </c>
      <c r="E5" s="247">
        <f>1398478+12958256+31545</f>
        <v>14388279</v>
      </c>
      <c r="F5" s="247">
        <f>3346479+5126</f>
        <v>3351605</v>
      </c>
      <c r="G5" s="247">
        <f>226136</f>
        <v>226136</v>
      </c>
      <c r="H5" s="247"/>
      <c r="I5" s="247">
        <f>SUM(D5:G5)</f>
        <v>26390622</v>
      </c>
      <c r="N5" s="304">
        <f>I6</f>
        <v>219875.04</v>
      </c>
      <c r="O5" s="247">
        <f>I5</f>
        <v>26390622</v>
      </c>
      <c r="P5">
        <f>N5/O5</f>
        <v>8.3315595971932763E-3</v>
      </c>
    </row>
    <row r="6" spans="2:16" x14ac:dyDescent="0.2">
      <c r="D6" s="246">
        <v>75315.94</v>
      </c>
      <c r="E6" s="246">
        <f>12138.79+68160.43+42542.07</f>
        <v>122841.29000000001</v>
      </c>
      <c r="F6" s="246">
        <f>12448.9+7301.53</f>
        <v>19750.43</v>
      </c>
      <c r="G6" s="246">
        <f>1967.38</f>
        <v>1967.38</v>
      </c>
      <c r="H6" s="246"/>
      <c r="I6" s="246">
        <f>SUM(D6:G6)</f>
        <v>219875.04</v>
      </c>
      <c r="N6" s="304">
        <f>I8</f>
        <v>231924.30000000002</v>
      </c>
      <c r="O6" s="247">
        <f>I7</f>
        <v>27881249</v>
      </c>
      <c r="P6">
        <f t="shared" ref="P6:P16" si="0">N6/O6</f>
        <v>8.3182894711782817E-3</v>
      </c>
    </row>
    <row r="7" spans="2:16" x14ac:dyDescent="0.2">
      <c r="B7" t="s">
        <v>320</v>
      </c>
      <c r="D7" s="247">
        <v>8925378</v>
      </c>
      <c r="E7" s="247">
        <f>1545420+13903051+33029</f>
        <v>15481500</v>
      </c>
      <c r="F7" s="247">
        <f>3281567+5057</f>
        <v>3286624</v>
      </c>
      <c r="G7" s="247">
        <f>187747</f>
        <v>187747</v>
      </c>
      <c r="H7" s="247"/>
      <c r="I7" s="247">
        <f t="shared" ref="I7:I28" si="1">SUM(D7:G7)</f>
        <v>27881249</v>
      </c>
      <c r="N7" s="304">
        <f>I10</f>
        <v>213505.73</v>
      </c>
      <c r="O7" s="247">
        <f>I9</f>
        <v>25010098</v>
      </c>
      <c r="P7">
        <f t="shared" si="0"/>
        <v>8.5367810234090249E-3</v>
      </c>
    </row>
    <row r="8" spans="2:16" x14ac:dyDescent="0.2">
      <c r="D8" s="246">
        <v>79792.88</v>
      </c>
      <c r="E8" s="246">
        <f>13414.25+73130.05+44543.21</f>
        <v>131087.51</v>
      </c>
      <c r="F8" s="246">
        <f>12207.43+7203.08</f>
        <v>19410.510000000002</v>
      </c>
      <c r="G8" s="246">
        <f>1633.4</f>
        <v>1633.4</v>
      </c>
      <c r="H8" s="246"/>
      <c r="I8" s="246">
        <f t="shared" si="1"/>
        <v>231924.30000000002</v>
      </c>
      <c r="N8" s="304">
        <f>I12</f>
        <v>214301.94999999998</v>
      </c>
      <c r="O8" s="247">
        <f>I11</f>
        <v>25365606</v>
      </c>
      <c r="P8">
        <f t="shared" si="0"/>
        <v>8.4485247464618028E-3</v>
      </c>
    </row>
    <row r="9" spans="2:16" x14ac:dyDescent="0.2">
      <c r="B9" t="s">
        <v>321</v>
      </c>
      <c r="D9" s="247">
        <v>7639603</v>
      </c>
      <c r="E9" s="247">
        <f>1329438+12823981+34001</f>
        <v>14187420</v>
      </c>
      <c r="F9" s="247">
        <f>2992526+5348</f>
        <v>2997874</v>
      </c>
      <c r="G9" s="247">
        <v>185201</v>
      </c>
      <c r="H9" s="247"/>
      <c r="I9" s="247">
        <f t="shared" si="1"/>
        <v>25010098</v>
      </c>
      <c r="N9" s="304">
        <f>I14</f>
        <v>202571.22999999998</v>
      </c>
      <c r="O9" s="247">
        <f>I13</f>
        <v>23475129</v>
      </c>
      <c r="P9">
        <f t="shared" si="0"/>
        <v>8.6291849557035439E-3</v>
      </c>
    </row>
    <row r="10" spans="2:16" x14ac:dyDescent="0.2">
      <c r="D10" s="246">
        <f>68298.05</f>
        <v>68298.05</v>
      </c>
      <c r="E10" s="246">
        <f>11539.52+67454.14+45854.1</f>
        <v>124847.76000000001</v>
      </c>
      <c r="F10" s="246">
        <f>11132.2+7616.47</f>
        <v>18748.670000000002</v>
      </c>
      <c r="G10" s="246">
        <v>1611.25</v>
      </c>
      <c r="H10" s="246"/>
      <c r="I10" s="246">
        <f t="shared" si="1"/>
        <v>213505.73</v>
      </c>
      <c r="N10" s="304">
        <f>I16</f>
        <v>226618.97999999998</v>
      </c>
      <c r="O10" s="247">
        <f>I15</f>
        <v>26735350</v>
      </c>
      <c r="P10">
        <f t="shared" si="0"/>
        <v>8.4763797743437046E-3</v>
      </c>
    </row>
    <row r="11" spans="2:16" x14ac:dyDescent="0.2">
      <c r="B11" t="s">
        <v>322</v>
      </c>
      <c r="D11" s="247">
        <f>6840684</f>
        <v>6840684</v>
      </c>
      <c r="E11" s="247">
        <f>1215105+13600316+35530</f>
        <v>14850951</v>
      </c>
      <c r="F11" s="247">
        <f>3511490+6124</f>
        <v>3517614</v>
      </c>
      <c r="G11" s="247">
        <v>156357</v>
      </c>
      <c r="H11" s="247"/>
      <c r="I11" s="247">
        <f t="shared" si="1"/>
        <v>25365606</v>
      </c>
      <c r="N11" s="304">
        <f>I18</f>
        <v>246470.47</v>
      </c>
      <c r="O11" s="247">
        <f>I17</f>
        <v>28883796</v>
      </c>
      <c r="P11">
        <f t="shared" si="0"/>
        <v>8.5331744484000646E-3</v>
      </c>
    </row>
    <row r="12" spans="2:16" x14ac:dyDescent="0.2">
      <c r="D12" s="246">
        <f>61155.72</f>
        <v>61155.72</v>
      </c>
      <c r="E12" s="246">
        <f>10547.11+71537.66+47915.31</f>
        <v>130000.08</v>
      </c>
      <c r="F12" s="246">
        <f>13062.74+8723.1</f>
        <v>21785.84</v>
      </c>
      <c r="G12" s="246">
        <v>1360.31</v>
      </c>
      <c r="H12" s="246"/>
      <c r="I12" s="246">
        <f t="shared" si="1"/>
        <v>214301.94999999998</v>
      </c>
      <c r="N12" s="304">
        <f>I20</f>
        <v>253008.46000000002</v>
      </c>
      <c r="O12" s="247">
        <f>I19</f>
        <v>30340993</v>
      </c>
      <c r="P12">
        <f t="shared" si="0"/>
        <v>8.3388325490863138E-3</v>
      </c>
    </row>
    <row r="13" spans="2:16" x14ac:dyDescent="0.2">
      <c r="B13" t="s">
        <v>304</v>
      </c>
      <c r="D13" s="247">
        <f>6038586</f>
        <v>6038586</v>
      </c>
      <c r="E13" s="247">
        <f>1105751+12735795+35651</f>
        <v>13877197</v>
      </c>
      <c r="F13" s="247">
        <f>3411362+7023</f>
        <v>3418385</v>
      </c>
      <c r="G13" s="247">
        <f>140961</f>
        <v>140961</v>
      </c>
      <c r="H13" s="247"/>
      <c r="I13" s="247">
        <f t="shared" si="1"/>
        <v>23475129</v>
      </c>
      <c r="N13" s="304">
        <f>I22</f>
        <v>269943.67999999999</v>
      </c>
      <c r="O13" s="247">
        <f>I21</f>
        <v>31738613</v>
      </c>
      <c r="P13">
        <f t="shared" si="0"/>
        <v>8.5052135075971962E-3</v>
      </c>
    </row>
    <row r="14" spans="2:16" x14ac:dyDescent="0.2">
      <c r="D14" s="246">
        <f>53984.96</f>
        <v>53984.959999999999</v>
      </c>
      <c r="E14" s="246">
        <f>9597.92+66990.28+48078.98</f>
        <v>124667.18</v>
      </c>
      <c r="F14" s="246">
        <f>12690.27+10002.46</f>
        <v>22692.73</v>
      </c>
      <c r="G14" s="246">
        <v>1226.3599999999999</v>
      </c>
      <c r="H14" s="246"/>
      <c r="I14" s="246">
        <f t="shared" si="1"/>
        <v>202571.22999999998</v>
      </c>
      <c r="N14" s="304">
        <f>I24</f>
        <v>223476.68000000002</v>
      </c>
      <c r="O14" s="247">
        <f>I23</f>
        <v>26044313</v>
      </c>
      <c r="P14">
        <f t="shared" si="0"/>
        <v>8.5806325549842698E-3</v>
      </c>
    </row>
    <row r="15" spans="2:16" x14ac:dyDescent="0.2">
      <c r="B15" t="s">
        <v>323</v>
      </c>
      <c r="D15" s="247">
        <f>6483490</f>
        <v>6483490</v>
      </c>
      <c r="E15" s="247">
        <f>1242330+14653169+39238</f>
        <v>15934737</v>
      </c>
      <c r="F15" s="247">
        <f>4183145+7879</f>
        <v>4191024</v>
      </c>
      <c r="G15" s="247">
        <f>126099</f>
        <v>126099</v>
      </c>
      <c r="H15" s="247"/>
      <c r="I15" s="247">
        <f t="shared" si="1"/>
        <v>26735350</v>
      </c>
      <c r="N15" s="304">
        <f>I26</f>
        <v>216523.06</v>
      </c>
      <c r="O15" s="247">
        <f>I25</f>
        <v>25547820</v>
      </c>
      <c r="P15">
        <f t="shared" si="0"/>
        <v>8.475206886536699E-3</v>
      </c>
    </row>
    <row r="16" spans="2:16" x14ac:dyDescent="0.2">
      <c r="D16" s="246">
        <f>57962.4</f>
        <v>57962.400000000001</v>
      </c>
      <c r="E16" s="246">
        <f>10783.42+77075.67+52917.01</f>
        <v>140776.1</v>
      </c>
      <c r="F16" s="246">
        <f>15561.3+11222.12</f>
        <v>26783.42</v>
      </c>
      <c r="G16" s="246">
        <v>1097.06</v>
      </c>
      <c r="H16" s="246"/>
      <c r="I16" s="246">
        <f t="shared" si="1"/>
        <v>226618.97999999998</v>
      </c>
      <c r="N16" s="304">
        <f>I28</f>
        <v>216132.27000000002</v>
      </c>
      <c r="O16" s="247">
        <f>I27</f>
        <v>25523019</v>
      </c>
      <c r="P16" s="310">
        <f t="shared" si="0"/>
        <v>8.4681310623950876E-3</v>
      </c>
    </row>
    <row r="17" spans="2:15" x14ac:dyDescent="0.2">
      <c r="B17" t="s">
        <v>324</v>
      </c>
      <c r="D17" s="247">
        <f>7914981</f>
        <v>7914981</v>
      </c>
      <c r="E17" s="247">
        <f>1343504+15222988+40981</f>
        <v>16607473</v>
      </c>
      <c r="F17" s="247">
        <f>4217319+8313</f>
        <v>4225632</v>
      </c>
      <c r="G17" s="247">
        <v>135710</v>
      </c>
      <c r="H17" s="247"/>
      <c r="I17" s="247">
        <f t="shared" si="1"/>
        <v>28883796</v>
      </c>
      <c r="N17" s="231"/>
      <c r="O17" s="305"/>
    </row>
    <row r="18" spans="2:15" x14ac:dyDescent="0.2">
      <c r="D18" s="246">
        <f>70759.93</f>
        <v>70759.929999999993</v>
      </c>
      <c r="E18" s="246">
        <f>11661.61+80072.92+55266.3</f>
        <v>147000.83000000002</v>
      </c>
      <c r="F18" s="246">
        <f>15688.43+11840.6</f>
        <v>27529.03</v>
      </c>
      <c r="G18" s="246">
        <v>1180.68</v>
      </c>
      <c r="H18" s="246"/>
      <c r="I18" s="246">
        <f t="shared" si="1"/>
        <v>246470.47</v>
      </c>
    </row>
    <row r="19" spans="2:15" x14ac:dyDescent="0.2">
      <c r="B19" t="s">
        <v>325</v>
      </c>
      <c r="D19" s="247">
        <v>8095373</v>
      </c>
      <c r="E19" s="247">
        <f>1410864+16139404+40047</f>
        <v>17590315</v>
      </c>
      <c r="F19" s="247">
        <f>4493771+8029</f>
        <v>4501800</v>
      </c>
      <c r="G19" s="247">
        <f>153505</f>
        <v>153505</v>
      </c>
      <c r="H19" s="247"/>
      <c r="I19" s="247">
        <f t="shared" si="1"/>
        <v>30340993</v>
      </c>
    </row>
    <row r="20" spans="2:15" x14ac:dyDescent="0.2">
      <c r="D20" s="246">
        <v>72372.63</v>
      </c>
      <c r="E20" s="246">
        <f>12246.3+84893.27+54007.69</f>
        <v>151147.26</v>
      </c>
      <c r="F20" s="246">
        <f>16716.83+11436.25</f>
        <v>28153.08</v>
      </c>
      <c r="G20" s="246">
        <f>1335.49</f>
        <v>1335.49</v>
      </c>
      <c r="H20" s="246"/>
      <c r="I20" s="246">
        <f t="shared" si="1"/>
        <v>253008.46000000002</v>
      </c>
      <c r="J20" s="305"/>
    </row>
    <row r="21" spans="2:15" x14ac:dyDescent="0.2">
      <c r="B21" t="s">
        <v>326</v>
      </c>
      <c r="D21" s="247">
        <v>8898215</v>
      </c>
      <c r="E21" s="247">
        <f>1431188+16921213+43959</f>
        <v>18396360</v>
      </c>
      <c r="F21" s="247">
        <f>4265080+8660</f>
        <v>4273740</v>
      </c>
      <c r="G21" s="247">
        <v>170298</v>
      </c>
      <c r="H21" s="247"/>
      <c r="I21" s="247">
        <f t="shared" si="1"/>
        <v>31738613</v>
      </c>
    </row>
    <row r="22" spans="2:15" x14ac:dyDescent="0.2">
      <c r="D22" s="246">
        <v>79550.039999999994</v>
      </c>
      <c r="E22" s="246">
        <f>12422.71+89005.58+59282.54</f>
        <v>160710.83000000002</v>
      </c>
      <c r="F22" s="246">
        <f>15866.1+12335.12</f>
        <v>28201.22</v>
      </c>
      <c r="G22" s="246">
        <v>1481.59</v>
      </c>
      <c r="H22" s="246"/>
      <c r="I22" s="246">
        <f t="shared" si="1"/>
        <v>269943.67999999999</v>
      </c>
    </row>
    <row r="23" spans="2:15" x14ac:dyDescent="0.2">
      <c r="B23" t="s">
        <v>327</v>
      </c>
      <c r="D23" s="247">
        <v>6339454</v>
      </c>
      <c r="E23" s="247">
        <f>1174760+14478578+40161</f>
        <v>15693499</v>
      </c>
      <c r="F23" s="247">
        <f>3804711+7301</f>
        <v>3812012</v>
      </c>
      <c r="G23" s="247">
        <v>199348</v>
      </c>
      <c r="H23" s="247"/>
      <c r="I23" s="247">
        <f t="shared" si="1"/>
        <v>26044313</v>
      </c>
    </row>
    <row r="24" spans="2:15" x14ac:dyDescent="0.2">
      <c r="D24" s="246">
        <v>56674.720000000001</v>
      </c>
      <c r="E24" s="387">
        <f>10196.92+76157.32+54161.34</f>
        <v>140515.58000000002</v>
      </c>
      <c r="F24" s="246">
        <f>14153.52+10398.53</f>
        <v>24552.050000000003</v>
      </c>
      <c r="G24" s="246">
        <v>1734.33</v>
      </c>
      <c r="H24" s="246"/>
      <c r="I24" s="246">
        <f t="shared" si="1"/>
        <v>223476.68000000002</v>
      </c>
    </row>
    <row r="25" spans="2:15" x14ac:dyDescent="0.2">
      <c r="B25" t="s">
        <v>328</v>
      </c>
      <c r="D25" s="247">
        <v>6674566</v>
      </c>
      <c r="E25" s="247">
        <f>1212490+13895934+36522</f>
        <v>15144946</v>
      </c>
      <c r="F25" s="247">
        <f>3510301+6376</f>
        <v>3516677</v>
      </c>
      <c r="G25" s="247">
        <v>211631</v>
      </c>
      <c r="H25" s="247"/>
      <c r="I25" s="247">
        <f t="shared" si="1"/>
        <v>25547820</v>
      </c>
    </row>
    <row r="26" spans="2:15" x14ac:dyDescent="0.2">
      <c r="D26" s="246">
        <v>59670.62</v>
      </c>
      <c r="E26" s="246">
        <f>10524.41+73092.61+49254.12</f>
        <v>132871.14000000001</v>
      </c>
      <c r="F26" s="246">
        <f>13058.32+9081.79</f>
        <v>22140.11</v>
      </c>
      <c r="G26" s="246">
        <v>1841.19</v>
      </c>
      <c r="H26" s="246"/>
      <c r="I26" s="246">
        <f t="shared" si="1"/>
        <v>216523.06</v>
      </c>
    </row>
    <row r="27" spans="2:15" x14ac:dyDescent="0.2">
      <c r="B27" t="s">
        <v>329</v>
      </c>
      <c r="D27" s="247">
        <v>7381315</v>
      </c>
      <c r="E27" s="247">
        <f>1337799+13305536+34562</f>
        <v>14677897</v>
      </c>
      <c r="F27" s="247">
        <f>3229575+5568</f>
        <v>3235143</v>
      </c>
      <c r="G27" s="247">
        <v>228664</v>
      </c>
      <c r="H27" s="247"/>
      <c r="I27" s="247">
        <f t="shared" si="1"/>
        <v>25523019</v>
      </c>
    </row>
    <row r="28" spans="2:15" x14ac:dyDescent="0.2">
      <c r="D28" s="246">
        <v>65988.960000000006</v>
      </c>
      <c r="E28" s="246">
        <f>11612.1+69987.12+46609.96</f>
        <v>128209.18</v>
      </c>
      <c r="F28" s="246">
        <f>12014.02+7930.73</f>
        <v>19944.75</v>
      </c>
      <c r="G28" s="246">
        <v>1989.38</v>
      </c>
      <c r="H28" s="246"/>
      <c r="I28" s="246">
        <f t="shared" si="1"/>
        <v>216132.27000000002</v>
      </c>
    </row>
    <row r="30" spans="2:15" x14ac:dyDescent="0.2">
      <c r="D30" s="305">
        <f>SUM(D5,D7,D9,D11,D13,D15,D17,D19,D21,D23,D25,D27)</f>
        <v>89656247</v>
      </c>
      <c r="E30" s="305">
        <f t="shared" ref="E30:I30" si="2">SUM(E5,E7,E9,E11,E13,E15,E17,E19,E21,E23,E25,E27)</f>
        <v>186830574</v>
      </c>
      <c r="F30" s="305">
        <f t="shared" si="2"/>
        <v>44328130</v>
      </c>
      <c r="G30" s="305">
        <f t="shared" si="2"/>
        <v>2121657</v>
      </c>
      <c r="H30" s="305"/>
      <c r="I30" s="305">
        <f t="shared" si="2"/>
        <v>322936608</v>
      </c>
    </row>
    <row r="31" spans="2:15" x14ac:dyDescent="0.2">
      <c r="D31" s="231">
        <f>SUM(D6,D8,D10,D12,D14,D16,D18,D20,D22,D24,D26,D28)</f>
        <v>801526.85</v>
      </c>
      <c r="E31" s="231">
        <f t="shared" ref="E31:I31" si="3">SUM(E6,E8,E10,E12,E14,E16,E18,E20,E22,E24,E26,E28)</f>
        <v>1634674.74</v>
      </c>
      <c r="F31" s="231">
        <f t="shared" si="3"/>
        <v>279691.84000000003</v>
      </c>
      <c r="G31" s="231">
        <f t="shared" si="3"/>
        <v>18458.420000000002</v>
      </c>
      <c r="H31" s="231"/>
      <c r="I31" s="231">
        <f t="shared" si="3"/>
        <v>2734351.85</v>
      </c>
    </row>
    <row r="32" spans="2:15" x14ac:dyDescent="0.2">
      <c r="D32" s="239"/>
    </row>
    <row r="35" spans="4:4" x14ac:dyDescent="0.2">
      <c r="D35" s="362"/>
    </row>
    <row r="37" spans="4:4" x14ac:dyDescent="0.2">
      <c r="D37" s="343" t="s">
        <v>399</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70C0"/>
  </sheetPr>
  <dimension ref="B3:P31"/>
  <sheetViews>
    <sheetView zoomScale="90" zoomScaleNormal="90" workbookViewId="0">
      <pane xSplit="2" ySplit="3" topLeftCell="C4" activePane="bottomRight" state="frozen"/>
      <selection activeCell="P48" sqref="P48"/>
      <selection pane="topRight" activeCell="P48" sqref="P48"/>
      <selection pane="bottomLeft" activeCell="P48" sqref="P48"/>
      <selection pane="bottomRight" activeCell="N5" sqref="N5:N16"/>
    </sheetView>
  </sheetViews>
  <sheetFormatPr defaultRowHeight="12.75" x14ac:dyDescent="0.2"/>
  <cols>
    <col min="2" max="2" width="10" bestFit="1" customWidth="1"/>
    <col min="4" max="4" width="16.140625" bestFit="1" customWidth="1"/>
    <col min="5" max="5" width="17.28515625" bestFit="1" customWidth="1"/>
    <col min="6" max="6" width="16.140625" bestFit="1" customWidth="1"/>
    <col min="7" max="7" width="18.140625" customWidth="1"/>
    <col min="9" max="9" width="14" bestFit="1" customWidth="1"/>
    <col min="14" max="14" width="12.5703125" customWidth="1"/>
    <col min="15" max="15" width="14.140625" customWidth="1"/>
  </cols>
  <sheetData>
    <row r="3" spans="2:16" x14ac:dyDescent="0.2">
      <c r="D3" t="s">
        <v>3</v>
      </c>
      <c r="E3" t="s">
        <v>4</v>
      </c>
      <c r="F3" t="s">
        <v>47</v>
      </c>
      <c r="G3" t="s">
        <v>330</v>
      </c>
      <c r="I3" t="s">
        <v>331</v>
      </c>
    </row>
    <row r="4" spans="2:16" x14ac:dyDescent="0.2">
      <c r="N4" t="s">
        <v>344</v>
      </c>
      <c r="O4" t="s">
        <v>18</v>
      </c>
    </row>
    <row r="5" spans="2:16" x14ac:dyDescent="0.2">
      <c r="B5" t="s">
        <v>319</v>
      </c>
      <c r="D5" s="247">
        <v>7762441</v>
      </c>
      <c r="E5" s="247">
        <f>1556649+14275199+36499</f>
        <v>15868347</v>
      </c>
      <c r="F5" s="247">
        <f>3074223+4899</f>
        <v>3079122</v>
      </c>
      <c r="G5" s="247">
        <v>226865</v>
      </c>
      <c r="H5" s="247"/>
      <c r="I5" s="247">
        <f>SUM(D5:G5)</f>
        <v>26936775</v>
      </c>
      <c r="N5" s="304">
        <f>I6</f>
        <v>227930.81000000003</v>
      </c>
      <c r="O5" s="247">
        <f>I5</f>
        <v>26936775</v>
      </c>
      <c r="P5">
        <f>N5/O5</f>
        <v>8.4616963240774015E-3</v>
      </c>
    </row>
    <row r="6" spans="2:16" x14ac:dyDescent="0.2">
      <c r="D6" s="246">
        <v>73898.149999999994</v>
      </c>
      <c r="E6" s="246">
        <f>13122.55+73089.02+47867.95</f>
        <v>134079.52000000002</v>
      </c>
      <c r="F6" s="246">
        <f>11097.95+6949.52</f>
        <v>18047.47</v>
      </c>
      <c r="G6" s="246">
        <f>1905.67</f>
        <v>1905.67</v>
      </c>
      <c r="H6" s="246"/>
      <c r="I6" s="246">
        <f>SUM(D6:G6)</f>
        <v>227930.81000000003</v>
      </c>
      <c r="N6" s="304">
        <f>I8</f>
        <v>232719.49000000002</v>
      </c>
      <c r="O6" s="247">
        <f>I7</f>
        <v>27727940</v>
      </c>
      <c r="P6">
        <f t="shared" ref="P6:P16" si="0">N6/O6</f>
        <v>8.3929599530293275E-3</v>
      </c>
    </row>
    <row r="7" spans="2:16" x14ac:dyDescent="0.2">
      <c r="B7" t="s">
        <v>320</v>
      </c>
      <c r="D7" s="247">
        <v>7868297</v>
      </c>
      <c r="E7" s="247">
        <f>1619863+14959335+36722</f>
        <v>16615920</v>
      </c>
      <c r="F7" s="247">
        <f>3050058+4999</f>
        <v>3055057</v>
      </c>
      <c r="G7" s="247">
        <v>188666</v>
      </c>
      <c r="H7" s="247"/>
      <c r="I7" s="247">
        <f t="shared" ref="I7:I28" si="1">SUM(D7:G7)</f>
        <v>27727940</v>
      </c>
      <c r="N7" s="304">
        <f>I10</f>
        <v>217078.09</v>
      </c>
      <c r="O7" s="247">
        <f>I9</f>
        <v>25505454</v>
      </c>
      <c r="P7">
        <f t="shared" si="0"/>
        <v>8.5110459119841584E-3</v>
      </c>
    </row>
    <row r="8" spans="2:16" x14ac:dyDescent="0.2">
      <c r="D8" s="246">
        <v>70342.570000000007</v>
      </c>
      <c r="E8" s="246">
        <f>14060.41+78686.1+49522.67</f>
        <v>142269.18</v>
      </c>
      <c r="F8" s="246">
        <f>11346.22+7120.13</f>
        <v>18466.349999999999</v>
      </c>
      <c r="G8" s="246">
        <v>1641.39</v>
      </c>
      <c r="H8" s="246"/>
      <c r="I8" s="246">
        <f t="shared" si="1"/>
        <v>232719.49000000002</v>
      </c>
      <c r="N8" s="304">
        <f>I12</f>
        <v>198537.69</v>
      </c>
      <c r="O8" s="247">
        <f>I11</f>
        <v>23376679</v>
      </c>
      <c r="P8">
        <f t="shared" si="0"/>
        <v>8.4929809747569356E-3</v>
      </c>
    </row>
    <row r="9" spans="2:16" x14ac:dyDescent="0.2">
      <c r="B9" t="s">
        <v>321</v>
      </c>
      <c r="D9" s="247">
        <v>6909494</v>
      </c>
      <c r="E9" s="247">
        <f>1411518+13832858+36579</f>
        <v>15280955</v>
      </c>
      <c r="F9" s="247">
        <f>3123540+5425</f>
        <v>3128965</v>
      </c>
      <c r="G9" s="247">
        <v>186040</v>
      </c>
      <c r="H9" s="247"/>
      <c r="I9" s="247">
        <f t="shared" si="1"/>
        <v>25505454</v>
      </c>
      <c r="N9" s="304">
        <f>I14</f>
        <v>182412.33000000002</v>
      </c>
      <c r="O9" s="247">
        <f>I13</f>
        <v>21258308</v>
      </c>
      <c r="P9">
        <f t="shared" si="0"/>
        <v>8.5807548747529674E-3</v>
      </c>
    </row>
    <row r="10" spans="2:16" x14ac:dyDescent="0.2">
      <c r="D10" s="246">
        <v>61770.879999999997</v>
      </c>
      <c r="E10" s="246">
        <f>12251.98+72760.83+49329.97</f>
        <v>134342.78</v>
      </c>
      <c r="F10" s="246">
        <f>11619.57+7726.31</f>
        <v>19345.88</v>
      </c>
      <c r="G10" s="246">
        <v>1618.55</v>
      </c>
      <c r="H10" s="246"/>
      <c r="I10" s="246">
        <f t="shared" si="1"/>
        <v>217078.09</v>
      </c>
      <c r="N10" s="304">
        <f>I16</f>
        <v>210038.38999999998</v>
      </c>
      <c r="O10" s="247">
        <f>I15</f>
        <v>24380140</v>
      </c>
      <c r="P10">
        <f t="shared" si="0"/>
        <v>8.6151428990973791E-3</v>
      </c>
    </row>
    <row r="11" spans="2:16" x14ac:dyDescent="0.2">
      <c r="B11" t="s">
        <v>322</v>
      </c>
      <c r="D11" s="247">
        <v>6950794</v>
      </c>
      <c r="E11" s="247">
        <f>1130665+11886338+31821</f>
        <v>13048824</v>
      </c>
      <c r="F11" s="247">
        <f>3214349+5492</f>
        <v>3219841</v>
      </c>
      <c r="G11" s="247">
        <f>157220</f>
        <v>157220</v>
      </c>
      <c r="H11" s="247"/>
      <c r="I11" s="247">
        <f t="shared" si="1"/>
        <v>23376679</v>
      </c>
      <c r="N11" s="304">
        <f>I18</f>
        <v>248118.57</v>
      </c>
      <c r="O11" s="247">
        <f>I17</f>
        <v>29302711</v>
      </c>
      <c r="P11">
        <f t="shared" si="0"/>
        <v>8.4674271264525668E-3</v>
      </c>
    </row>
    <row r="12" spans="2:16" x14ac:dyDescent="0.2">
      <c r="D12" s="246">
        <v>62140.1</v>
      </c>
      <c r="E12" s="246">
        <f>9814.17+62522.14+42914.06</f>
        <v>115250.37</v>
      </c>
      <c r="F12" s="246">
        <f>11957.38+7822.03</f>
        <v>19779.41</v>
      </c>
      <c r="G12" s="246">
        <f>1367.81</f>
        <v>1367.81</v>
      </c>
      <c r="H12" s="246"/>
      <c r="I12" s="246">
        <f t="shared" si="1"/>
        <v>198537.69</v>
      </c>
      <c r="N12" s="304">
        <f>I20</f>
        <v>264929.04000000004</v>
      </c>
      <c r="O12" s="247">
        <f>I19</f>
        <v>31351334</v>
      </c>
      <c r="P12">
        <f t="shared" si="0"/>
        <v>8.4503275044053965E-3</v>
      </c>
    </row>
    <row r="13" spans="2:16" x14ac:dyDescent="0.2">
      <c r="B13" t="s">
        <v>304</v>
      </c>
      <c r="D13" s="247">
        <v>6188330</v>
      </c>
      <c r="E13" s="247">
        <f>946518+10643161+30141</f>
        <v>11619820</v>
      </c>
      <c r="F13" s="247">
        <f>3302236+6125</f>
        <v>3308361</v>
      </c>
      <c r="G13" s="247">
        <v>141797</v>
      </c>
      <c r="H13" s="247"/>
      <c r="I13" s="247">
        <f t="shared" si="1"/>
        <v>21258308</v>
      </c>
      <c r="N13" s="304">
        <f>I22</f>
        <v>241918.55999999997</v>
      </c>
      <c r="O13" s="247">
        <f>I21</f>
        <v>28861707.407807607</v>
      </c>
      <c r="P13">
        <f t="shared" si="0"/>
        <v>8.3819905933408736E-3</v>
      </c>
    </row>
    <row r="14" spans="2:16" x14ac:dyDescent="0.2">
      <c r="D14" s="246">
        <v>55323.67</v>
      </c>
      <c r="E14" s="246">
        <f>8215.78+55983.03+40648.35</f>
        <v>104847.16</v>
      </c>
      <c r="F14" s="246">
        <f>12284.32+8723.55</f>
        <v>21007.87</v>
      </c>
      <c r="G14" s="246">
        <f>1233.63</f>
        <v>1233.6300000000001</v>
      </c>
      <c r="H14" s="246"/>
      <c r="I14" s="246">
        <f t="shared" si="1"/>
        <v>182412.33000000002</v>
      </c>
      <c r="N14" s="304">
        <f>I24</f>
        <v>213011.82999999996</v>
      </c>
      <c r="O14" s="247">
        <f>I23</f>
        <v>24856520.602371357</v>
      </c>
      <c r="P14">
        <f t="shared" si="0"/>
        <v>8.5696559630183411E-3</v>
      </c>
    </row>
    <row r="15" spans="2:16" x14ac:dyDescent="0.2">
      <c r="B15" t="s">
        <v>323</v>
      </c>
      <c r="D15" s="247">
        <v>6533225</v>
      </c>
      <c r="E15" s="247">
        <f>1059185+12744551+36543</f>
        <v>13840279</v>
      </c>
      <c r="F15" s="247">
        <f>3872315+7450</f>
        <v>3879765</v>
      </c>
      <c r="G15" s="247">
        <f>126871</f>
        <v>126871</v>
      </c>
      <c r="H15" s="247"/>
      <c r="I15" s="247">
        <f t="shared" si="1"/>
        <v>24380140</v>
      </c>
      <c r="N15" s="304">
        <f>I26</f>
        <v>215477.6</v>
      </c>
      <c r="O15" s="247">
        <f>I25</f>
        <v>25480284</v>
      </c>
      <c r="P15">
        <f t="shared" si="0"/>
        <v>8.4566404361898009E-3</v>
      </c>
    </row>
    <row r="16" spans="2:16" x14ac:dyDescent="0.2">
      <c r="D16" s="246">
        <v>58407.03</v>
      </c>
      <c r="E16" s="246">
        <f>9193.73+67036.34+49281.58</f>
        <v>125511.65</v>
      </c>
      <c r="F16" s="246">
        <f>14405.01+10610.92</f>
        <v>25015.93</v>
      </c>
      <c r="G16" s="246">
        <f>1103.78</f>
        <v>1103.78</v>
      </c>
      <c r="H16" s="246"/>
      <c r="I16" s="246">
        <f t="shared" si="1"/>
        <v>210038.38999999998</v>
      </c>
      <c r="N16" s="304">
        <f>I28</f>
        <v>209125.38999999998</v>
      </c>
      <c r="O16" s="247">
        <f>I27</f>
        <v>24602762</v>
      </c>
      <c r="P16" s="310">
        <f t="shared" si="0"/>
        <v>8.5000777554975326E-3</v>
      </c>
    </row>
    <row r="17" spans="2:15" x14ac:dyDescent="0.2">
      <c r="B17" t="s">
        <v>324</v>
      </c>
      <c r="D17" s="247">
        <v>8557897</v>
      </c>
      <c r="E17" s="247">
        <f>1292949+14903735+39418</f>
        <v>16236102</v>
      </c>
      <c r="F17" s="247">
        <f>4365244+8017</f>
        <v>4373261</v>
      </c>
      <c r="G17" s="247">
        <f>135451</f>
        <v>135451</v>
      </c>
      <c r="H17" s="247"/>
      <c r="I17" s="247">
        <f t="shared" si="1"/>
        <v>29302711</v>
      </c>
      <c r="N17" s="231">
        <f>SUM(N5:N16)</f>
        <v>2661297.7900000005</v>
      </c>
      <c r="O17" s="305">
        <f>SUM(O5:O16)</f>
        <v>313640615.01017898</v>
      </c>
    </row>
    <row r="18" spans="2:15" x14ac:dyDescent="0.2">
      <c r="D18" s="246">
        <v>76507.600000000006</v>
      </c>
      <c r="E18" s="246">
        <f>11222.8+78393.65+53159.29</f>
        <v>142775.74</v>
      </c>
      <c r="F18" s="246">
        <f>16238.71+11418.1</f>
        <v>27656.809999999998</v>
      </c>
      <c r="G18" s="246">
        <v>1178.42</v>
      </c>
      <c r="H18" s="246"/>
      <c r="I18" s="246">
        <f t="shared" si="1"/>
        <v>248118.57</v>
      </c>
      <c r="O18">
        <f>N17/O17</f>
        <v>8.4851822839131664E-3</v>
      </c>
    </row>
    <row r="19" spans="2:15" x14ac:dyDescent="0.2">
      <c r="B19" t="s">
        <v>325</v>
      </c>
      <c r="D19" s="247">
        <f>9759208</f>
        <v>9759208</v>
      </c>
      <c r="E19" s="247">
        <f>1409187+16000856+39989</f>
        <v>17450032</v>
      </c>
      <c r="F19" s="247">
        <f>3980910+7873</f>
        <v>3988783</v>
      </c>
      <c r="G19" s="247">
        <f>153311</f>
        <v>153311</v>
      </c>
      <c r="H19" s="247"/>
      <c r="I19" s="247">
        <f t="shared" si="1"/>
        <v>31351334</v>
      </c>
    </row>
    <row r="20" spans="2:15" x14ac:dyDescent="0.2">
      <c r="D20" s="246">
        <v>87247.32</v>
      </c>
      <c r="E20" s="246">
        <f>12231.74+84164.5+53928.77</f>
        <v>150325.01</v>
      </c>
      <c r="F20" s="246">
        <f>14808.99+11213.91</f>
        <v>26022.9</v>
      </c>
      <c r="G20" s="246">
        <f>1333.81</f>
        <v>1333.81</v>
      </c>
      <c r="H20" s="246"/>
      <c r="I20" s="246">
        <f t="shared" si="1"/>
        <v>264929.04000000004</v>
      </c>
    </row>
    <row r="21" spans="2:15" x14ac:dyDescent="0.2">
      <c r="B21" t="s">
        <v>326</v>
      </c>
      <c r="D21" s="247">
        <f>'[1]Payment Form'!$E$22</f>
        <v>7700127.3378076069</v>
      </c>
      <c r="E21" s="247">
        <f>'[1]Payment Form'!$E$25+'[1]Payment Form'!$E$27+'[1]Payment Form'!$E$29</f>
        <v>16973474.670000002</v>
      </c>
      <c r="F21" s="247">
        <f>'[1]Payment Form'!$E$33+'[1]Payment Form'!$E$35</f>
        <v>4017736.4</v>
      </c>
      <c r="G21" s="247">
        <f>'[1]Payment Form'!$E$38</f>
        <v>170369</v>
      </c>
      <c r="H21" s="247"/>
      <c r="I21" s="247">
        <f t="shared" si="1"/>
        <v>28861707.407807607</v>
      </c>
    </row>
    <row r="22" spans="2:15" x14ac:dyDescent="0.2">
      <c r="D22" s="246">
        <f>'[1]Payment Form'!$J$22</f>
        <v>68839.14</v>
      </c>
      <c r="E22" s="246">
        <f>'[1]Payment Form'!$J$25+'[1]Payment Form'!$J$27+'[1]Payment Form'!$J$29</f>
        <v>145800.28</v>
      </c>
      <c r="F22" s="246">
        <f>'[1]Payment Form'!$J$33+'[1]Payment Form'!$J$35</f>
        <v>25796.93</v>
      </c>
      <c r="G22" s="246">
        <f>'[1]Payment Form'!$J$38</f>
        <v>1482.21</v>
      </c>
      <c r="H22" s="246"/>
      <c r="I22" s="246">
        <f t="shared" si="1"/>
        <v>241918.55999999997</v>
      </c>
    </row>
    <row r="23" spans="2:15" x14ac:dyDescent="0.2">
      <c r="B23" t="s">
        <v>327</v>
      </c>
      <c r="D23" s="247">
        <f>'[2]Payment Form'!$E$22</f>
        <v>6122555.0223713601</v>
      </c>
      <c r="E23" s="247">
        <f>'[2]Payment Form'!$E$25+'[2]Payment Form'!$E$27+'[2]Payment Form'!$E$29</f>
        <v>14956609.66</v>
      </c>
      <c r="F23" s="247">
        <f>'[2]Payment Form'!$E$33+'[2]Payment Form'!$E$35</f>
        <v>3577704.92</v>
      </c>
      <c r="G23" s="247">
        <f>'[2]Payment Form'!$E$38</f>
        <v>199651</v>
      </c>
      <c r="H23" s="247"/>
      <c r="I23" s="247">
        <f t="shared" si="1"/>
        <v>24856520.602371357</v>
      </c>
    </row>
    <row r="24" spans="2:15" x14ac:dyDescent="0.2">
      <c r="D24" s="246">
        <f>'[2]Payment Form'!$J$22</f>
        <v>54735.64</v>
      </c>
      <c r="E24" s="246">
        <f>'[2]Payment Form'!$J$25+'[2]Payment Form'!$J$27+'[2]Payment Form'!$J$29</f>
        <v>132590.13999999998</v>
      </c>
      <c r="F24" s="246">
        <f>'[2]Payment Form'!$J$33+'[2]Payment Form'!$J$35</f>
        <v>23949.09</v>
      </c>
      <c r="G24" s="246">
        <f>'[2]Payment Form'!$J$38</f>
        <v>1736.96</v>
      </c>
      <c r="H24" s="246"/>
      <c r="I24" s="246">
        <f t="shared" si="1"/>
        <v>213011.82999999996</v>
      </c>
    </row>
    <row r="25" spans="2:15" x14ac:dyDescent="0.2">
      <c r="B25" t="s">
        <v>328</v>
      </c>
      <c r="D25" s="247">
        <v>6784688</v>
      </c>
      <c r="E25" s="247">
        <f>1182446+13816704+35162</f>
        <v>15034312</v>
      </c>
      <c r="F25" s="247">
        <f>3439987+6882</f>
        <v>3446869</v>
      </c>
      <c r="G25" s="247">
        <v>214415</v>
      </c>
      <c r="H25" s="247"/>
      <c r="I25" s="247">
        <f t="shared" si="1"/>
        <v>25480284</v>
      </c>
    </row>
    <row r="26" spans="2:15" x14ac:dyDescent="0.2">
      <c r="D26" s="246">
        <v>60655.11</v>
      </c>
      <c r="E26" s="246">
        <f>10263.63+72675.86+47418.92</f>
        <v>130358.41</v>
      </c>
      <c r="F26" s="246">
        <f>12796.75+9801.92</f>
        <v>22598.67</v>
      </c>
      <c r="G26" s="246">
        <v>1865.41</v>
      </c>
      <c r="H26" s="246"/>
      <c r="I26" s="246">
        <f t="shared" si="1"/>
        <v>215477.6</v>
      </c>
    </row>
    <row r="27" spans="2:15" x14ac:dyDescent="0.2">
      <c r="B27" t="s">
        <v>329</v>
      </c>
      <c r="D27" s="247">
        <v>7292156</v>
      </c>
      <c r="E27" s="247">
        <f>1230510+12623918+33091</f>
        <v>13887519</v>
      </c>
      <c r="F27" s="247">
        <f>3185046+5867</f>
        <v>3190913</v>
      </c>
      <c r="G27" s="247">
        <v>232174</v>
      </c>
      <c r="H27" s="247"/>
      <c r="I27" s="247">
        <f t="shared" si="1"/>
        <v>24602762</v>
      </c>
    </row>
    <row r="28" spans="2:15" x14ac:dyDescent="0.2">
      <c r="D28" s="246">
        <v>65191.88</v>
      </c>
      <c r="E28" s="246">
        <f>10680.83+66401.81+44626.85</f>
        <v>121709.48999999999</v>
      </c>
      <c r="F28" s="246">
        <f>11848.37+8355.74</f>
        <v>20204.11</v>
      </c>
      <c r="G28" s="246">
        <v>2019.91</v>
      </c>
      <c r="H28" s="246"/>
      <c r="I28" s="246">
        <f t="shared" si="1"/>
        <v>209125.38999999998</v>
      </c>
    </row>
    <row r="30" spans="2:15" x14ac:dyDescent="0.2">
      <c r="D30" s="247">
        <f>D5+D7+D9+D11+D13+D15+D17+D19+D21+D23+D25+D27</f>
        <v>88429212.360178977</v>
      </c>
      <c r="E30" s="247">
        <f t="shared" ref="E30:F31" si="2">E5+E7+E9+E11+E13+E15+E17+E19+E21+E23+E25+E27</f>
        <v>180812194.33000001</v>
      </c>
      <c r="F30" s="247">
        <f t="shared" si="2"/>
        <v>42266378.32</v>
      </c>
      <c r="G30" s="247">
        <f>G5+G7+G9+G11+G13+G15+G17+G19+G21+G23+G25+G27</f>
        <v>2132830</v>
      </c>
      <c r="H30" s="247"/>
      <c r="I30" s="247">
        <f>SUM(D30:H30)</f>
        <v>313640615.01017898</v>
      </c>
    </row>
    <row r="31" spans="2:15" x14ac:dyDescent="0.2">
      <c r="D31" s="363">
        <f>D6+D8+D10+D12+D14+D16+D18+D20+D22+D24+D26+D28</f>
        <v>795059.09000000008</v>
      </c>
      <c r="E31" s="363">
        <f t="shared" si="2"/>
        <v>1579859.73</v>
      </c>
      <c r="F31" s="363">
        <f t="shared" si="2"/>
        <v>267891.42</v>
      </c>
      <c r="G31" s="363">
        <f>G6+G8+G10+G12+G14+G16+G18+G20+G22+G24+G26+G28</f>
        <v>18487.55</v>
      </c>
      <c r="I31" s="247">
        <f>SUM(D31:H31)</f>
        <v>2661297.79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B3:P28"/>
  <sheetViews>
    <sheetView topLeftCell="C1" workbookViewId="0">
      <selection activeCell="N5" sqref="N5:N16"/>
    </sheetView>
  </sheetViews>
  <sheetFormatPr defaultRowHeight="12.75" x14ac:dyDescent="0.2"/>
  <cols>
    <col min="2" max="2" width="10" bestFit="1" customWidth="1"/>
    <col min="4" max="4" width="12.42578125" customWidth="1"/>
    <col min="5" max="5" width="13.5703125" customWidth="1"/>
    <col min="6" max="6" width="12.7109375" customWidth="1"/>
    <col min="7" max="7" width="18.140625" customWidth="1"/>
    <col min="9" max="9" width="14" bestFit="1" customWidth="1"/>
    <col min="14" max="14" width="12.28515625" bestFit="1" customWidth="1"/>
    <col min="15" max="15" width="14" bestFit="1" customWidth="1"/>
  </cols>
  <sheetData>
    <row r="3" spans="2:16" x14ac:dyDescent="0.2">
      <c r="D3" t="s">
        <v>3</v>
      </c>
      <c r="E3" t="s">
        <v>4</v>
      </c>
      <c r="F3" t="s">
        <v>47</v>
      </c>
      <c r="G3" t="s">
        <v>330</v>
      </c>
      <c r="I3" t="s">
        <v>331</v>
      </c>
    </row>
    <row r="4" spans="2:16" x14ac:dyDescent="0.2">
      <c r="N4" t="s">
        <v>344</v>
      </c>
      <c r="O4" t="s">
        <v>18</v>
      </c>
    </row>
    <row r="5" spans="2:16" x14ac:dyDescent="0.2">
      <c r="B5" t="s">
        <v>319</v>
      </c>
      <c r="D5" s="247">
        <v>7840173</v>
      </c>
      <c r="E5" s="247">
        <f>1580965+14560398+36871</f>
        <v>16178234</v>
      </c>
      <c r="F5" s="247">
        <f>3310048+5507</f>
        <v>3315555</v>
      </c>
      <c r="G5" s="247">
        <f>225964</f>
        <v>225964</v>
      </c>
      <c r="H5" s="247"/>
      <c r="I5" s="247">
        <f>SUM(D5:G5)</f>
        <v>27559926</v>
      </c>
      <c r="N5" s="304">
        <v>215283.08000000002</v>
      </c>
      <c r="O5" s="247">
        <v>27559926</v>
      </c>
      <c r="P5">
        <f>N5/O5</f>
        <v>7.8114534850347575E-3</v>
      </c>
    </row>
    <row r="6" spans="2:16" x14ac:dyDescent="0.2">
      <c r="D6" s="246">
        <v>69699.14</v>
      </c>
      <c r="E6" s="246">
        <f>11746.57+66395.41+42950.47</f>
        <v>121092.45000000001</v>
      </c>
      <c r="F6" s="246">
        <f>13670.5+9148.86</f>
        <v>22819.360000000001</v>
      </c>
      <c r="G6" s="246">
        <v>1672.13</v>
      </c>
      <c r="H6" s="246"/>
      <c r="I6" s="246">
        <f>SUM(D6:G6)</f>
        <v>215283.08000000002</v>
      </c>
      <c r="N6" s="304">
        <v>247099.95</v>
      </c>
      <c r="O6" s="247">
        <v>29419789</v>
      </c>
      <c r="P6">
        <f t="shared" ref="P6:P16" si="0">N6/O6</f>
        <v>8.3991068052867417E-3</v>
      </c>
    </row>
    <row r="7" spans="2:16" x14ac:dyDescent="0.2">
      <c r="B7" t="s">
        <v>320</v>
      </c>
      <c r="D7" s="247">
        <v>8556316</v>
      </c>
      <c r="E7" s="247">
        <f>1755329+15690523+37642</f>
        <v>17483494</v>
      </c>
      <c r="F7" s="247">
        <f>3186599+5684</f>
        <v>3192283</v>
      </c>
      <c r="G7" s="247">
        <f>187696</f>
        <v>187696</v>
      </c>
      <c r="H7" s="247"/>
      <c r="I7" s="247">
        <f t="shared" ref="I7:I28" si="1">SUM(D7:G7)</f>
        <v>29419789</v>
      </c>
      <c r="N7" s="304">
        <v>217232.81</v>
      </c>
      <c r="O7" s="247">
        <v>25290258</v>
      </c>
      <c r="P7">
        <f t="shared" si="0"/>
        <v>8.5895845744238756E-3</v>
      </c>
    </row>
    <row r="8" spans="2:16" x14ac:dyDescent="0.2">
      <c r="D8" s="246">
        <v>81456.13</v>
      </c>
      <c r="E8" s="246">
        <f>14797.42+80335.48+49367.67</f>
        <v>144500.57</v>
      </c>
      <c r="F8" s="246">
        <f>11503.62+8062.98</f>
        <v>19566.599999999999</v>
      </c>
      <c r="G8" s="246">
        <v>1576.65</v>
      </c>
      <c r="H8" s="246"/>
      <c r="I8" s="246">
        <f t="shared" si="1"/>
        <v>247099.95</v>
      </c>
      <c r="N8" s="304">
        <v>221601.36999999997</v>
      </c>
      <c r="O8" s="247">
        <v>26227341</v>
      </c>
      <c r="P8">
        <f t="shared" si="0"/>
        <v>8.4492503452789965E-3</v>
      </c>
    </row>
    <row r="9" spans="2:16" x14ac:dyDescent="0.2">
      <c r="B9" t="s">
        <v>321</v>
      </c>
      <c r="D9" s="247">
        <v>7014330</v>
      </c>
      <c r="E9" s="247">
        <f>1503524+13657485+36785</f>
        <v>15197794</v>
      </c>
      <c r="F9" s="247">
        <f>2887608+5381</f>
        <v>2892989</v>
      </c>
      <c r="G9" s="247">
        <v>185145</v>
      </c>
      <c r="H9" s="247"/>
      <c r="I9" s="247">
        <f t="shared" si="1"/>
        <v>25290258</v>
      </c>
      <c r="N9" s="304">
        <v>208826.91999999998</v>
      </c>
      <c r="O9" s="247">
        <v>24210269</v>
      </c>
      <c r="P9">
        <f t="shared" si="0"/>
        <v>8.6255514137410037E-3</v>
      </c>
    </row>
    <row r="10" spans="2:16" x14ac:dyDescent="0.2">
      <c r="D10" s="246">
        <v>66776.42</v>
      </c>
      <c r="E10" s="246">
        <f>12674.71+69926.32+48242.99</f>
        <v>130844.01999999999</v>
      </c>
      <c r="F10" s="246">
        <f>10424.26+7632.89</f>
        <v>18057.150000000001</v>
      </c>
      <c r="G10" s="246">
        <v>1555.22</v>
      </c>
      <c r="H10" s="246"/>
      <c r="I10" s="246">
        <f t="shared" si="1"/>
        <v>217232.81</v>
      </c>
      <c r="N10" s="304">
        <v>210197.70000000004</v>
      </c>
      <c r="O10" s="247">
        <v>24560090</v>
      </c>
      <c r="P10">
        <f t="shared" si="0"/>
        <v>8.5585069110088782E-3</v>
      </c>
    </row>
    <row r="11" spans="2:16" x14ac:dyDescent="0.2">
      <c r="B11" t="s">
        <v>322</v>
      </c>
      <c r="D11" s="247">
        <v>6737892</v>
      </c>
      <c r="E11" s="247">
        <f>1441964+14680991+36652</f>
        <v>16159607</v>
      </c>
      <c r="F11" s="247">
        <f>3165988+6567</f>
        <v>3172555</v>
      </c>
      <c r="G11" s="247">
        <v>157287</v>
      </c>
      <c r="H11" s="247"/>
      <c r="I11" s="247">
        <f t="shared" si="1"/>
        <v>26227341</v>
      </c>
      <c r="N11" s="304">
        <v>246578.80000000002</v>
      </c>
      <c r="O11" s="247">
        <v>29340539</v>
      </c>
      <c r="P11">
        <f t="shared" si="0"/>
        <v>8.4040310234246209E-3</v>
      </c>
    </row>
    <row r="12" spans="2:16" x14ac:dyDescent="0.2">
      <c r="D12" s="246">
        <v>64144.73</v>
      </c>
      <c r="E12" s="246">
        <f>12155.76+75166.67+48069.11</f>
        <v>135391.53999999998</v>
      </c>
      <c r="F12" s="246">
        <f>11429.22+9314.67</f>
        <v>20743.89</v>
      </c>
      <c r="G12" s="246">
        <v>1321.21</v>
      </c>
      <c r="H12" s="246"/>
      <c r="I12" s="246">
        <f t="shared" si="1"/>
        <v>221601.36999999997</v>
      </c>
      <c r="N12" s="304">
        <v>271991.62</v>
      </c>
      <c r="O12" s="247">
        <v>32283122</v>
      </c>
      <c r="P12">
        <f t="shared" si="0"/>
        <v>8.4251956796495709E-3</v>
      </c>
    </row>
    <row r="13" spans="2:16" x14ac:dyDescent="0.2">
      <c r="B13" t="s">
        <v>304</v>
      </c>
      <c r="D13" s="247">
        <v>5702124</v>
      </c>
      <c r="E13" s="247">
        <f>1239252+13794048+38100</f>
        <v>15071400</v>
      </c>
      <c r="F13" s="247">
        <f>3287639+7362</f>
        <v>3295001</v>
      </c>
      <c r="G13" s="247">
        <v>141744</v>
      </c>
      <c r="H13" s="247"/>
      <c r="I13" s="247">
        <f t="shared" si="1"/>
        <v>24210269</v>
      </c>
      <c r="N13" s="304">
        <v>243848.78999999998</v>
      </c>
      <c r="O13" s="247">
        <v>28662054</v>
      </c>
      <c r="P13">
        <f t="shared" si="0"/>
        <v>8.5077220913755865E-3</v>
      </c>
    </row>
    <row r="14" spans="2:16" x14ac:dyDescent="0.2">
      <c r="D14" s="246">
        <v>54284.22</v>
      </c>
      <c r="E14" s="246">
        <f>10446.89+70625.53+49967.91</f>
        <v>131040.33</v>
      </c>
      <c r="F14" s="246">
        <f>11868.38+10443.34</f>
        <v>22311.72</v>
      </c>
      <c r="G14" s="246">
        <v>1190.6500000000001</v>
      </c>
      <c r="H14" s="246"/>
      <c r="I14" s="246">
        <f t="shared" si="1"/>
        <v>208826.91999999998</v>
      </c>
      <c r="N14" s="304">
        <v>218913.32</v>
      </c>
      <c r="O14" s="247">
        <v>25547041</v>
      </c>
      <c r="P14">
        <f t="shared" si="0"/>
        <v>8.5690284052857627E-3</v>
      </c>
    </row>
    <row r="15" spans="2:16" x14ac:dyDescent="0.2">
      <c r="B15" t="s">
        <v>323</v>
      </c>
      <c r="D15" s="247">
        <v>5339528</v>
      </c>
      <c r="E15" s="247">
        <f>1252537+14153011+38983</f>
        <v>15444531</v>
      </c>
      <c r="F15" s="247">
        <f>3641437+7759</f>
        <v>3649196</v>
      </c>
      <c r="G15" s="247">
        <v>126835</v>
      </c>
      <c r="H15" s="247"/>
      <c r="I15" s="247">
        <f t="shared" si="1"/>
        <v>24560090</v>
      </c>
      <c r="N15" s="304">
        <v>220988.04</v>
      </c>
      <c r="O15" s="247">
        <v>26013202</v>
      </c>
      <c r="P15">
        <f t="shared" si="0"/>
        <v>8.4952263854330586E-3</v>
      </c>
    </row>
    <row r="16" spans="2:16" x14ac:dyDescent="0.2">
      <c r="D16" s="246">
        <v>50832.3</v>
      </c>
      <c r="E16" s="246">
        <f>10558.89+72463.42+51126.35</f>
        <v>134148.66</v>
      </c>
      <c r="F16" s="246">
        <f>13145.59+11005.74</f>
        <v>24151.33</v>
      </c>
      <c r="G16" s="246">
        <v>1065.4100000000001</v>
      </c>
      <c r="H16" s="246"/>
      <c r="I16" s="246">
        <f t="shared" si="1"/>
        <v>210197.70000000004</v>
      </c>
      <c r="N16" s="304">
        <v>221726.06999999998</v>
      </c>
      <c r="O16" s="247">
        <v>26092339</v>
      </c>
      <c r="P16">
        <f t="shared" si="0"/>
        <v>8.4977460242257313E-3</v>
      </c>
    </row>
    <row r="17" spans="2:15" x14ac:dyDescent="0.2">
      <c r="B17" t="s">
        <v>324</v>
      </c>
      <c r="D17" s="247">
        <v>6628051</v>
      </c>
      <c r="E17" s="247">
        <f>1456646+16936363+42947</f>
        <v>18435956</v>
      </c>
      <c r="F17" s="247">
        <f>4131734+8531</f>
        <v>4140265</v>
      </c>
      <c r="G17" s="247">
        <v>136267</v>
      </c>
      <c r="H17" s="247"/>
      <c r="I17" s="247">
        <f t="shared" si="1"/>
        <v>29340539</v>
      </c>
      <c r="N17" s="231">
        <f>SUM(N5:N16)</f>
        <v>2744288.4699999997</v>
      </c>
      <c r="O17" s="305">
        <f>SUM(O5:O16)</f>
        <v>325205970</v>
      </c>
    </row>
    <row r="18" spans="2:15" x14ac:dyDescent="0.2">
      <c r="D18" s="246">
        <v>63099.05</v>
      </c>
      <c r="E18" s="246">
        <f>12279.53+86714.18+56325.24</f>
        <v>155318.94999999998</v>
      </c>
      <c r="F18" s="246">
        <f>14915.56+12100.6</f>
        <v>27016.16</v>
      </c>
      <c r="G18" s="246">
        <v>1144.6400000000001</v>
      </c>
      <c r="H18" s="246"/>
      <c r="I18" s="246">
        <f t="shared" si="1"/>
        <v>246578.80000000002</v>
      </c>
      <c r="O18">
        <f>N17/O17</f>
        <v>8.4386165174028006E-3</v>
      </c>
    </row>
    <row r="19" spans="2:15" x14ac:dyDescent="0.2">
      <c r="B19" t="s">
        <v>325</v>
      </c>
      <c r="D19" s="247">
        <v>8379261</v>
      </c>
      <c r="E19" s="247">
        <f>1684588+17833514+44209</f>
        <v>19562311</v>
      </c>
      <c r="F19" s="247">
        <f>4178752+8708</f>
        <v>4187460</v>
      </c>
      <c r="G19" s="247">
        <v>154090</v>
      </c>
      <c r="H19" s="247"/>
      <c r="I19" s="247">
        <f t="shared" si="1"/>
        <v>32283122</v>
      </c>
    </row>
    <row r="20" spans="2:15" x14ac:dyDescent="0.2">
      <c r="D20" s="246">
        <v>79770.559999999998</v>
      </c>
      <c r="E20" s="246">
        <f>14201.08+91307.59+57980.44</f>
        <v>163489.10999999999</v>
      </c>
      <c r="F20" s="246">
        <f>15085.29+12352.3</f>
        <v>27437.59</v>
      </c>
      <c r="G20" s="246">
        <v>1294.3599999999999</v>
      </c>
      <c r="H20" s="246"/>
      <c r="I20" s="246">
        <f t="shared" si="1"/>
        <v>271991.62</v>
      </c>
    </row>
    <row r="21" spans="2:15" x14ac:dyDescent="0.2">
      <c r="B21" t="s">
        <v>326</v>
      </c>
      <c r="D21" s="247">
        <v>6802268</v>
      </c>
      <c r="E21" s="247">
        <f>1456905+16525029+42794</f>
        <v>18024728</v>
      </c>
      <c r="F21" s="247">
        <f>3655646+8065</f>
        <v>3663711</v>
      </c>
      <c r="G21" s="247">
        <f>171347</f>
        <v>171347</v>
      </c>
      <c r="H21" s="247"/>
      <c r="I21" s="247">
        <f t="shared" si="1"/>
        <v>28662054</v>
      </c>
    </row>
    <row r="22" spans="2:15" x14ac:dyDescent="0.2">
      <c r="D22" s="246">
        <v>64757.59</v>
      </c>
      <c r="E22" s="246">
        <f>12281.71+84608.15+56124.32</f>
        <v>153014.18</v>
      </c>
      <c r="F22" s="246">
        <f>13196.88+11440.83</f>
        <v>24637.71</v>
      </c>
      <c r="G22" s="246">
        <v>1439.31</v>
      </c>
      <c r="H22" s="246"/>
      <c r="I22" s="246">
        <f t="shared" si="1"/>
        <v>243848.78999999998</v>
      </c>
    </row>
    <row r="23" spans="2:15" x14ac:dyDescent="0.2">
      <c r="B23" t="s">
        <v>327</v>
      </c>
      <c r="D23" s="247">
        <v>5670138</v>
      </c>
      <c r="E23" s="247">
        <f>1283577+14926360+40761</f>
        <v>16250698</v>
      </c>
      <c r="F23" s="247">
        <f>3418352+7195</f>
        <v>3425547</v>
      </c>
      <c r="G23" s="247">
        <f>200658</f>
        <v>200658</v>
      </c>
      <c r="H23" s="247"/>
      <c r="I23" s="247">
        <f t="shared" si="1"/>
        <v>25547041</v>
      </c>
    </row>
    <row r="24" spans="2:15" x14ac:dyDescent="0.2">
      <c r="D24" s="246">
        <v>53979.71</v>
      </c>
      <c r="E24" s="246">
        <f>10820.55+76422.96+53458.38</f>
        <v>140701.89000000001</v>
      </c>
      <c r="F24" s="246">
        <f>12340.25+10205.94</f>
        <v>22546.190000000002</v>
      </c>
      <c r="G24" s="246">
        <f>1685.53</f>
        <v>1685.53</v>
      </c>
      <c r="H24" s="246"/>
      <c r="I24" s="246">
        <f t="shared" si="1"/>
        <v>218913.32</v>
      </c>
    </row>
    <row r="25" spans="2:15" x14ac:dyDescent="0.2">
      <c r="B25" t="s">
        <v>328</v>
      </c>
      <c r="D25" s="247">
        <v>6285101</v>
      </c>
      <c r="E25" s="247">
        <f>1355490+14800689+38251</f>
        <v>16194430</v>
      </c>
      <c r="F25" s="247">
        <f>3311878+7065</f>
        <v>3318943</v>
      </c>
      <c r="G25" s="247">
        <v>214728</v>
      </c>
      <c r="H25" s="247"/>
      <c r="I25" s="247">
        <f t="shared" si="1"/>
        <v>26013202</v>
      </c>
    </row>
    <row r="26" spans="2:15" x14ac:dyDescent="0.2">
      <c r="D26" s="246">
        <f>59834.16</f>
        <v>59834.16</v>
      </c>
      <c r="E26" s="246">
        <f>11426.78+75779.53+50166.78</f>
        <v>137373.09</v>
      </c>
      <c r="F26" s="246">
        <f>11955.88+10021.19</f>
        <v>21977.07</v>
      </c>
      <c r="G26" s="246">
        <v>1803.72</v>
      </c>
      <c r="H26" s="246"/>
      <c r="I26" s="246">
        <f t="shared" si="1"/>
        <v>220988.04</v>
      </c>
    </row>
    <row r="27" spans="2:15" x14ac:dyDescent="0.2">
      <c r="B27" t="s">
        <v>329</v>
      </c>
      <c r="D27" s="247">
        <v>7231831</v>
      </c>
      <c r="E27" s="247">
        <f>1462685+14100698+36172</f>
        <v>15599555</v>
      </c>
      <c r="F27" s="247">
        <f>3022783+5674</f>
        <v>3028457</v>
      </c>
      <c r="G27" s="247">
        <v>232496</v>
      </c>
      <c r="H27" s="247"/>
      <c r="I27" s="247">
        <f t="shared" si="1"/>
        <v>26092339</v>
      </c>
    </row>
    <row r="28" spans="2:15" x14ac:dyDescent="0.2">
      <c r="D28" s="246">
        <v>68847.03</v>
      </c>
      <c r="E28" s="246">
        <f>12330.43+72195.57+47439.36</f>
        <v>131965.35999999999</v>
      </c>
      <c r="F28" s="246">
        <f>10912.25+8048.46</f>
        <v>18960.71</v>
      </c>
      <c r="G28" s="246">
        <f>1952.97</f>
        <v>1952.97</v>
      </c>
      <c r="H28" s="246"/>
      <c r="I28" s="246">
        <f t="shared" si="1"/>
        <v>221726.06999999998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B3:I28"/>
  <sheetViews>
    <sheetView workbookViewId="0">
      <selection activeCell="O47" sqref="O47"/>
    </sheetView>
  </sheetViews>
  <sheetFormatPr defaultRowHeight="12.75" x14ac:dyDescent="0.2"/>
  <cols>
    <col min="2" max="2" width="10" bestFit="1" customWidth="1"/>
    <col min="4" max="4" width="12.42578125" customWidth="1"/>
    <col min="5" max="5" width="13.5703125" customWidth="1"/>
    <col min="6" max="6" width="12.7109375" customWidth="1"/>
    <col min="7" max="7" width="18.140625" customWidth="1"/>
    <col min="9" max="9" width="14" bestFit="1" customWidth="1"/>
  </cols>
  <sheetData>
    <row r="3" spans="2:9" x14ac:dyDescent="0.2">
      <c r="D3" t="s">
        <v>3</v>
      </c>
      <c r="E3" t="s">
        <v>4</v>
      </c>
      <c r="F3" t="s">
        <v>47</v>
      </c>
      <c r="G3" t="s">
        <v>330</v>
      </c>
      <c r="I3" t="s">
        <v>331</v>
      </c>
    </row>
    <row r="5" spans="2:9" x14ac:dyDescent="0.2">
      <c r="B5" t="s">
        <v>319</v>
      </c>
      <c r="D5" s="247">
        <f>8646388</f>
        <v>8646388</v>
      </c>
      <c r="E5" s="247">
        <f>1782678+15173304+37365</f>
        <v>16993347</v>
      </c>
      <c r="F5" s="247">
        <f>3278101+6473</f>
        <v>3284574</v>
      </c>
      <c r="G5" s="247">
        <f>233723</f>
        <v>233723</v>
      </c>
      <c r="H5" s="247"/>
      <c r="I5" s="247">
        <f>SUM(D5:G5)</f>
        <v>29158032</v>
      </c>
    </row>
    <row r="6" spans="2:9" x14ac:dyDescent="0.2">
      <c r="D6" s="246">
        <v>78249.81</v>
      </c>
      <c r="E6" s="246">
        <f>14457.52+75714.79+47390.56</f>
        <v>137562.87</v>
      </c>
      <c r="F6" s="246">
        <f>14259.74+11329.17</f>
        <v>25588.91</v>
      </c>
      <c r="G6" s="246">
        <f>1893.16</f>
        <v>1893.16</v>
      </c>
      <c r="H6" s="246"/>
      <c r="I6" s="246">
        <f>SUM(D6:G6)</f>
        <v>243294.75</v>
      </c>
    </row>
    <row r="7" spans="2:9" x14ac:dyDescent="0.2">
      <c r="B7" t="s">
        <v>320</v>
      </c>
      <c r="D7" s="247">
        <v>8175913</v>
      </c>
      <c r="E7" s="247">
        <f>1741058+15800398+37909</f>
        <v>17579365</v>
      </c>
      <c r="F7" s="247">
        <f>3227206+6768</f>
        <v>3233974</v>
      </c>
      <c r="G7" s="247">
        <v>193576</v>
      </c>
      <c r="H7" s="247"/>
      <c r="I7" s="247">
        <f t="shared" ref="I7:I28" si="0">SUM(D7:G7)</f>
        <v>29182828</v>
      </c>
    </row>
    <row r="8" spans="2:9" x14ac:dyDescent="0.2">
      <c r="D8" s="246">
        <v>72683.86</v>
      </c>
      <c r="E8" s="246">
        <f>12936.06+72049.81+44160.7</f>
        <v>129146.56999999999</v>
      </c>
      <c r="F8" s="246">
        <f>13328.36+11244.62</f>
        <v>24572.980000000003</v>
      </c>
      <c r="G8" s="246">
        <v>1432.46</v>
      </c>
      <c r="H8" s="246"/>
      <c r="I8" s="246">
        <f t="shared" si="0"/>
        <v>227835.87</v>
      </c>
    </row>
    <row r="9" spans="2:9" x14ac:dyDescent="0.2">
      <c r="B9" t="s">
        <v>321</v>
      </c>
      <c r="D9" s="247">
        <v>6504637</v>
      </c>
      <c r="E9" s="247">
        <f>1399820+13627502+36654</f>
        <v>15063976</v>
      </c>
      <c r="F9" s="247">
        <f>2820473+5488</f>
        <v>2825961</v>
      </c>
      <c r="G9" s="247">
        <v>190070</v>
      </c>
      <c r="H9" s="247"/>
      <c r="I9" s="247">
        <f t="shared" si="0"/>
        <v>24584644</v>
      </c>
    </row>
    <row r="10" spans="2:9" x14ac:dyDescent="0.2">
      <c r="D10" s="246">
        <f>57826.22</f>
        <v>57826.22</v>
      </c>
      <c r="E10" s="246">
        <f>10400.66+62141.41+42698.72</f>
        <v>115240.79000000001</v>
      </c>
      <c r="F10" s="246">
        <f>11648.55+9118.56</f>
        <v>20767.11</v>
      </c>
      <c r="G10" s="246">
        <v>1406.52</v>
      </c>
      <c r="H10" s="246"/>
      <c r="I10" s="246">
        <f t="shared" si="0"/>
        <v>195240.63999999998</v>
      </c>
    </row>
    <row r="11" spans="2:9" x14ac:dyDescent="0.2">
      <c r="B11" t="s">
        <v>322</v>
      </c>
      <c r="D11" s="247">
        <v>6724489</v>
      </c>
      <c r="E11" s="247">
        <f>1517192+15026333+36970</f>
        <v>16580495</v>
      </c>
      <c r="F11" s="247">
        <f>3209535+5953</f>
        <v>3215488</v>
      </c>
      <c r="G11" s="247">
        <v>159972</v>
      </c>
      <c r="H11" s="247"/>
      <c r="I11" s="247">
        <f t="shared" si="0"/>
        <v>26680444</v>
      </c>
    </row>
    <row r="12" spans="2:9" x14ac:dyDescent="0.2">
      <c r="D12" s="246">
        <v>59780.71</v>
      </c>
      <c r="E12" s="246">
        <f>11272.74+68520.08+43066.25</f>
        <v>122859.07</v>
      </c>
      <c r="F12" s="246">
        <f>13255.38+9890.51</f>
        <v>23145.89</v>
      </c>
      <c r="G12" s="246">
        <v>1183.79</v>
      </c>
      <c r="H12" s="246"/>
      <c r="I12" s="246">
        <f t="shared" si="0"/>
        <v>206969.46</v>
      </c>
    </row>
    <row r="13" spans="2:9" x14ac:dyDescent="0.2">
      <c r="B13" t="s">
        <v>304</v>
      </c>
      <c r="D13" s="247">
        <v>5763635</v>
      </c>
      <c r="E13" s="247">
        <f>1296318+14242169+39274</f>
        <v>15577761</v>
      </c>
      <c r="F13" s="247">
        <f>3531908+7344</f>
        <v>3539252</v>
      </c>
      <c r="G13" s="247">
        <v>143030</v>
      </c>
      <c r="H13" s="247"/>
      <c r="I13" s="247">
        <f t="shared" si="0"/>
        <v>25023678</v>
      </c>
    </row>
    <row r="14" spans="2:9" x14ac:dyDescent="0.2">
      <c r="D14" s="246">
        <v>51238.720000000001</v>
      </c>
      <c r="E14" s="246">
        <f>9631.64+64944.29+45750.78</f>
        <v>120326.70999999999</v>
      </c>
      <c r="F14" s="246">
        <f>14586.78+12200.52</f>
        <v>26787.300000000003</v>
      </c>
      <c r="G14" s="246">
        <v>1058.42</v>
      </c>
      <c r="H14" s="246"/>
      <c r="I14" s="246">
        <f t="shared" si="0"/>
        <v>199411.15</v>
      </c>
    </row>
    <row r="15" spans="2:9" x14ac:dyDescent="0.2">
      <c r="B15" t="s">
        <v>323</v>
      </c>
      <c r="D15" s="247">
        <v>5508398</v>
      </c>
      <c r="E15" s="247">
        <f>1340029+15319955+41199</f>
        <v>16701183</v>
      </c>
      <c r="F15" s="247">
        <f>3866835+8201</f>
        <v>3875036</v>
      </c>
      <c r="G15" s="247">
        <v>126773</v>
      </c>
      <c r="H15" s="247"/>
      <c r="I15" s="247">
        <f t="shared" si="0"/>
        <v>26211390</v>
      </c>
    </row>
    <row r="16" spans="2:9" x14ac:dyDescent="0.2">
      <c r="D16" s="246">
        <v>48969.66</v>
      </c>
      <c r="E16" s="246">
        <f>9956.42+69858.99+47992.58</f>
        <v>127807.99</v>
      </c>
      <c r="F16" s="246">
        <f>15970.03+13625.07</f>
        <v>29595.1</v>
      </c>
      <c r="G16" s="246">
        <v>938.12</v>
      </c>
      <c r="H16" s="246"/>
      <c r="I16" s="246">
        <f t="shared" si="0"/>
        <v>207310.87000000002</v>
      </c>
    </row>
    <row r="17" spans="2:9" x14ac:dyDescent="0.2">
      <c r="B17" t="s">
        <v>324</v>
      </c>
      <c r="D17" s="247">
        <v>6876387</v>
      </c>
      <c r="E17" s="247">
        <f>1529153+16844866+45449</f>
        <v>18419468</v>
      </c>
      <c r="F17" s="247">
        <f>4233056+9105</f>
        <v>4242161</v>
      </c>
      <c r="G17" s="247">
        <v>135991</v>
      </c>
      <c r="H17" s="247"/>
      <c r="I17" s="247">
        <f t="shared" si="0"/>
        <v>29674007</v>
      </c>
    </row>
    <row r="18" spans="2:9" x14ac:dyDescent="0.2">
      <c r="D18" s="246">
        <v>61131.08</v>
      </c>
      <c r="E18" s="246">
        <f>11361.61+76812.59+52943.95</f>
        <v>141118.15</v>
      </c>
      <c r="F18" s="246">
        <f>17482.52+15126.45</f>
        <v>32608.97</v>
      </c>
      <c r="G18" s="246">
        <v>1006.33</v>
      </c>
      <c r="H18" s="246"/>
      <c r="I18" s="246">
        <f t="shared" si="0"/>
        <v>235864.52999999997</v>
      </c>
    </row>
    <row r="19" spans="2:9" x14ac:dyDescent="0.2">
      <c r="B19" t="s">
        <v>325</v>
      </c>
      <c r="D19" s="247">
        <f>8639992</f>
        <v>8639992</v>
      </c>
      <c r="E19" s="247">
        <f>1757742+18585005+44392</f>
        <v>20387139</v>
      </c>
      <c r="F19" s="247">
        <f>4509646+8491</f>
        <v>4518137</v>
      </c>
      <c r="G19" s="247">
        <v>153814</v>
      </c>
      <c r="H19" s="247"/>
      <c r="I19" s="247">
        <f t="shared" si="0"/>
        <v>33699082</v>
      </c>
    </row>
    <row r="20" spans="2:9" x14ac:dyDescent="0.2">
      <c r="D20" s="246">
        <v>76809.53</v>
      </c>
      <c r="E20" s="246">
        <f>13060.02+84747.62+51712.3</f>
        <v>149519.94</v>
      </c>
      <c r="F20" s="246">
        <f>18624.84+14106.22</f>
        <v>32731.059999999998</v>
      </c>
      <c r="G20" s="246">
        <v>1138.22</v>
      </c>
      <c r="H20" s="246"/>
      <c r="I20" s="246">
        <f t="shared" si="0"/>
        <v>260198.75</v>
      </c>
    </row>
    <row r="21" spans="2:9" x14ac:dyDescent="0.2">
      <c r="B21" t="s">
        <v>326</v>
      </c>
      <c r="D21" s="247">
        <v>7998481</v>
      </c>
      <c r="E21" s="247">
        <f>1600143+18120884+46796</f>
        <v>19767823</v>
      </c>
      <c r="F21" s="247">
        <f>4263529+9177</f>
        <v>4272706</v>
      </c>
      <c r="G21" s="247">
        <v>170628</v>
      </c>
      <c r="H21" s="247"/>
      <c r="I21" s="247">
        <f t="shared" si="0"/>
        <v>32209638</v>
      </c>
    </row>
    <row r="22" spans="2:9" x14ac:dyDescent="0.2">
      <c r="D22" s="246">
        <v>71106.5</v>
      </c>
      <c r="E22" s="246">
        <f>11889.06+82631.23+54512.67</f>
        <v>149032.95999999999</v>
      </c>
      <c r="F22" s="246">
        <f>17608.37+15246.87</f>
        <v>32855.24</v>
      </c>
      <c r="G22" s="246">
        <v>1262.6500000000001</v>
      </c>
      <c r="H22" s="246"/>
      <c r="I22" s="246">
        <f t="shared" si="0"/>
        <v>254257.34999999998</v>
      </c>
    </row>
    <row r="23" spans="2:9" x14ac:dyDescent="0.2">
      <c r="B23" t="s">
        <v>327</v>
      </c>
      <c r="D23" s="247">
        <v>6153577</v>
      </c>
      <c r="E23" s="247">
        <f>1335174+15719861+43532</f>
        <v>17098567</v>
      </c>
      <c r="F23" s="247">
        <f>3760002+8092</f>
        <v>3768094</v>
      </c>
      <c r="G23" s="247">
        <f>200516</f>
        <v>200516</v>
      </c>
      <c r="H23" s="247"/>
      <c r="I23" s="247">
        <f t="shared" si="0"/>
        <v>27220754</v>
      </c>
    </row>
    <row r="24" spans="2:9" x14ac:dyDescent="0.2">
      <c r="D24" s="246">
        <v>54705.3</v>
      </c>
      <c r="E24" s="246">
        <f>9920.34+71682.57+50710.33</f>
        <v>132313.24</v>
      </c>
      <c r="F24" s="246">
        <f>15528.81+13443.25</f>
        <v>28972.059999999998</v>
      </c>
      <c r="G24" s="246">
        <f>1483.82</f>
        <v>1483.82</v>
      </c>
      <c r="H24" s="246"/>
      <c r="I24" s="246">
        <f t="shared" si="0"/>
        <v>217474.41999999998</v>
      </c>
    </row>
    <row r="25" spans="2:9" x14ac:dyDescent="0.2">
      <c r="B25" t="s">
        <v>328</v>
      </c>
      <c r="D25" s="247">
        <v>6511776</v>
      </c>
      <c r="E25" s="247">
        <f>1392375+14861378+38828</f>
        <v>16292581</v>
      </c>
      <c r="F25" s="247">
        <f>3278576+6317</f>
        <v>3284893</v>
      </c>
      <c r="G25" s="247">
        <v>214640</v>
      </c>
      <c r="H25" s="247"/>
      <c r="I25" s="247">
        <f t="shared" si="0"/>
        <v>26303890</v>
      </c>
    </row>
    <row r="26" spans="2:9" x14ac:dyDescent="0.2">
      <c r="D26" s="246">
        <v>57889.69</v>
      </c>
      <c r="E26" s="246">
        <f>10345.35+67767.88+45230.98</f>
        <v>123344.21000000002</v>
      </c>
      <c r="F26" s="246">
        <f>13540.52+10495.26</f>
        <v>24035.78</v>
      </c>
      <c r="G26" s="246">
        <v>1588.34</v>
      </c>
      <c r="H26" s="246"/>
      <c r="I26" s="246">
        <f t="shared" si="0"/>
        <v>206858.02000000002</v>
      </c>
    </row>
    <row r="27" spans="2:9" x14ac:dyDescent="0.2">
      <c r="B27" t="s">
        <v>329</v>
      </c>
      <c r="D27" s="247">
        <v>7268852</v>
      </c>
      <c r="E27" s="247">
        <f>1467834+14102490+36718</f>
        <v>15607042</v>
      </c>
      <c r="F27" s="247">
        <f>3040480+5868</f>
        <v>3046348</v>
      </c>
      <c r="G27" s="247">
        <v>232527</v>
      </c>
      <c r="H27" s="247"/>
      <c r="I27" s="247">
        <f t="shared" si="0"/>
        <v>26154769</v>
      </c>
    </row>
    <row r="28" spans="2:9" x14ac:dyDescent="0.2">
      <c r="D28" s="246">
        <v>64620.09</v>
      </c>
      <c r="E28" s="246">
        <f>10906.01+64307.35+42772.53</f>
        <v>117985.89</v>
      </c>
      <c r="F28" s="246">
        <f>12557.18+9748.83</f>
        <v>22306.010000000002</v>
      </c>
      <c r="G28" s="246">
        <v>1720.7</v>
      </c>
      <c r="H28" s="246"/>
      <c r="I28" s="246">
        <f t="shared" si="0"/>
        <v>206632.69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
  <dimension ref="A1:AT141"/>
  <sheetViews>
    <sheetView topLeftCell="C1" zoomScale="85" zoomScaleNormal="85" workbookViewId="0">
      <selection activeCell="M43" sqref="M43"/>
    </sheetView>
  </sheetViews>
  <sheetFormatPr defaultColWidth="9.140625" defaultRowHeight="15" x14ac:dyDescent="0.25"/>
  <cols>
    <col min="1" max="1" width="60.85546875" style="1" customWidth="1"/>
    <col min="2" max="2" width="16.85546875" style="1" customWidth="1"/>
    <col min="3" max="3" width="14.5703125" style="1" customWidth="1"/>
    <col min="4" max="4" width="13.42578125" style="1" customWidth="1"/>
    <col min="5" max="5" width="16" style="1" customWidth="1"/>
    <col min="6" max="6" width="12.85546875" style="1" customWidth="1"/>
    <col min="7" max="7" width="14.140625" style="1" customWidth="1"/>
    <col min="8" max="8" width="15.7109375" style="1" customWidth="1"/>
    <col min="9" max="9" width="14.28515625" style="1" customWidth="1"/>
    <col min="10" max="10" width="27.140625" style="1" customWidth="1"/>
    <col min="11" max="11" width="11.5703125" style="1" customWidth="1"/>
    <col min="12" max="12" width="27.140625" style="1" customWidth="1"/>
    <col min="13" max="13" width="13" style="1" customWidth="1"/>
    <col min="14" max="14" width="14.140625" style="1" customWidth="1"/>
    <col min="15" max="15" width="16.42578125" style="1" customWidth="1"/>
    <col min="16" max="16" width="16.7109375" style="1" customWidth="1"/>
    <col min="17" max="17" width="14.140625" style="1" customWidth="1"/>
    <col min="18" max="18" width="9.85546875" style="1" customWidth="1"/>
    <col min="19" max="19" width="22.42578125" style="1" customWidth="1"/>
    <col min="20" max="22" width="16.5703125" style="1" customWidth="1"/>
    <col min="23" max="25" width="13.28515625" style="1" customWidth="1"/>
    <col min="26" max="16384" width="9.140625" style="1"/>
  </cols>
  <sheetData>
    <row r="1" spans="1:19" x14ac:dyDescent="0.25">
      <c r="A1" s="12" t="str">
        <f>+'EEC Collection True-Up'!A1</f>
        <v>BURLINGTON ELECTRIC DEPARTMENT</v>
      </c>
    </row>
    <row r="2" spans="1:19" x14ac:dyDescent="0.25">
      <c r="A2" s="532" t="s">
        <v>452</v>
      </c>
      <c r="B2" s="532"/>
      <c r="C2" s="532"/>
      <c r="D2" s="532"/>
      <c r="E2" s="532"/>
      <c r="F2" s="532"/>
      <c r="G2" s="532"/>
      <c r="H2" s="532"/>
      <c r="I2" s="532"/>
    </row>
    <row r="3" spans="1:19" x14ac:dyDescent="0.25">
      <c r="A3" s="42"/>
      <c r="B3" s="13"/>
      <c r="C3" s="13"/>
      <c r="D3" s="13"/>
      <c r="E3" s="13"/>
      <c r="N3" s="249"/>
      <c r="O3" s="249"/>
      <c r="P3" s="249"/>
    </row>
    <row r="4" spans="1:19" x14ac:dyDescent="0.25">
      <c r="F4" s="30"/>
      <c r="H4" s="30"/>
      <c r="I4" s="43"/>
      <c r="L4" s="342"/>
    </row>
    <row r="5" spans="1:19" ht="13.5" customHeight="1" thickBot="1" x14ac:dyDescent="0.3">
      <c r="C5" s="531" t="s">
        <v>49</v>
      </c>
      <c r="D5" s="531"/>
      <c r="E5" s="531"/>
      <c r="F5" s="30"/>
      <c r="G5" s="30"/>
      <c r="H5" s="30"/>
      <c r="N5" s="12"/>
      <c r="O5" s="12"/>
      <c r="P5" s="12"/>
    </row>
    <row r="6" spans="1:19" x14ac:dyDescent="0.25">
      <c r="A6" s="12"/>
      <c r="C6" s="13"/>
      <c r="D6" s="13"/>
      <c r="F6" s="30"/>
      <c r="G6" s="44"/>
      <c r="H6" s="30"/>
      <c r="K6" s="343"/>
    </row>
    <row r="7" spans="1:19" ht="15.75" thickBot="1" x14ac:dyDescent="0.3">
      <c r="A7" s="45" t="s">
        <v>157</v>
      </c>
      <c r="C7" s="46"/>
      <c r="D7" s="46" t="s">
        <v>50</v>
      </c>
      <c r="F7" s="30"/>
      <c r="G7" s="44"/>
      <c r="H7" s="30"/>
    </row>
    <row r="8" spans="1:19" x14ac:dyDescent="0.25">
      <c r="A8" s="12"/>
      <c r="C8" s="46"/>
      <c r="D8" s="46"/>
      <c r="F8" s="30"/>
      <c r="H8" s="46"/>
      <c r="I8" s="47"/>
      <c r="J8" s="46"/>
      <c r="M8" s="24"/>
      <c r="N8" s="24"/>
      <c r="O8" s="2"/>
      <c r="P8" s="2"/>
      <c r="Q8" s="24"/>
      <c r="R8" s="24"/>
    </row>
    <row r="9" spans="1:19" x14ac:dyDescent="0.25">
      <c r="A9" s="1" t="s">
        <v>351</v>
      </c>
      <c r="C9" s="24"/>
      <c r="D9" s="24">
        <v>2691482</v>
      </c>
      <c r="E9" s="1" t="s">
        <v>447</v>
      </c>
      <c r="G9" s="12"/>
      <c r="H9" s="30"/>
      <c r="I9" s="30"/>
      <c r="M9" s="24"/>
      <c r="N9" s="344"/>
      <c r="O9" s="344"/>
      <c r="P9" s="344"/>
    </row>
    <row r="10" spans="1:19" x14ac:dyDescent="0.25">
      <c r="A10" s="351" t="s">
        <v>352</v>
      </c>
      <c r="C10" s="24"/>
      <c r="D10" s="341">
        <f>931050/3</f>
        <v>310350</v>
      </c>
      <c r="E10" s="1" t="s">
        <v>353</v>
      </c>
      <c r="G10" s="12"/>
      <c r="H10" s="30"/>
      <c r="I10" s="30"/>
      <c r="M10" s="24"/>
      <c r="N10" s="344"/>
      <c r="O10" s="344"/>
      <c r="P10" s="344"/>
    </row>
    <row r="11" spans="1:19" x14ac:dyDescent="0.25">
      <c r="A11" s="351" t="s">
        <v>354</v>
      </c>
      <c r="C11" s="24"/>
      <c r="D11" s="341">
        <f>350442/2</f>
        <v>175221</v>
      </c>
      <c r="E11" s="1" t="s">
        <v>355</v>
      </c>
      <c r="G11" s="12"/>
      <c r="H11" s="30"/>
      <c r="I11" s="30"/>
      <c r="M11" s="24"/>
      <c r="N11" s="344"/>
      <c r="O11" s="344"/>
      <c r="P11" s="344"/>
    </row>
    <row r="12" spans="1:19" x14ac:dyDescent="0.25">
      <c r="A12" s="352" t="s">
        <v>453</v>
      </c>
      <c r="C12" s="24"/>
      <c r="D12" s="24">
        <f>D9-D10-D11</f>
        <v>2205911</v>
      </c>
      <c r="G12" s="12"/>
      <c r="H12" s="30"/>
      <c r="I12" s="30"/>
      <c r="M12" s="24"/>
      <c r="N12" s="344"/>
      <c r="O12" s="344"/>
      <c r="P12" s="344"/>
    </row>
    <row r="13" spans="1:19" x14ac:dyDescent="0.25">
      <c r="C13" s="24"/>
      <c r="D13" s="30"/>
      <c r="F13" s="30"/>
      <c r="G13" s="12">
        <v>931050</v>
      </c>
      <c r="H13" s="30"/>
      <c r="I13" s="30"/>
      <c r="O13" s="24"/>
    </row>
    <row r="14" spans="1:19" x14ac:dyDescent="0.25">
      <c r="A14" s="1" t="s">
        <v>277</v>
      </c>
      <c r="C14" s="24"/>
      <c r="D14" s="30"/>
      <c r="F14" s="30"/>
      <c r="G14" s="12">
        <v>350442</v>
      </c>
      <c r="H14" s="30"/>
      <c r="I14" s="30"/>
    </row>
    <row r="15" spans="1:19" x14ac:dyDescent="0.25">
      <c r="A15" s="1" t="s">
        <v>502</v>
      </c>
      <c r="C15" s="24"/>
      <c r="F15" s="30"/>
      <c r="G15" s="30">
        <f>G13+G14</f>
        <v>1281492</v>
      </c>
      <c r="H15" s="30"/>
      <c r="N15" s="24"/>
      <c r="O15" s="2"/>
      <c r="P15" s="2"/>
      <c r="Q15" s="2"/>
      <c r="R15" s="2"/>
      <c r="S15" s="2"/>
    </row>
    <row r="16" spans="1:19" x14ac:dyDescent="0.25">
      <c r="A16" s="1" t="s">
        <v>503</v>
      </c>
      <c r="C16" s="24"/>
      <c r="F16" s="30"/>
      <c r="G16" s="30"/>
      <c r="H16" s="30"/>
      <c r="M16" s="24"/>
      <c r="N16" s="345"/>
      <c r="O16" s="345"/>
      <c r="P16" s="345"/>
      <c r="Q16" s="2"/>
      <c r="R16" s="2"/>
      <c r="S16" s="2"/>
    </row>
    <row r="17" spans="1:22" ht="15.75" thickBot="1" x14ac:dyDescent="0.3">
      <c r="C17" s="24"/>
      <c r="F17" s="30"/>
      <c r="G17" s="30"/>
      <c r="H17" s="30"/>
      <c r="M17" s="24"/>
      <c r="N17" s="344"/>
      <c r="O17" s="344"/>
      <c r="P17" s="344"/>
    </row>
    <row r="18" spans="1:22" x14ac:dyDescent="0.25">
      <c r="A18" s="1" t="s">
        <v>217</v>
      </c>
      <c r="C18" s="24"/>
      <c r="D18" s="260"/>
      <c r="F18" s="30"/>
      <c r="G18" s="24"/>
      <c r="H18" s="24"/>
      <c r="I18" s="113"/>
      <c r="N18" s="24"/>
      <c r="O18" s="2"/>
      <c r="P18" s="2"/>
    </row>
    <row r="19" spans="1:22" x14ac:dyDescent="0.25">
      <c r="A19" s="1" t="s">
        <v>454</v>
      </c>
      <c r="C19" s="24"/>
      <c r="D19" s="261">
        <f>-'EEC Uncollectibles'!E25</f>
        <v>-687</v>
      </c>
      <c r="F19" s="30"/>
      <c r="G19" s="30"/>
      <c r="H19" s="30"/>
      <c r="M19" s="24"/>
      <c r="N19" s="24"/>
      <c r="O19" s="2"/>
      <c r="P19" s="2"/>
      <c r="Q19" s="2"/>
      <c r="R19" s="2"/>
    </row>
    <row r="20" spans="1:22" x14ac:dyDescent="0.25">
      <c r="A20" s="1" t="s">
        <v>455</v>
      </c>
      <c r="C20" s="24"/>
      <c r="D20" s="261">
        <f>-'EEC Uncollectibles'!G25</f>
        <v>-8607.7199999999993</v>
      </c>
      <c r="E20" s="24">
        <f>D19+D20</f>
        <v>-9294.7199999999993</v>
      </c>
      <c r="F20" s="30"/>
      <c r="G20" s="30"/>
      <c r="H20" s="30"/>
      <c r="I20" s="48"/>
      <c r="M20" s="24"/>
      <c r="N20" s="341"/>
      <c r="O20" s="341"/>
      <c r="P20" s="341"/>
      <c r="Q20" s="2"/>
      <c r="R20" s="2"/>
    </row>
    <row r="21" spans="1:22" x14ac:dyDescent="0.25">
      <c r="A21" s="1" t="s">
        <v>158</v>
      </c>
      <c r="C21" s="24"/>
      <c r="D21" s="262">
        <f>+D19+D12+D20</f>
        <v>2196616.2799999998</v>
      </c>
      <c r="F21" s="30"/>
      <c r="G21" s="30"/>
      <c r="H21" s="30"/>
      <c r="N21" s="24"/>
      <c r="O21" s="2"/>
      <c r="P21" s="2"/>
      <c r="Q21" s="2"/>
      <c r="R21" s="2"/>
      <c r="S21" s="2"/>
    </row>
    <row r="22" spans="1:22" x14ac:dyDescent="0.25">
      <c r="C22" s="24"/>
      <c r="D22" s="261"/>
      <c r="F22" s="30"/>
      <c r="G22" s="30"/>
      <c r="H22" s="30"/>
      <c r="M22" s="24"/>
      <c r="N22" s="24"/>
      <c r="O22" s="2"/>
      <c r="P22" s="2"/>
      <c r="Q22" s="2"/>
      <c r="R22" s="2"/>
      <c r="S22" s="2"/>
    </row>
    <row r="23" spans="1:22" x14ac:dyDescent="0.25">
      <c r="A23" s="1" t="s">
        <v>456</v>
      </c>
      <c r="C23" s="24"/>
      <c r="D23" s="261"/>
      <c r="F23" s="30"/>
      <c r="G23" s="30"/>
      <c r="M23" s="24"/>
      <c r="N23" s="341"/>
      <c r="O23" s="341"/>
      <c r="P23" s="341"/>
      <c r="Q23" s="2"/>
      <c r="R23" s="2"/>
    </row>
    <row r="24" spans="1:22" x14ac:dyDescent="0.25">
      <c r="A24" s="42" t="s">
        <v>164</v>
      </c>
      <c r="C24" s="24"/>
      <c r="D24" s="261">
        <f>-'EEC Collection True-Up'!K10</f>
        <v>-12882.444575220114</v>
      </c>
      <c r="F24" s="30"/>
      <c r="G24" s="30"/>
      <c r="N24" s="24"/>
      <c r="O24" s="2"/>
      <c r="P24" s="2"/>
      <c r="Q24" s="2"/>
      <c r="R24" s="2"/>
    </row>
    <row r="25" spans="1:22" x14ac:dyDescent="0.25">
      <c r="A25" s="42" t="s">
        <v>165</v>
      </c>
      <c r="C25" s="24"/>
      <c r="D25" s="261">
        <f>-'EEC Collection True-Up'!K11</f>
        <v>1146.8423699010164</v>
      </c>
      <c r="F25" s="30"/>
      <c r="M25" s="24"/>
      <c r="N25" s="24"/>
      <c r="O25" s="2"/>
      <c r="P25" s="2"/>
      <c r="Q25" s="2"/>
      <c r="R25" s="2"/>
    </row>
    <row r="26" spans="1:22" x14ac:dyDescent="0.25">
      <c r="A26" s="42" t="s">
        <v>166</v>
      </c>
      <c r="C26" s="24"/>
      <c r="D26" s="263">
        <f>-'EEC Collection True-Up'!K12</f>
        <v>-24675.447794681124</v>
      </c>
      <c r="F26" s="30"/>
      <c r="G26" s="30"/>
      <c r="I26" s="30"/>
      <c r="M26" s="24"/>
      <c r="N26" s="341"/>
      <c r="O26" s="341"/>
      <c r="P26" s="341"/>
      <c r="Q26" s="2"/>
      <c r="R26" s="2"/>
    </row>
    <row r="27" spans="1:22" x14ac:dyDescent="0.25">
      <c r="A27" s="42"/>
      <c r="C27" s="24"/>
      <c r="D27" s="261">
        <f>SUM(D24:D26)</f>
        <v>-36411.050000000221</v>
      </c>
      <c r="E27" s="1" t="str">
        <f>IF(D27&lt;0,"overcollected","undercollected")</f>
        <v>overcollected</v>
      </c>
      <c r="F27" s="30"/>
      <c r="G27" s="30"/>
      <c r="H27" s="30"/>
      <c r="I27" s="30"/>
      <c r="J27" s="24"/>
      <c r="Q27" s="2"/>
      <c r="R27" s="2"/>
    </row>
    <row r="28" spans="1:22" x14ac:dyDescent="0.25">
      <c r="A28" s="1" t="s">
        <v>457</v>
      </c>
      <c r="C28" s="24"/>
      <c r="D28" s="261"/>
      <c r="F28" s="30"/>
      <c r="G28" s="30"/>
      <c r="H28" s="30"/>
      <c r="I28" s="30"/>
      <c r="Q28" s="2"/>
    </row>
    <row r="29" spans="1:22" x14ac:dyDescent="0.25">
      <c r="A29" s="42" t="s">
        <v>164</v>
      </c>
      <c r="C29" s="24"/>
      <c r="D29" s="261">
        <f>-'EEC Collection True-Up'!K26</f>
        <v>-64398.092358087189</v>
      </c>
      <c r="F29" s="30"/>
      <c r="G29" s="30"/>
      <c r="H29" s="30"/>
      <c r="I29" s="347"/>
      <c r="J29" s="348"/>
      <c r="L29" s="12"/>
      <c r="M29" s="12"/>
      <c r="N29" s="81"/>
      <c r="O29" s="81"/>
      <c r="P29" s="81"/>
      <c r="Q29" s="24"/>
      <c r="R29" s="2"/>
    </row>
    <row r="30" spans="1:22" x14ac:dyDescent="0.25">
      <c r="A30" s="42" t="s">
        <v>165</v>
      </c>
      <c r="C30" s="24"/>
      <c r="D30" s="261">
        <f>-'EEC Collection True-Up'!K27</f>
        <v>-141448.54780191975</v>
      </c>
      <c r="E30" s="1" t="str">
        <f>IF(D30&lt;0,"overcollected","undercollected")</f>
        <v>overcollected</v>
      </c>
      <c r="F30" s="30"/>
      <c r="G30" s="30"/>
      <c r="H30" s="30"/>
      <c r="I30" s="347"/>
      <c r="M30" s="24"/>
      <c r="N30" s="341"/>
      <c r="O30" s="341"/>
      <c r="P30" s="341"/>
      <c r="Q30" s="24"/>
      <c r="R30" s="24"/>
      <c r="T30" s="2"/>
      <c r="U30" s="2"/>
      <c r="V30" s="2"/>
    </row>
    <row r="31" spans="1:22" x14ac:dyDescent="0.25">
      <c r="A31" s="42" t="s">
        <v>166</v>
      </c>
      <c r="C31" s="24"/>
      <c r="D31" s="263">
        <f>-'EEC Collection True-Up'!K28</f>
        <v>-18049.357224992942</v>
      </c>
      <c r="F31" s="30"/>
      <c r="G31" s="30"/>
      <c r="H31" s="30"/>
      <c r="I31" s="30"/>
      <c r="J31" s="24"/>
      <c r="N31" s="24"/>
      <c r="O31" s="24"/>
      <c r="P31" s="24"/>
      <c r="Q31" s="24"/>
      <c r="R31" s="24"/>
      <c r="T31" s="2"/>
      <c r="U31" s="2"/>
      <c r="V31" s="2"/>
    </row>
    <row r="32" spans="1:22" x14ac:dyDescent="0.25">
      <c r="A32" s="42"/>
      <c r="C32" s="24"/>
      <c r="D32" s="261">
        <f>SUM(D29:D31)</f>
        <v>-223895.99738499988</v>
      </c>
      <c r="E32" s="1" t="str">
        <f>IF(D32&lt;0,"overcollected","undercollected")</f>
        <v>overcollected</v>
      </c>
      <c r="F32" s="30"/>
      <c r="G32" s="30"/>
      <c r="H32" s="30"/>
      <c r="I32" s="30"/>
      <c r="J32" s="24"/>
      <c r="Q32" s="24"/>
      <c r="R32" s="24"/>
      <c r="T32" s="2"/>
      <c r="U32" s="2"/>
      <c r="V32" s="2"/>
    </row>
    <row r="33" spans="1:19" ht="15.75" thickBot="1" x14ac:dyDescent="0.3">
      <c r="A33" s="1" t="s">
        <v>90</v>
      </c>
      <c r="D33" s="264"/>
      <c r="F33" s="30"/>
      <c r="G33" s="30"/>
      <c r="H33" s="30"/>
      <c r="I33" s="30"/>
      <c r="J33" s="349"/>
      <c r="Q33" s="2"/>
      <c r="R33" s="2"/>
    </row>
    <row r="34" spans="1:19" x14ac:dyDescent="0.25">
      <c r="A34" s="42" t="s">
        <v>215</v>
      </c>
      <c r="C34" s="24"/>
      <c r="D34" s="309">
        <f>I34</f>
        <v>0</v>
      </c>
      <c r="E34" s="268"/>
      <c r="F34" s="30"/>
      <c r="G34" s="30"/>
      <c r="H34" s="30"/>
      <c r="I34" s="30"/>
      <c r="J34" s="350"/>
      <c r="Q34" s="2"/>
      <c r="R34" s="2"/>
    </row>
    <row r="35" spans="1:19" x14ac:dyDescent="0.25">
      <c r="A35" s="42" t="s">
        <v>164</v>
      </c>
      <c r="C35" s="24"/>
      <c r="D35" s="24">
        <f>+D34*G49/G53</f>
        <v>0</v>
      </c>
      <c r="E35" s="255"/>
      <c r="G35" s="30"/>
      <c r="H35" s="30"/>
      <c r="I35" s="83"/>
      <c r="J35" s="270"/>
      <c r="Q35" s="2"/>
      <c r="R35" s="2"/>
    </row>
    <row r="36" spans="1:19" x14ac:dyDescent="0.25">
      <c r="A36" s="42" t="s">
        <v>165</v>
      </c>
      <c r="C36" s="24"/>
      <c r="D36" s="24">
        <f>+D34*G50/G53</f>
        <v>0</v>
      </c>
      <c r="E36" s="255"/>
      <c r="G36" s="30"/>
      <c r="H36" s="30"/>
      <c r="I36" s="83"/>
      <c r="J36" s="270"/>
      <c r="Q36" s="2"/>
      <c r="R36" s="2"/>
    </row>
    <row r="37" spans="1:19" x14ac:dyDescent="0.25">
      <c r="A37" s="42" t="s">
        <v>166</v>
      </c>
      <c r="C37" s="24"/>
      <c r="D37" s="51">
        <f>+D34*G51/G53</f>
        <v>0</v>
      </c>
      <c r="F37" s="30"/>
      <c r="I37" s="83"/>
      <c r="J37" s="270"/>
      <c r="N37" s="24"/>
      <c r="O37" s="24"/>
      <c r="P37" s="24"/>
      <c r="Q37" s="24"/>
      <c r="R37" s="24"/>
      <c r="S37" s="24"/>
    </row>
    <row r="38" spans="1:19" x14ac:dyDescent="0.25">
      <c r="C38" s="24"/>
      <c r="D38" s="49">
        <f>SUM(D35:D37)</f>
        <v>0</v>
      </c>
      <c r="F38" s="30"/>
      <c r="H38" s="30"/>
      <c r="I38" s="337"/>
      <c r="N38" s="24"/>
      <c r="O38" s="24"/>
      <c r="P38" s="24"/>
      <c r="Q38" s="24"/>
      <c r="R38" s="24"/>
      <c r="S38" s="24"/>
    </row>
    <row r="39" spans="1:19" x14ac:dyDescent="0.25">
      <c r="C39" s="24"/>
      <c r="D39" s="24"/>
      <c r="F39" s="270">
        <v>5.0000000000000001E-3</v>
      </c>
      <c r="G39" s="1" t="s">
        <v>339</v>
      </c>
      <c r="H39" s="30"/>
      <c r="N39" s="24"/>
      <c r="O39" s="24"/>
      <c r="P39" s="24"/>
      <c r="Q39" s="24"/>
      <c r="R39" s="24"/>
      <c r="S39" s="2"/>
    </row>
    <row r="40" spans="1:19" x14ac:dyDescent="0.25">
      <c r="A40" s="12" t="s">
        <v>356</v>
      </c>
      <c r="C40" s="24"/>
      <c r="D40" s="24">
        <f>+D32+D27+D21+D38</f>
        <v>1936309.2326149996</v>
      </c>
      <c r="F40" s="270">
        <v>5.2500000000000003E-3</v>
      </c>
      <c r="G40" s="1" t="s">
        <v>340</v>
      </c>
      <c r="H40" s="267"/>
      <c r="N40" s="24"/>
      <c r="O40" s="24"/>
      <c r="P40" s="24"/>
      <c r="Q40" s="24"/>
      <c r="R40" s="24"/>
    </row>
    <row r="41" spans="1:19" x14ac:dyDescent="0.25">
      <c r="A41" s="1" t="s">
        <v>51</v>
      </c>
      <c r="B41" s="25"/>
      <c r="C41" s="52"/>
      <c r="D41" s="52">
        <f>D42-D40</f>
        <v>20151.546019939939</v>
      </c>
      <c r="F41" s="270">
        <f>F39+F40</f>
        <v>1.025E-2</v>
      </c>
      <c r="H41" s="267"/>
      <c r="I41" s="271"/>
    </row>
    <row r="42" spans="1:19" s="12" customFormat="1" ht="15.75" thickBot="1" x14ac:dyDescent="0.3">
      <c r="A42" s="53" t="s">
        <v>448</v>
      </c>
      <c r="B42" s="53"/>
      <c r="C42" s="54"/>
      <c r="D42" s="54">
        <f>D40/$E$42</f>
        <v>1956460.7786349396</v>
      </c>
      <c r="E42" s="272">
        <f>(1/1-0.0103)</f>
        <v>0.98970000000000002</v>
      </c>
      <c r="F42" s="24" t="s">
        <v>338</v>
      </c>
      <c r="G42" s="30"/>
      <c r="H42" s="30"/>
      <c r="J42" s="1"/>
      <c r="Q42" s="24"/>
      <c r="R42" s="24"/>
    </row>
    <row r="43" spans="1:19" s="12" customFormat="1" ht="15.75" thickTop="1" x14ac:dyDescent="0.25">
      <c r="C43" s="30"/>
      <c r="D43" s="30"/>
      <c r="E43" s="30"/>
      <c r="F43" s="30"/>
      <c r="G43" s="30"/>
      <c r="H43" s="30"/>
      <c r="J43" s="1"/>
      <c r="Q43" s="217"/>
      <c r="R43" s="217"/>
    </row>
    <row r="45" spans="1:19" x14ac:dyDescent="0.25">
      <c r="B45" s="533" t="s">
        <v>75</v>
      </c>
      <c r="C45" s="533"/>
      <c r="D45" s="533"/>
      <c r="E45" s="533"/>
      <c r="F45" s="533"/>
      <c r="G45" s="533"/>
    </row>
    <row r="46" spans="1:19" x14ac:dyDescent="0.25">
      <c r="A46" s="12" t="s">
        <v>93</v>
      </c>
      <c r="B46" s="55" t="s">
        <v>52</v>
      </c>
      <c r="C46" s="55">
        <v>2022</v>
      </c>
      <c r="D46" s="56">
        <v>2021</v>
      </c>
      <c r="E46" s="13" t="s">
        <v>52</v>
      </c>
      <c r="F46" s="56" t="s">
        <v>53</v>
      </c>
      <c r="G46" s="56"/>
    </row>
    <row r="47" spans="1:19" x14ac:dyDescent="0.25">
      <c r="B47" s="55" t="s">
        <v>91</v>
      </c>
      <c r="C47" s="56" t="s">
        <v>286</v>
      </c>
      <c r="D47" s="56" t="s">
        <v>286</v>
      </c>
      <c r="E47" s="13" t="s">
        <v>91</v>
      </c>
      <c r="F47" s="56" t="s">
        <v>54</v>
      </c>
      <c r="G47" s="56" t="s">
        <v>10</v>
      </c>
    </row>
    <row r="48" spans="1:19" ht="15.75" thickBot="1" x14ac:dyDescent="0.3">
      <c r="A48" s="1" t="s">
        <v>167</v>
      </c>
      <c r="B48" s="57" t="s">
        <v>55</v>
      </c>
      <c r="C48" s="253" t="s">
        <v>179</v>
      </c>
      <c r="D48" s="253" t="s">
        <v>179</v>
      </c>
      <c r="E48" s="273" t="s">
        <v>55</v>
      </c>
      <c r="F48" s="253" t="s">
        <v>26</v>
      </c>
      <c r="G48" s="253" t="s">
        <v>56</v>
      </c>
    </row>
    <row r="49" spans="1:46" x14ac:dyDescent="0.25">
      <c r="A49" s="1" t="s">
        <v>3</v>
      </c>
      <c r="B49" s="50">
        <f>+C49+D49+E49</f>
        <v>603377.96526532201</v>
      </c>
      <c r="C49" s="50">
        <f>+D29+D35</f>
        <v>-64398.092358087189</v>
      </c>
      <c r="D49" s="50">
        <f>+D24</f>
        <v>-12882.444575220114</v>
      </c>
      <c r="E49" s="50">
        <f>+F49*$D$21</f>
        <v>680658.50219862931</v>
      </c>
      <c r="F49" s="58">
        <f>G49/G53</f>
        <v>0.30986682034361929</v>
      </c>
      <c r="G49" s="50">
        <f>+'Util Rev and Load Data'!D25</f>
        <v>14352534.74</v>
      </c>
      <c r="H49" s="1" t="s">
        <v>375</v>
      </c>
    </row>
    <row r="50" spans="1:46" x14ac:dyDescent="0.25">
      <c r="A50" s="1" t="s">
        <v>278</v>
      </c>
      <c r="B50" s="50">
        <f>+C50+D50+E50</f>
        <v>1132992.9210448929</v>
      </c>
      <c r="C50" s="50">
        <f>+D30+D36</f>
        <v>-141448.54780191975</v>
      </c>
      <c r="D50" s="50">
        <f>+D25</f>
        <v>1146.8423699010164</v>
      </c>
      <c r="E50" s="50">
        <f>+F50*$D$21</f>
        <v>1273294.6264769116</v>
      </c>
      <c r="F50" s="58">
        <f>(G50/G53)</f>
        <v>0.5796618362843563</v>
      </c>
      <c r="G50" s="452">
        <f>'Util Rev and Load Data'!P25+'Util Rev and Load Data'!AB25</f>
        <v>26849007.691425558</v>
      </c>
    </row>
    <row r="51" spans="1:46" x14ac:dyDescent="0.25">
      <c r="A51" s="1" t="s">
        <v>47</v>
      </c>
      <c r="B51" s="60">
        <f>+C51+D51+E51</f>
        <v>199938.3463047852</v>
      </c>
      <c r="C51" s="60">
        <f>+D31+D37</f>
        <v>-18049.357224992942</v>
      </c>
      <c r="D51" s="60">
        <f>+D26</f>
        <v>-24675.447794681124</v>
      </c>
      <c r="E51" s="60">
        <f>+F51*$D$21</f>
        <v>242663.15132445926</v>
      </c>
      <c r="F51" s="61">
        <f>(G51/G53)</f>
        <v>0.11047134337202458</v>
      </c>
      <c r="G51" s="361">
        <f>'Util Rev and Load Data'!AA25</f>
        <v>5116855.66</v>
      </c>
    </row>
    <row r="52" spans="1:46" x14ac:dyDescent="0.25">
      <c r="A52" s="1" t="s">
        <v>57</v>
      </c>
      <c r="B52" s="50">
        <f>E52+D52+C52</f>
        <v>1332931.2673496781</v>
      </c>
      <c r="C52" s="50">
        <f>+C51+C50</f>
        <v>-159497.90502691269</v>
      </c>
      <c r="D52" s="50">
        <f>+D51+D50</f>
        <v>-23528.605424780108</v>
      </c>
      <c r="E52" s="50">
        <f>+E51+E50</f>
        <v>1515957.7778013709</v>
      </c>
      <c r="F52" s="58">
        <f>SUM(F50:F51)</f>
        <v>0.69013317965638088</v>
      </c>
      <c r="G52" s="50">
        <f>SUM(G50:G51)</f>
        <v>31965863.351425558</v>
      </c>
    </row>
    <row r="53" spans="1:46" x14ac:dyDescent="0.25">
      <c r="A53" s="1" t="s">
        <v>92</v>
      </c>
      <c r="B53" s="62">
        <f t="shared" ref="B53:F53" si="0">SUM(B49:B51)</f>
        <v>1936309.2326150001</v>
      </c>
      <c r="C53" s="62">
        <f t="shared" si="0"/>
        <v>-223895.99738499988</v>
      </c>
      <c r="D53" s="62">
        <f t="shared" si="0"/>
        <v>-36411.050000000221</v>
      </c>
      <c r="E53" s="62">
        <f t="shared" si="0"/>
        <v>2196616.2800000003</v>
      </c>
      <c r="F53" s="63">
        <f t="shared" si="0"/>
        <v>1.0000000000000002</v>
      </c>
      <c r="G53" s="366">
        <f>SUM(G49:G51)</f>
        <v>46318398.091425553</v>
      </c>
    </row>
    <row r="54" spans="1:46" x14ac:dyDescent="0.25">
      <c r="A54" s="217" t="s">
        <v>216</v>
      </c>
      <c r="E54" s="24"/>
    </row>
    <row r="55" spans="1:46" x14ac:dyDescent="0.25">
      <c r="B55" s="24"/>
      <c r="F55" s="35"/>
    </row>
    <row r="56" spans="1:46" s="64" customFormat="1" ht="15.75" thickBot="1" x14ac:dyDescent="0.3">
      <c r="F56" s="54"/>
      <c r="G56" s="65"/>
      <c r="H56" s="66"/>
      <c r="I56" s="66"/>
      <c r="J56" s="66"/>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row>
    <row r="57" spans="1:46" ht="15.75" thickTop="1" x14ac:dyDescent="0.25">
      <c r="F57" s="24"/>
      <c r="G57" s="67"/>
      <c r="H57" s="68"/>
      <c r="I57" s="68"/>
      <c r="J57" s="68"/>
    </row>
    <row r="58" spans="1:46" x14ac:dyDescent="0.25">
      <c r="A58" s="532" t="s">
        <v>58</v>
      </c>
      <c r="B58" s="532"/>
      <c r="C58" s="532"/>
      <c r="D58" s="532"/>
      <c r="E58" s="532"/>
      <c r="F58" s="532"/>
      <c r="G58" s="532"/>
      <c r="H58" s="532"/>
      <c r="I58" s="532"/>
    </row>
    <row r="59" spans="1:46" ht="15.75" thickBot="1" x14ac:dyDescent="0.3">
      <c r="B59" s="531" t="s">
        <v>81</v>
      </c>
      <c r="C59" s="531"/>
      <c r="D59" s="531"/>
      <c r="E59" s="531"/>
    </row>
    <row r="60" spans="1:46" x14ac:dyDescent="0.25">
      <c r="A60" s="12"/>
      <c r="C60" s="34"/>
      <c r="D60" s="56" t="s">
        <v>52</v>
      </c>
      <c r="E60" s="56" t="s">
        <v>59</v>
      </c>
    </row>
    <row r="61" spans="1:46" x14ac:dyDescent="0.25">
      <c r="C61" s="55">
        <v>2021</v>
      </c>
      <c r="D61" s="56" t="s">
        <v>91</v>
      </c>
      <c r="E61" s="56" t="s">
        <v>60</v>
      </c>
    </row>
    <row r="62" spans="1:46" ht="15.75" thickBot="1" x14ac:dyDescent="0.3">
      <c r="B62" s="335" t="s">
        <v>61</v>
      </c>
      <c r="C62" s="57" t="s">
        <v>18</v>
      </c>
      <c r="D62" s="253" t="s">
        <v>55</v>
      </c>
      <c r="E62" s="253" t="s">
        <v>62</v>
      </c>
    </row>
    <row r="63" spans="1:46" x14ac:dyDescent="0.25">
      <c r="A63" s="12"/>
      <c r="B63" s="249"/>
      <c r="C63" s="249"/>
      <c r="D63" s="249"/>
      <c r="E63" s="249"/>
    </row>
    <row r="64" spans="1:46" ht="13.5" customHeight="1" x14ac:dyDescent="0.25">
      <c r="B64" s="249"/>
      <c r="C64" s="334">
        <f>+'Util Rev and Load Data'!C93</f>
        <v>90180848.610000014</v>
      </c>
      <c r="D64" s="249"/>
      <c r="E64" s="249"/>
      <c r="F64" s="43"/>
    </row>
    <row r="65" spans="1:13" x14ac:dyDescent="0.25">
      <c r="C65" s="336">
        <v>0</v>
      </c>
      <c r="M65" s="69"/>
    </row>
    <row r="66" spans="1:13" x14ac:dyDescent="0.25">
      <c r="A66" s="265" t="s">
        <v>3</v>
      </c>
      <c r="B66" s="58">
        <f>C66/C80</f>
        <v>0.27918735331695671</v>
      </c>
      <c r="C66" s="337">
        <f>C64-C65</f>
        <v>90180848.610000014</v>
      </c>
      <c r="D66" s="24">
        <f>B49</f>
        <v>603377.96526532201</v>
      </c>
      <c r="E66" s="338">
        <f>D66/C66</f>
        <v>6.6907550168962852E-3</v>
      </c>
    </row>
    <row r="67" spans="1:13" x14ac:dyDescent="0.25">
      <c r="E67" s="338"/>
    </row>
    <row r="68" spans="1:13" x14ac:dyDescent="0.25">
      <c r="A68" s="12"/>
      <c r="C68" s="12"/>
      <c r="E68" s="338"/>
    </row>
    <row r="69" spans="1:13" x14ac:dyDescent="0.25">
      <c r="C69" s="43">
        <f>+'Util Rev and Load Data'!P93</f>
        <v>188583765.36000001</v>
      </c>
      <c r="E69" s="338"/>
    </row>
    <row r="70" spans="1:13" x14ac:dyDescent="0.25">
      <c r="C70" s="43">
        <f>'Util Rev and Load Data'!AB73</f>
        <v>0</v>
      </c>
      <c r="E70" s="338"/>
    </row>
    <row r="71" spans="1:13" x14ac:dyDescent="0.25">
      <c r="B71" s="211"/>
      <c r="C71" s="339">
        <v>0</v>
      </c>
      <c r="E71" s="338"/>
    </row>
    <row r="72" spans="1:13" ht="13.5" customHeight="1" x14ac:dyDescent="0.25">
      <c r="A72" s="265" t="s">
        <v>4</v>
      </c>
      <c r="B72" s="58">
        <f>C72/C80</f>
        <v>0.5838290850100305</v>
      </c>
      <c r="C72" s="26">
        <f>SUM(C69:C71)</f>
        <v>188583765.36000001</v>
      </c>
      <c r="D72" s="24">
        <f>B50</f>
        <v>1132992.9210448929</v>
      </c>
      <c r="E72" s="338">
        <f>D72/C72</f>
        <v>6.0079027422219921E-3</v>
      </c>
    </row>
    <row r="73" spans="1:13" x14ac:dyDescent="0.25">
      <c r="C73" s="340"/>
      <c r="E73" s="338"/>
    </row>
    <row r="74" spans="1:13" x14ac:dyDescent="0.25">
      <c r="A74" s="12"/>
      <c r="C74" s="26"/>
      <c r="E74" s="338"/>
    </row>
    <row r="75" spans="1:13" x14ac:dyDescent="0.25">
      <c r="C75" s="26">
        <f>+'Util Rev and Load Data'!AA93</f>
        <v>44247326</v>
      </c>
      <c r="E75" s="338"/>
    </row>
    <row r="76" spans="1:13" x14ac:dyDescent="0.25">
      <c r="C76" s="26">
        <v>0</v>
      </c>
      <c r="E76" s="338"/>
    </row>
    <row r="77" spans="1:13" x14ac:dyDescent="0.25">
      <c r="C77" s="69"/>
      <c r="E77" s="338"/>
    </row>
    <row r="78" spans="1:13" x14ac:dyDescent="0.25">
      <c r="A78" s="265" t="s">
        <v>47</v>
      </c>
      <c r="B78" s="58">
        <f>C78/C80</f>
        <v>0.13698356167301279</v>
      </c>
      <c r="C78" s="26">
        <f>SUM(C75:C77)</f>
        <v>44247326</v>
      </c>
      <c r="D78" s="24">
        <f>B51</f>
        <v>199938.3463047852</v>
      </c>
      <c r="E78" s="338">
        <f>D78/C78</f>
        <v>4.518653766891703E-3</v>
      </c>
    </row>
    <row r="79" spans="1:13" x14ac:dyDescent="0.25">
      <c r="C79" s="12"/>
      <c r="E79" s="338"/>
    </row>
    <row r="80" spans="1:13" x14ac:dyDescent="0.25">
      <c r="B80" s="67">
        <f>SUM(B66:B78)</f>
        <v>1</v>
      </c>
      <c r="C80" s="31">
        <f>C66+C72+C78</f>
        <v>323011939.97000003</v>
      </c>
      <c r="D80" s="24">
        <f>SUM(D66:D78)</f>
        <v>1936309.2326150001</v>
      </c>
      <c r="E80" s="338">
        <f>D80/C80</f>
        <v>5.9945438326361438E-3</v>
      </c>
    </row>
    <row r="81" spans="1:46" ht="15.75" thickBot="1" x14ac:dyDescent="0.3">
      <c r="C81" s="367" t="b">
        <f>C80='Util Rev and Load Data'!AC93</f>
        <v>1</v>
      </c>
      <c r="D81" s="367" t="b">
        <f>D80=D40</f>
        <v>1</v>
      </c>
    </row>
    <row r="82" spans="1:46" x14ac:dyDescent="0.25">
      <c r="B82" s="28" t="s">
        <v>59</v>
      </c>
      <c r="C82" s="274" t="s">
        <v>63</v>
      </c>
      <c r="D82" s="275"/>
      <c r="E82" s="276"/>
    </row>
    <row r="83" spans="1:46" x14ac:dyDescent="0.25">
      <c r="A83" s="12"/>
      <c r="B83" s="29" t="s">
        <v>62</v>
      </c>
      <c r="C83" s="277" t="s">
        <v>64</v>
      </c>
      <c r="D83" s="278"/>
      <c r="E83" s="279"/>
    </row>
    <row r="84" spans="1:46" x14ac:dyDescent="0.25">
      <c r="A84" s="265" t="s">
        <v>3</v>
      </c>
      <c r="B84" s="70">
        <f>D66/C66</f>
        <v>6.6907550168962852E-3</v>
      </c>
      <c r="C84" s="280"/>
      <c r="D84" s="281">
        <f>B84/$E$42</f>
        <v>6.7603870030274677E-3</v>
      </c>
      <c r="E84" s="282" t="s">
        <v>65</v>
      </c>
    </row>
    <row r="85" spans="1:46" x14ac:dyDescent="0.25">
      <c r="A85" s="265" t="s">
        <v>4</v>
      </c>
      <c r="B85" s="70">
        <f>D72/C72</f>
        <v>6.0079027422219921E-3</v>
      </c>
      <c r="C85" s="280"/>
      <c r="D85" s="281">
        <f>B85/$E$42</f>
        <v>6.0704281521895441E-3</v>
      </c>
      <c r="E85" s="282" t="s">
        <v>65</v>
      </c>
    </row>
    <row r="86" spans="1:46" x14ac:dyDescent="0.25">
      <c r="A86" s="265" t="s">
        <v>47</v>
      </c>
      <c r="B86" s="70">
        <f>D78/C78</f>
        <v>4.518653766891703E-3</v>
      </c>
      <c r="C86" s="280"/>
      <c r="D86" s="281">
        <f>B86/$E$42</f>
        <v>4.5656802737109254E-3</v>
      </c>
      <c r="E86" s="282" t="s">
        <v>65</v>
      </c>
    </row>
    <row r="87" spans="1:46" ht="15.75" thickBot="1" x14ac:dyDescent="0.3">
      <c r="A87" s="265" t="s">
        <v>10</v>
      </c>
      <c r="B87" s="266">
        <f>D80/C80</f>
        <v>5.9945438326361438E-3</v>
      </c>
      <c r="C87" s="283"/>
      <c r="D87" s="284">
        <f>B87/$E$42</f>
        <v>6.0569302138386823E-3</v>
      </c>
      <c r="E87" s="285" t="s">
        <v>65</v>
      </c>
    </row>
    <row r="89" spans="1:46" x14ac:dyDescent="0.25">
      <c r="B89" s="74"/>
      <c r="D89" s="75"/>
      <c r="G89" s="76"/>
    </row>
    <row r="90" spans="1:46" s="64" customFormat="1" ht="15.75" thickBot="1" x14ac:dyDescent="0.3">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row>
    <row r="91" spans="1:46" ht="15.75" thickTop="1" x14ac:dyDescent="0.25">
      <c r="A91" s="12"/>
      <c r="C91" s="77"/>
    </row>
    <row r="92" spans="1:46" ht="12.75" customHeight="1" thickBot="1" x14ac:dyDescent="0.3">
      <c r="A92" s="12"/>
      <c r="B92" s="531" t="s">
        <v>80</v>
      </c>
      <c r="C92" s="531"/>
      <c r="D92" s="531"/>
      <c r="E92" s="531"/>
      <c r="F92" s="531"/>
    </row>
    <row r="93" spans="1:46" x14ac:dyDescent="0.25">
      <c r="C93" s="77"/>
      <c r="D93" s="13" t="s">
        <v>68</v>
      </c>
      <c r="E93" s="46"/>
      <c r="F93" s="13" t="s">
        <v>48</v>
      </c>
    </row>
    <row r="94" spans="1:46" x14ac:dyDescent="0.25">
      <c r="D94" s="46" t="s">
        <v>91</v>
      </c>
      <c r="E94" s="46" t="s">
        <v>70</v>
      </c>
      <c r="F94" s="46" t="s">
        <v>71</v>
      </c>
    </row>
    <row r="95" spans="1:46" x14ac:dyDescent="0.25">
      <c r="A95" s="78" t="s">
        <v>69</v>
      </c>
      <c r="D95" s="46"/>
      <c r="E95" s="46"/>
      <c r="F95" s="46"/>
    </row>
    <row r="96" spans="1:46" x14ac:dyDescent="0.25">
      <c r="A96" s="1" t="s">
        <v>462</v>
      </c>
      <c r="C96" s="26">
        <f>'Util Rev and Load Data'!P73</f>
        <v>188583765.36000001</v>
      </c>
      <c r="E96" s="75">
        <f>D85</f>
        <v>6.0704281521895441E-3</v>
      </c>
      <c r="F96" s="1" t="s">
        <v>1</v>
      </c>
    </row>
    <row r="97" spans="1:46" x14ac:dyDescent="0.25">
      <c r="A97" s="1" t="s">
        <v>461</v>
      </c>
      <c r="D97" s="24">
        <f>C96*D85</f>
        <v>1144784.1982872514</v>
      </c>
    </row>
    <row r="99" spans="1:46" s="12" customFormat="1" x14ac:dyDescent="0.25">
      <c r="A99" s="12" t="s">
        <v>467</v>
      </c>
      <c r="B99" s="1"/>
      <c r="C99" s="43">
        <f>'Util Rev and Load Data'!I73+'Util Rev and Load Data'!AB73</f>
        <v>17901473</v>
      </c>
      <c r="D99" s="24">
        <f>C99*D85</f>
        <v>108669.60566486101</v>
      </c>
      <c r="E99" s="424">
        <f>+D99/C99</f>
        <v>6.0704281521895441E-3</v>
      </c>
      <c r="F99" s="12" t="s">
        <v>1</v>
      </c>
      <c r="G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row>
    <row r="100" spans="1:46" x14ac:dyDescent="0.25">
      <c r="A100" s="1" t="s">
        <v>77</v>
      </c>
      <c r="D100" s="30">
        <f>D97-D99</f>
        <v>1036114.5926223904</v>
      </c>
    </row>
    <row r="102" spans="1:46" x14ac:dyDescent="0.25">
      <c r="A102" s="12" t="s">
        <v>466</v>
      </c>
    </row>
    <row r="103" spans="1:46" x14ac:dyDescent="0.25">
      <c r="A103" s="1" t="s">
        <v>465</v>
      </c>
    </row>
    <row r="104" spans="1:46" x14ac:dyDescent="0.25">
      <c r="A104" s="1" t="s">
        <v>66</v>
      </c>
      <c r="B104" s="82">
        <f>'Util Rev and Load Data'!K73</f>
        <v>170682292.36000001</v>
      </c>
      <c r="E104" s="424">
        <f>D105/B104</f>
        <v>3.7097732944520031E-3</v>
      </c>
      <c r="F104" s="12" t="s">
        <v>1</v>
      </c>
    </row>
    <row r="105" spans="1:46" x14ac:dyDescent="0.25">
      <c r="A105" s="1" t="s">
        <v>469</v>
      </c>
      <c r="B105" s="30">
        <f>'Util Rev and Load Data'!K25</f>
        <v>14033595.930000002</v>
      </c>
      <c r="C105" s="25">
        <f>B105/B110</f>
        <v>0.61112218140888863</v>
      </c>
      <c r="D105" s="83">
        <f>D100*C105</f>
        <v>633192.61003297719</v>
      </c>
    </row>
    <row r="106" spans="1:46" x14ac:dyDescent="0.25">
      <c r="A106" s="31"/>
    </row>
    <row r="107" spans="1:46" x14ac:dyDescent="0.25">
      <c r="A107" s="1" t="s">
        <v>464</v>
      </c>
      <c r="B107" s="43">
        <f>'Util Rev and Load Data'!N73</f>
        <v>445226.64</v>
      </c>
      <c r="E107" s="425">
        <f>D108/B107</f>
        <v>0.90498174724992464</v>
      </c>
      <c r="F107" s="12" t="s">
        <v>2</v>
      </c>
    </row>
    <row r="108" spans="1:46" x14ac:dyDescent="0.25">
      <c r="A108" s="1" t="s">
        <v>463</v>
      </c>
      <c r="B108" s="30">
        <f>'Util Rev and Load Data'!N25</f>
        <v>8930054.1500000004</v>
      </c>
      <c r="C108" s="25">
        <f>B108/B110</f>
        <v>0.38887781859111137</v>
      </c>
      <c r="D108" s="83">
        <f>D100*C108</f>
        <v>402921.98258941318</v>
      </c>
    </row>
    <row r="110" spans="1:46" x14ac:dyDescent="0.25">
      <c r="A110" s="1" t="s">
        <v>468</v>
      </c>
      <c r="B110" s="83">
        <f>SUM(B105,B108)</f>
        <v>22963650.080000002</v>
      </c>
      <c r="C110" s="67">
        <f>SUM(C105:C108)</f>
        <v>1</v>
      </c>
      <c r="D110" s="30">
        <f>SUM(D105:D108)</f>
        <v>1036114.5926223904</v>
      </c>
    </row>
    <row r="112" spans="1:46" x14ac:dyDescent="0.25">
      <c r="A112" s="78" t="s">
        <v>73</v>
      </c>
    </row>
    <row r="113" spans="1:46" x14ac:dyDescent="0.25">
      <c r="A113" s="1" t="s">
        <v>76</v>
      </c>
      <c r="C113" s="26">
        <f>C78</f>
        <v>44247326</v>
      </c>
      <c r="E113" s="75">
        <f>D86</f>
        <v>4.5656802737109254E-3</v>
      </c>
    </row>
    <row r="114" spans="1:46" x14ac:dyDescent="0.25">
      <c r="A114" s="1" t="s">
        <v>78</v>
      </c>
      <c r="D114" s="24">
        <f>C113*D86</f>
        <v>202019.14348265654</v>
      </c>
    </row>
    <row r="115" spans="1:46" x14ac:dyDescent="0.25">
      <c r="A115" s="12"/>
    </row>
    <row r="116" spans="1:46" s="12" customFormat="1" x14ac:dyDescent="0.25">
      <c r="A116" s="12" t="s">
        <v>470</v>
      </c>
      <c r="C116" s="80">
        <f>'Util Rev and Load Data'!S25</f>
        <v>0</v>
      </c>
      <c r="D116" s="85">
        <f>C116*D86</f>
        <v>0</v>
      </c>
      <c r="E116" s="86">
        <f>IF(C116=0,0,D116/C116)</f>
        <v>0</v>
      </c>
      <c r="F116" s="12" t="s">
        <v>1</v>
      </c>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row>
    <row r="117" spans="1:46" x14ac:dyDescent="0.25">
      <c r="A117" s="1" t="s">
        <v>79</v>
      </c>
      <c r="D117" s="30">
        <f>D114-D116</f>
        <v>202019.14348265654</v>
      </c>
    </row>
    <row r="118" spans="1:46" x14ac:dyDescent="0.25">
      <c r="A118" s="12"/>
    </row>
    <row r="119" spans="1:46" x14ac:dyDescent="0.25">
      <c r="A119" s="12" t="s">
        <v>471</v>
      </c>
    </row>
    <row r="120" spans="1:46" x14ac:dyDescent="0.25">
      <c r="A120" s="1" t="s">
        <v>465</v>
      </c>
    </row>
    <row r="121" spans="1:46" x14ac:dyDescent="0.25">
      <c r="A121" s="1" t="s">
        <v>66</v>
      </c>
      <c r="B121" s="43">
        <f>'Util Rev and Load Data'!V73</f>
        <v>44247326</v>
      </c>
      <c r="E121" s="79">
        <f>D122/B121</f>
        <v>3.097256803300467E-3</v>
      </c>
      <c r="F121" s="12" t="s">
        <v>1</v>
      </c>
    </row>
    <row r="122" spans="1:46" x14ac:dyDescent="0.25">
      <c r="A122" s="1" t="s">
        <v>67</v>
      </c>
      <c r="B122" s="30">
        <f>'Util Rev and Load Data'!V25</f>
        <v>3460806.7800000003</v>
      </c>
      <c r="C122" s="25">
        <f>B122/B127</f>
        <v>0.67837794537090035</v>
      </c>
      <c r="D122" s="83">
        <f>D117*C122</f>
        <v>137045.33148135364</v>
      </c>
    </row>
    <row r="124" spans="1:46" x14ac:dyDescent="0.25">
      <c r="A124" s="1" t="s">
        <v>464</v>
      </c>
      <c r="B124" s="43">
        <f>'Util Rev and Load Data'!Y73</f>
        <v>80805.86</v>
      </c>
      <c r="E124" s="84">
        <f>D125/B124</f>
        <v>0.80407302145293524</v>
      </c>
      <c r="F124" s="12" t="s">
        <v>2</v>
      </c>
    </row>
    <row r="125" spans="1:46" x14ac:dyDescent="0.25">
      <c r="A125" s="1" t="s">
        <v>463</v>
      </c>
      <c r="B125" s="30">
        <f>'Util Rev and Load Data'!Y25</f>
        <v>1640784.16</v>
      </c>
      <c r="C125" s="25">
        <f>B125/B127</f>
        <v>0.32162205462909965</v>
      </c>
      <c r="D125" s="83">
        <f>D117*C125</f>
        <v>64973.812001302882</v>
      </c>
    </row>
    <row r="127" spans="1:46" x14ac:dyDescent="0.25">
      <c r="A127" s="1" t="s">
        <v>72</v>
      </c>
      <c r="B127" s="83">
        <f>SUM(B122,B125)</f>
        <v>5101590.9400000004</v>
      </c>
      <c r="C127" s="67">
        <f>SUM(C122:C125)</f>
        <v>1</v>
      </c>
      <c r="D127" s="30">
        <f>SUM(D122:D125)</f>
        <v>202019.14348265651</v>
      </c>
    </row>
    <row r="129" spans="2:9" x14ac:dyDescent="0.25">
      <c r="B129" s="31"/>
    </row>
    <row r="130" spans="2:9" x14ac:dyDescent="0.25">
      <c r="B130" s="31"/>
      <c r="D130" s="30">
        <f>D110+D127</f>
        <v>1238133.7361050469</v>
      </c>
      <c r="E130" s="24">
        <f>D72+D78</f>
        <v>1332931.2673496781</v>
      </c>
      <c r="F130" s="30">
        <f>D130-E130</f>
        <v>-94797.531244631158</v>
      </c>
    </row>
    <row r="131" spans="2:9" x14ac:dyDescent="0.25">
      <c r="D131" s="24">
        <f>D66</f>
        <v>603377.96526532201</v>
      </c>
    </row>
    <row r="132" spans="2:9" x14ac:dyDescent="0.25">
      <c r="D132" s="30">
        <f>D130+D131</f>
        <v>1841511.7013703689</v>
      </c>
      <c r="E132" s="83">
        <f>D132/E42</f>
        <v>1860676.6710825188</v>
      </c>
    </row>
    <row r="133" spans="2:9" x14ac:dyDescent="0.25">
      <c r="D133" s="30">
        <f>D132-D80</f>
        <v>-94797.531244631158</v>
      </c>
    </row>
    <row r="140" spans="2:9" x14ac:dyDescent="0.25">
      <c r="B140" s="87"/>
      <c r="C140" s="59"/>
      <c r="H140" s="87"/>
      <c r="I140" s="59"/>
    </row>
    <row r="141" spans="2:9" x14ac:dyDescent="0.25">
      <c r="B141" s="83"/>
      <c r="C141" s="59"/>
      <c r="H141" s="83"/>
      <c r="I141" s="59"/>
    </row>
  </sheetData>
  <mergeCells count="6">
    <mergeCell ref="B59:E59"/>
    <mergeCell ref="B92:F92"/>
    <mergeCell ref="A58:I58"/>
    <mergeCell ref="A2:I2"/>
    <mergeCell ref="B45:G45"/>
    <mergeCell ref="C5:E5"/>
  </mergeCells>
  <phoneticPr fontId="0" type="noConversion"/>
  <printOptions horizontalCentered="1" verticalCentered="1"/>
  <pageMargins left="0.2" right="0.2" top="0.47" bottom="0.4" header="0.17" footer="0.17"/>
  <pageSetup scale="71" fitToHeight="4" orientation="landscape" r:id="rId1"/>
  <headerFooter alignWithMargins="0">
    <oddHeader>&amp;CVERMONT DEPARTMENT OF PUBLIC SERVICE
2004 EEC RATE DEVELOPMENT REFINEMENTS-WORKSHEET (B)</oddHeader>
    <oddFooter xml:space="preserve">&amp;L&amp;9Prepared  10/14/05
DPS-Finance and Economics Division&amp;C&amp;Z&amp;F&amp;RPage  &amp;P of  &amp;N       </oddFooter>
  </headerFooter>
  <rowBreaks count="1" manualBreakCount="1">
    <brk id="56" max="10" man="1"/>
  </rowBreaks>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4">
    <pageSetUpPr fitToPage="1"/>
  </sheetPr>
  <dimension ref="A1:V38"/>
  <sheetViews>
    <sheetView showGridLines="0" topLeftCell="A13" zoomScaleNormal="100" workbookViewId="0">
      <selection activeCell="K33" sqref="K33"/>
    </sheetView>
  </sheetViews>
  <sheetFormatPr defaultColWidth="9.140625" defaultRowHeight="15" x14ac:dyDescent="0.25"/>
  <cols>
    <col min="1" max="1" width="14.5703125" style="1" customWidth="1"/>
    <col min="2" max="2" width="22.5703125" style="1" customWidth="1"/>
    <col min="3" max="4" width="7.28515625" style="1" customWidth="1"/>
    <col min="5" max="5" width="13.5703125" style="1" hidden="1" customWidth="1"/>
    <col min="6" max="6" width="8" style="1" hidden="1" customWidth="1"/>
    <col min="7" max="7" width="24" style="1" customWidth="1"/>
    <col min="8" max="8" width="7.28515625" style="1" customWidth="1"/>
    <col min="9" max="9" width="1.140625" style="1" customWidth="1"/>
    <col min="10" max="10" width="7.140625" style="1" customWidth="1"/>
    <col min="11" max="11" width="24.42578125" style="1" customWidth="1"/>
    <col min="12" max="12" width="17.42578125" style="1" customWidth="1"/>
    <col min="13" max="13" width="9.28515625" style="1" bestFit="1" customWidth="1"/>
    <col min="14" max="14" width="8.28515625" style="1" customWidth="1"/>
    <col min="15" max="15" width="11.5703125" style="1" customWidth="1"/>
    <col min="16" max="16" width="11" style="1" customWidth="1"/>
    <col min="17" max="17" width="13.140625" style="1" customWidth="1"/>
    <col min="18" max="18" width="21" style="1" customWidth="1"/>
    <col min="19" max="19" width="14.85546875" style="1" customWidth="1"/>
    <col min="20" max="20" width="13.7109375" style="1" customWidth="1"/>
    <col min="21" max="21" width="10.140625" style="1" customWidth="1"/>
    <col min="22" max="16384" width="9.140625" style="1"/>
  </cols>
  <sheetData>
    <row r="1" spans="1:21" ht="12.75" customHeight="1" x14ac:dyDescent="0.25">
      <c r="A1" s="549" t="str">
        <f>+'EEC Calculation'!A1</f>
        <v>BURLINGTON ELECTRIC DEPARTMENT</v>
      </c>
      <c r="B1" s="550"/>
      <c r="C1" s="550"/>
      <c r="D1" s="550"/>
      <c r="E1" s="550"/>
      <c r="F1" s="550"/>
      <c r="G1" s="550"/>
      <c r="H1" s="551"/>
    </row>
    <row r="2" spans="1:21" ht="12.75" customHeight="1" x14ac:dyDescent="0.25">
      <c r="A2" s="552" t="s">
        <v>488</v>
      </c>
      <c r="B2" s="553"/>
      <c r="C2" s="553"/>
      <c r="D2" s="553"/>
      <c r="E2" s="553"/>
      <c r="F2" s="553"/>
      <c r="G2" s="553"/>
      <c r="H2" s="554"/>
      <c r="L2" s="249"/>
    </row>
    <row r="3" spans="1:21" ht="12.75" customHeight="1" x14ac:dyDescent="0.25">
      <c r="A3" s="71"/>
      <c r="B3" s="453"/>
      <c r="C3" s="454"/>
      <c r="D3" s="453"/>
      <c r="E3" s="453"/>
      <c r="F3" s="453"/>
      <c r="G3" s="453"/>
      <c r="H3" s="72"/>
      <c r="K3" s="88" t="s">
        <v>170</v>
      </c>
      <c r="L3" s="89"/>
      <c r="M3" s="89"/>
    </row>
    <row r="4" spans="1:21" ht="13.5" customHeight="1" thickBot="1" x14ac:dyDescent="0.3">
      <c r="A4" s="71"/>
      <c r="B4" s="453"/>
      <c r="C4" s="453"/>
      <c r="D4" s="453"/>
      <c r="E4" s="553"/>
      <c r="F4" s="553"/>
      <c r="G4" s="553"/>
      <c r="H4" s="554"/>
      <c r="K4" s="88" t="s">
        <v>489</v>
      </c>
      <c r="L4" s="89"/>
      <c r="M4" s="89"/>
    </row>
    <row r="5" spans="1:21" ht="12.75" customHeight="1" thickBot="1" x14ac:dyDescent="0.3">
      <c r="A5" s="71"/>
      <c r="B5" s="453"/>
      <c r="C5" s="453"/>
      <c r="D5" s="453"/>
      <c r="E5" s="553"/>
      <c r="F5" s="553"/>
      <c r="G5" s="553"/>
      <c r="H5" s="554"/>
      <c r="K5" s="546"/>
      <c r="L5" s="546"/>
      <c r="M5" s="546"/>
    </row>
    <row r="6" spans="1:21" ht="18" thickBot="1" x14ac:dyDescent="0.3">
      <c r="A6" s="476"/>
      <c r="B6" s="477"/>
      <c r="C6" s="477"/>
      <c r="D6" s="477"/>
      <c r="E6" s="550" t="s">
        <v>74</v>
      </c>
      <c r="F6" s="550"/>
      <c r="G6" s="550" t="s">
        <v>50</v>
      </c>
      <c r="H6" s="551"/>
      <c r="K6" s="449" t="s">
        <v>490</v>
      </c>
      <c r="L6" s="547" t="s">
        <v>50</v>
      </c>
      <c r="M6" s="548"/>
      <c r="Q6" s="289"/>
      <c r="R6" s="290"/>
      <c r="S6" s="290"/>
      <c r="T6" s="290"/>
      <c r="U6" s="291"/>
    </row>
    <row r="7" spans="1:21" ht="18" thickBot="1" x14ac:dyDescent="0.3">
      <c r="A7" s="462"/>
      <c r="B7" s="463"/>
      <c r="C7" s="463"/>
      <c r="D7" s="463"/>
      <c r="E7" s="478" t="s">
        <v>82</v>
      </c>
      <c r="F7" s="478" t="s">
        <v>83</v>
      </c>
      <c r="G7" s="478" t="s">
        <v>82</v>
      </c>
      <c r="H7" s="479" t="s">
        <v>83</v>
      </c>
      <c r="K7" s="90"/>
      <c r="L7" s="92"/>
      <c r="M7" s="91"/>
      <c r="Q7" s="534" t="s">
        <v>160</v>
      </c>
      <c r="R7" s="535"/>
      <c r="S7" s="292">
        <v>2023</v>
      </c>
      <c r="T7" s="353">
        <v>2022</v>
      </c>
      <c r="U7" s="293" t="s">
        <v>341</v>
      </c>
    </row>
    <row r="8" spans="1:21" ht="16.5" customHeight="1" x14ac:dyDescent="0.25">
      <c r="A8" s="476"/>
      <c r="B8" s="477"/>
      <c r="C8" s="477"/>
      <c r="D8" s="477"/>
      <c r="E8" s="480"/>
      <c r="F8" s="477"/>
      <c r="G8" s="477"/>
      <c r="H8" s="481"/>
      <c r="K8" s="88"/>
      <c r="L8" s="451" t="s">
        <v>491</v>
      </c>
      <c r="M8" s="90" t="s">
        <v>168</v>
      </c>
      <c r="N8" s="12" t="s">
        <v>349</v>
      </c>
      <c r="O8" s="13"/>
      <c r="P8" s="12"/>
      <c r="Q8" s="536" t="s">
        <v>342</v>
      </c>
      <c r="R8" s="298" t="s">
        <v>3</v>
      </c>
      <c r="S8" s="299">
        <f>G12</f>
        <v>6.7603870030274677E-3</v>
      </c>
      <c r="T8" s="299">
        <v>6.8999999999999999E-3</v>
      </c>
      <c r="U8" s="380">
        <f>(S8-T8)/T8</f>
        <v>-2.023376767717858E-2</v>
      </c>
    </row>
    <row r="9" spans="1:21" ht="33.75" customHeight="1" thickBot="1" x14ac:dyDescent="0.3">
      <c r="A9" s="456" t="s">
        <v>160</v>
      </c>
      <c r="B9" s="457"/>
      <c r="C9" s="453"/>
      <c r="D9" s="453"/>
      <c r="E9" s="455"/>
      <c r="F9" s="453"/>
      <c r="G9" s="453"/>
      <c r="H9" s="72"/>
      <c r="K9" s="93"/>
      <c r="L9" s="94"/>
      <c r="M9" s="89"/>
      <c r="Q9" s="537"/>
      <c r="R9" s="300" t="s">
        <v>4</v>
      </c>
      <c r="S9" s="301">
        <f>G13</f>
        <v>6.0704281521895441E-3</v>
      </c>
      <c r="T9" s="301">
        <v>7.0299999999999998E-3</v>
      </c>
      <c r="U9" s="381">
        <f t="shared" ref="U9:U19" si="0">(S9-T9)/T9</f>
        <v>-0.13649670665867081</v>
      </c>
    </row>
    <row r="10" spans="1:21" ht="18" hidden="1" customHeight="1" thickBot="1" x14ac:dyDescent="0.3">
      <c r="A10" s="71"/>
      <c r="B10" s="453"/>
      <c r="C10" s="453"/>
      <c r="D10" s="453"/>
      <c r="E10" s="455"/>
      <c r="F10" s="453"/>
      <c r="G10" s="470"/>
      <c r="H10" s="72"/>
      <c r="K10" s="93"/>
      <c r="L10" s="95"/>
      <c r="M10" s="89"/>
      <c r="Q10" s="538"/>
      <c r="R10" s="294" t="s">
        <v>47</v>
      </c>
      <c r="S10" s="296">
        <f>G14</f>
        <v>4.5656802737109254E-3</v>
      </c>
      <c r="T10" s="296">
        <v>5.6899999999999997E-3</v>
      </c>
      <c r="U10" s="354">
        <f t="shared" si="0"/>
        <v>-0.19759573396996036</v>
      </c>
    </row>
    <row r="11" spans="1:21" ht="16.5" customHeight="1" thickBot="1" x14ac:dyDescent="0.3">
      <c r="A11" s="466" t="s">
        <v>161</v>
      </c>
      <c r="B11" s="467"/>
      <c r="C11" s="467"/>
      <c r="D11" s="467"/>
      <c r="E11" s="458"/>
      <c r="F11" s="453"/>
      <c r="G11" s="470"/>
      <c r="H11" s="72"/>
      <c r="J11" s="1" t="s">
        <v>350</v>
      </c>
      <c r="K11" s="96"/>
      <c r="L11" s="95"/>
      <c r="M11" s="89"/>
      <c r="Q11" s="539" t="s">
        <v>343</v>
      </c>
      <c r="R11" s="544" t="s">
        <v>4</v>
      </c>
      <c r="S11" s="544"/>
      <c r="T11" s="544"/>
      <c r="U11" s="545"/>
    </row>
    <row r="12" spans="1:21" ht="16.5" x14ac:dyDescent="0.25">
      <c r="A12" s="468" t="s">
        <v>84</v>
      </c>
      <c r="B12" s="467"/>
      <c r="C12" s="467"/>
      <c r="D12" s="467"/>
      <c r="E12" s="459" t="e">
        <f>'EEC Calculation'!#REF!</f>
        <v>#REF!</v>
      </c>
      <c r="F12" s="453" t="s">
        <v>65</v>
      </c>
      <c r="G12" s="471">
        <f>'EEC Calculation'!D84</f>
        <v>6.7603870030274677E-3</v>
      </c>
      <c r="H12" s="72" t="s">
        <v>65</v>
      </c>
      <c r="K12" s="97">
        <f>G12-L12</f>
        <v>-1.396129969725322E-4</v>
      </c>
      <c r="L12" s="98">
        <v>6.8999999999999999E-3</v>
      </c>
      <c r="M12" s="214">
        <f>(+G12-L12)/L12</f>
        <v>-2.023376767717858E-2</v>
      </c>
      <c r="N12" s="346" t="s">
        <v>171</v>
      </c>
      <c r="Q12" s="540"/>
      <c r="R12" s="300" t="s">
        <v>1</v>
      </c>
      <c r="S12" s="301">
        <f>G20</f>
        <v>3.7097732944520031E-3</v>
      </c>
      <c r="T12" s="301">
        <v>4.1599999999999996E-3</v>
      </c>
      <c r="U12" s="297">
        <f t="shared" si="0"/>
        <v>-0.10822757344903763</v>
      </c>
    </row>
    <row r="13" spans="1:21" ht="17.25" thickBot="1" x14ac:dyDescent="0.3">
      <c r="A13" s="468" t="s">
        <v>85</v>
      </c>
      <c r="B13" s="467"/>
      <c r="C13" s="467"/>
      <c r="D13" s="467"/>
      <c r="E13" s="459" t="e">
        <f>'EEC Calculation'!#REF!</f>
        <v>#REF!</v>
      </c>
      <c r="F13" s="453" t="s">
        <v>65</v>
      </c>
      <c r="G13" s="472">
        <f>'EEC Calculation'!D85</f>
        <v>6.0704281521895441E-3</v>
      </c>
      <c r="H13" s="72" t="s">
        <v>65</v>
      </c>
      <c r="K13" s="97">
        <f>G13-L13</f>
        <v>-9.5957184781045573E-4</v>
      </c>
      <c r="L13" s="99">
        <v>7.0299999999999998E-3</v>
      </c>
      <c r="M13" s="214">
        <f>(+G13-L13)/L13</f>
        <v>-0.13649670665867081</v>
      </c>
      <c r="Q13" s="540"/>
      <c r="R13" s="300" t="s">
        <v>2</v>
      </c>
      <c r="S13" s="301">
        <f>G21</f>
        <v>0.90498174724992464</v>
      </c>
      <c r="T13" s="301">
        <v>1.09775</v>
      </c>
      <c r="U13" s="297">
        <f t="shared" si="0"/>
        <v>-0.17560305420184502</v>
      </c>
    </row>
    <row r="14" spans="1:21" ht="17.25" thickBot="1" x14ac:dyDescent="0.3">
      <c r="A14" s="468" t="s">
        <v>86</v>
      </c>
      <c r="B14" s="467"/>
      <c r="C14" s="467"/>
      <c r="D14" s="467"/>
      <c r="E14" s="459" t="e">
        <f>'EEC Calculation'!#REF!</f>
        <v>#REF!</v>
      </c>
      <c r="F14" s="453" t="s">
        <v>65</v>
      </c>
      <c r="G14" s="473">
        <f>'EEC Calculation'!D86</f>
        <v>4.5656802737109254E-3</v>
      </c>
      <c r="H14" s="72" t="s">
        <v>65</v>
      </c>
      <c r="K14" s="97">
        <f>G14-L14</f>
        <v>4.5656802737109254E-3</v>
      </c>
      <c r="L14" s="100">
        <v>0</v>
      </c>
      <c r="M14" s="214" t="e">
        <f>(+G14-L14)/L14</f>
        <v>#DIV/0!</v>
      </c>
      <c r="Q14" s="540"/>
      <c r="R14" s="544" t="s">
        <v>47</v>
      </c>
      <c r="S14" s="544"/>
      <c r="T14" s="544"/>
      <c r="U14" s="545"/>
    </row>
    <row r="15" spans="1:21" ht="16.5" x14ac:dyDescent="0.25">
      <c r="A15" s="468"/>
      <c r="B15" s="467"/>
      <c r="C15" s="467"/>
      <c r="D15" s="467"/>
      <c r="E15" s="458"/>
      <c r="F15" s="453"/>
      <c r="G15" s="470"/>
      <c r="H15" s="72"/>
      <c r="K15" s="96"/>
      <c r="L15" s="95"/>
      <c r="M15" s="215"/>
      <c r="Q15" s="540"/>
      <c r="R15" s="300" t="s">
        <v>1</v>
      </c>
      <c r="S15" s="301">
        <f>G23</f>
        <v>3.097256803300467E-3</v>
      </c>
      <c r="T15" s="301">
        <v>3.2299999999999998E-3</v>
      </c>
      <c r="U15" s="297">
        <f t="shared" si="0"/>
        <v>-4.1096964922455979E-2</v>
      </c>
    </row>
    <row r="16" spans="1:21" ht="17.25" thickBot="1" x14ac:dyDescent="0.3">
      <c r="A16" s="466" t="s">
        <v>162</v>
      </c>
      <c r="B16" s="467"/>
      <c r="C16" s="467"/>
      <c r="D16" s="467"/>
      <c r="E16" s="458"/>
      <c r="F16" s="453"/>
      <c r="G16" s="470"/>
      <c r="H16" s="72"/>
      <c r="K16" s="96"/>
      <c r="L16" s="95"/>
      <c r="M16" s="215"/>
      <c r="Q16" s="541"/>
      <c r="R16" s="294" t="s">
        <v>2</v>
      </c>
      <c r="S16" s="296">
        <f>G24</f>
        <v>0.80407302145293524</v>
      </c>
      <c r="T16" s="296">
        <v>0.86941999999999997</v>
      </c>
      <c r="U16" s="378">
        <f t="shared" si="0"/>
        <v>-7.516157731253563E-2</v>
      </c>
    </row>
    <row r="17" spans="1:22" ht="33.75" thickBot="1" x14ac:dyDescent="0.3">
      <c r="A17" s="468"/>
      <c r="B17" s="469"/>
      <c r="C17" s="467"/>
      <c r="D17" s="467"/>
      <c r="E17" s="458"/>
      <c r="F17" s="453"/>
      <c r="G17" s="470"/>
      <c r="H17" s="72"/>
      <c r="K17" s="96"/>
      <c r="L17" s="95"/>
      <c r="M17" s="215"/>
      <c r="Q17" s="382" t="s">
        <v>380</v>
      </c>
      <c r="R17" s="302"/>
      <c r="S17" s="482">
        <f>G27</f>
        <v>6.0704281521895441E-3</v>
      </c>
      <c r="T17" s="482">
        <v>7.0000000000000001E-3</v>
      </c>
      <c r="U17" s="303">
        <f t="shared" si="0"/>
        <v>-0.13279597825863659</v>
      </c>
    </row>
    <row r="18" spans="1:22" ht="15.75" thickBot="1" x14ac:dyDescent="0.3">
      <c r="A18" s="468"/>
      <c r="B18" s="469"/>
      <c r="C18" s="467"/>
      <c r="D18" s="467"/>
      <c r="E18" s="460"/>
      <c r="F18" s="453"/>
      <c r="G18" s="470"/>
      <c r="H18" s="72"/>
      <c r="K18" s="101"/>
      <c r="L18" s="95"/>
      <c r="M18" s="215"/>
      <c r="Q18" s="295"/>
      <c r="R18" s="295"/>
      <c r="S18" s="295"/>
      <c r="T18" s="295"/>
      <c r="U18" s="295"/>
    </row>
    <row r="19" spans="1:22" ht="91.5" customHeight="1" thickBot="1" x14ac:dyDescent="0.3">
      <c r="A19" s="466" t="s">
        <v>88</v>
      </c>
      <c r="B19" s="467"/>
      <c r="C19" s="467"/>
      <c r="D19" s="467"/>
      <c r="E19" s="455"/>
      <c r="F19" s="453"/>
      <c r="G19" s="470"/>
      <c r="H19" s="72"/>
      <c r="K19" s="93"/>
      <c r="L19" s="95"/>
      <c r="M19" s="215"/>
      <c r="Q19" s="542" t="s">
        <v>504</v>
      </c>
      <c r="R19" s="543"/>
      <c r="S19" s="484">
        <f>G31</f>
        <v>1956460.7786349396</v>
      </c>
      <c r="T19" s="487">
        <f>L30</f>
        <v>2159734.1443577996</v>
      </c>
      <c r="U19" s="379">
        <f t="shared" si="0"/>
        <v>-9.4119624053683529E-2</v>
      </c>
    </row>
    <row r="20" spans="1:22" ht="38.25" customHeight="1" thickBot="1" x14ac:dyDescent="0.3">
      <c r="A20" s="468"/>
      <c r="B20" s="467" t="s">
        <v>1</v>
      </c>
      <c r="C20" s="467"/>
      <c r="D20" s="467"/>
      <c r="E20" s="459" t="e">
        <f>'EEC Calculation'!#REF!</f>
        <v>#REF!</v>
      </c>
      <c r="F20" s="453" t="s">
        <v>65</v>
      </c>
      <c r="G20" s="471">
        <f>'EEC Calculation'!E104</f>
        <v>3.7097732944520031E-3</v>
      </c>
      <c r="H20" s="72" t="s">
        <v>65</v>
      </c>
      <c r="K20" s="97">
        <f>G20-L20</f>
        <v>-4.5022670554799651E-4</v>
      </c>
      <c r="L20" s="100">
        <v>4.1599999999999996E-3</v>
      </c>
      <c r="M20" s="214">
        <f>(+G20-L20)/L20</f>
        <v>-0.10822757344903763</v>
      </c>
      <c r="Q20" s="542" t="s">
        <v>514</v>
      </c>
      <c r="R20" s="543"/>
      <c r="S20" s="556">
        <f>S19-T19</f>
        <v>-203273.36572285998</v>
      </c>
      <c r="T20" s="557"/>
      <c r="U20" s="558"/>
    </row>
    <row r="21" spans="1:22" ht="34.5" customHeight="1" x14ac:dyDescent="0.25">
      <c r="A21" s="468"/>
      <c r="B21" s="467" t="s">
        <v>2</v>
      </c>
      <c r="C21" s="467"/>
      <c r="D21" s="467"/>
      <c r="E21" s="450" t="e">
        <f>'EEC Calculation'!#REF!</f>
        <v>#REF!</v>
      </c>
      <c r="F21" s="453" t="s">
        <v>87</v>
      </c>
      <c r="G21" s="474">
        <f>'EEC Calculation'!E107</f>
        <v>0.90498174724992464</v>
      </c>
      <c r="H21" s="72" t="s">
        <v>87</v>
      </c>
      <c r="K21" s="97">
        <f>G21-L21</f>
        <v>-0.19276825275007536</v>
      </c>
      <c r="L21" s="103">
        <v>1.09775</v>
      </c>
      <c r="M21" s="214">
        <f>(+G21-L21)/L21</f>
        <v>-0.17560305420184502</v>
      </c>
      <c r="P21" s="483"/>
      <c r="Q21" s="555"/>
      <c r="R21" s="555"/>
      <c r="S21" s="559"/>
      <c r="T21" s="559"/>
      <c r="U21" s="559"/>
      <c r="V21" s="483"/>
    </row>
    <row r="22" spans="1:22" x14ac:dyDescent="0.25">
      <c r="A22" s="466" t="s">
        <v>89</v>
      </c>
      <c r="B22" s="467"/>
      <c r="C22" s="467"/>
      <c r="D22" s="467"/>
      <c r="E22" s="455"/>
      <c r="F22" s="453"/>
      <c r="G22" s="470"/>
      <c r="H22" s="72"/>
      <c r="K22" s="93"/>
      <c r="L22" s="95"/>
      <c r="M22" s="214"/>
    </row>
    <row r="23" spans="1:22" x14ac:dyDescent="0.25">
      <c r="A23" s="468"/>
      <c r="B23" s="467" t="s">
        <v>1</v>
      </c>
      <c r="C23" s="467"/>
      <c r="D23" s="467"/>
      <c r="E23" s="459" t="e">
        <f>'EEC Calculation'!#REF!</f>
        <v>#REF!</v>
      </c>
      <c r="F23" s="453" t="s">
        <v>65</v>
      </c>
      <c r="G23" s="475">
        <f>'EEC Calculation'!E121</f>
        <v>3.097256803300467E-3</v>
      </c>
      <c r="H23" s="72" t="s">
        <v>65</v>
      </c>
      <c r="K23" s="97">
        <f>G23-L23</f>
        <v>-1.327431966995328E-4</v>
      </c>
      <c r="L23" s="98">
        <v>3.2299999999999998E-3</v>
      </c>
      <c r="M23" s="214">
        <f>(+G23-L23)/L23</f>
        <v>-4.1096964922455979E-2</v>
      </c>
    </row>
    <row r="24" spans="1:22" x14ac:dyDescent="0.25">
      <c r="A24" s="468"/>
      <c r="B24" s="467" t="s">
        <v>2</v>
      </c>
      <c r="C24" s="467"/>
      <c r="D24" s="467"/>
      <c r="E24" s="450" t="e">
        <f>'EEC Calculation'!#REF!</f>
        <v>#REF!</v>
      </c>
      <c r="F24" s="453" t="s">
        <v>87</v>
      </c>
      <c r="G24" s="461">
        <f>'EEC Calculation'!E124</f>
        <v>0.80407302145293524</v>
      </c>
      <c r="H24" s="72" t="s">
        <v>87</v>
      </c>
      <c r="K24" s="97">
        <f>G24-L24</f>
        <v>-6.5346978547064727E-2</v>
      </c>
      <c r="L24" s="104">
        <v>0.86941999999999997</v>
      </c>
      <c r="M24" s="214">
        <f>(+G24-L24)/L24</f>
        <v>-7.516157731253563E-2</v>
      </c>
    </row>
    <row r="25" spans="1:22" ht="17.25" x14ac:dyDescent="0.25">
      <c r="A25" s="468"/>
      <c r="B25" s="467"/>
      <c r="C25" s="467"/>
      <c r="D25" s="467"/>
      <c r="E25" s="450"/>
      <c r="F25" s="453"/>
      <c r="G25" s="461"/>
      <c r="H25" s="72"/>
      <c r="K25" s="102"/>
      <c r="L25" s="104"/>
      <c r="M25" s="214"/>
      <c r="Q25" s="355"/>
      <c r="R25" s="355"/>
      <c r="S25" s="355"/>
      <c r="T25" s="355"/>
      <c r="U25" s="355"/>
    </row>
    <row r="26" spans="1:22" ht="17.25" x14ac:dyDescent="0.25">
      <c r="A26" s="466" t="s">
        <v>169</v>
      </c>
      <c r="B26" s="467"/>
      <c r="C26" s="467"/>
      <c r="D26" s="467"/>
      <c r="E26" s="450"/>
      <c r="F26" s="453"/>
      <c r="G26" s="461"/>
      <c r="H26" s="72"/>
      <c r="K26" s="102"/>
      <c r="L26" s="104"/>
      <c r="M26" s="214"/>
      <c r="Q26" s="561"/>
      <c r="R26" s="561"/>
      <c r="S26" s="356"/>
      <c r="T26" s="356"/>
      <c r="U26" s="356"/>
    </row>
    <row r="27" spans="1:22" ht="17.25" thickBot="1" x14ac:dyDescent="0.3">
      <c r="A27" s="462"/>
      <c r="B27" s="463"/>
      <c r="C27" s="463"/>
      <c r="D27" s="463"/>
      <c r="E27" s="464" t="e">
        <f>+E13</f>
        <v>#REF!</v>
      </c>
      <c r="F27" s="463" t="s">
        <v>65</v>
      </c>
      <c r="G27" s="465">
        <f>+G13</f>
        <v>6.0704281521895441E-3</v>
      </c>
      <c r="H27" s="73" t="s">
        <v>65</v>
      </c>
      <c r="J27" s="1">
        <v>8.8999999999999999E-3</v>
      </c>
      <c r="K27" s="97">
        <f>G27-L27</f>
        <v>-9.2957184781045608E-4</v>
      </c>
      <c r="L27" s="105">
        <v>7.0000000000000001E-3</v>
      </c>
      <c r="M27" s="214">
        <f>(+G27-L27)/L27</f>
        <v>-0.13279597825863659</v>
      </c>
      <c r="Q27" s="562"/>
      <c r="R27" s="300"/>
      <c r="S27" s="301"/>
      <c r="T27" s="301"/>
      <c r="U27" s="357"/>
    </row>
    <row r="28" spans="1:22" ht="16.5" x14ac:dyDescent="0.25">
      <c r="Q28" s="562"/>
      <c r="R28" s="300"/>
      <c r="S28" s="301"/>
      <c r="T28" s="301"/>
      <c r="U28" s="357"/>
    </row>
    <row r="29" spans="1:22" ht="16.5" x14ac:dyDescent="0.25">
      <c r="Q29" s="562"/>
      <c r="R29" s="300"/>
      <c r="S29" s="301"/>
      <c r="T29" s="301"/>
      <c r="U29" s="357"/>
    </row>
    <row r="30" spans="1:22" ht="16.5" x14ac:dyDescent="0.25">
      <c r="A30" s="12" t="s">
        <v>336</v>
      </c>
      <c r="B30" s="12"/>
      <c r="E30" s="81" t="e">
        <f>+'EEC Calculation'!#REF!</f>
        <v>#REF!</v>
      </c>
      <c r="F30" s="81"/>
      <c r="H30" s="81"/>
      <c r="I30" s="81"/>
      <c r="J30" s="81"/>
      <c r="K30" s="81"/>
      <c r="L30" s="83">
        <f>'EEC Billing Determinants'!O35</f>
        <v>2159734.1443577996</v>
      </c>
      <c r="M30" s="106">
        <f>(+G31-L30)/L30</f>
        <v>-9.4119624053683529E-2</v>
      </c>
      <c r="Q30" s="562"/>
      <c r="R30" s="563"/>
      <c r="S30" s="563"/>
      <c r="T30" s="563"/>
      <c r="U30" s="300"/>
    </row>
    <row r="31" spans="1:22" ht="16.5" x14ac:dyDescent="0.25">
      <c r="G31" s="81">
        <f>+'EEC Calculation'!D42</f>
        <v>1956460.7786349396</v>
      </c>
      <c r="L31" s="81">
        <f>G31-L30</f>
        <v>-203273.36572285998</v>
      </c>
      <c r="M31" s="1" t="s">
        <v>379</v>
      </c>
      <c r="Q31" s="562"/>
      <c r="R31" s="300"/>
      <c r="S31" s="301"/>
      <c r="T31" s="301"/>
      <c r="U31" s="357"/>
    </row>
    <row r="32" spans="1:22" ht="16.5" x14ac:dyDescent="0.25">
      <c r="E32" s="24"/>
      <c r="K32" s="24"/>
      <c r="Q32" s="562"/>
      <c r="R32" s="300"/>
      <c r="S32" s="301"/>
      <c r="T32" s="301"/>
      <c r="U32" s="357"/>
    </row>
    <row r="33" spans="5:21" ht="16.5" x14ac:dyDescent="0.25">
      <c r="E33" s="1" t="s">
        <v>294</v>
      </c>
      <c r="K33" s="24"/>
      <c r="Q33" s="562"/>
      <c r="R33" s="563"/>
      <c r="S33" s="563"/>
      <c r="T33" s="563"/>
      <c r="U33" s="300"/>
    </row>
    <row r="34" spans="5:21" ht="16.5" x14ac:dyDescent="0.25">
      <c r="E34" s="1" t="s">
        <v>293</v>
      </c>
      <c r="F34" s="222">
        <v>1</v>
      </c>
      <c r="Q34" s="562"/>
      <c r="R34" s="300"/>
      <c r="S34" s="301"/>
      <c r="T34" s="301"/>
      <c r="U34" s="357"/>
    </row>
    <row r="35" spans="5:21" ht="16.5" x14ac:dyDescent="0.25">
      <c r="Q35" s="562"/>
      <c r="R35" s="300"/>
      <c r="S35" s="301"/>
      <c r="T35" s="301"/>
      <c r="U35" s="357"/>
    </row>
    <row r="36" spans="5:21" ht="16.5" x14ac:dyDescent="0.25">
      <c r="Q36" s="358"/>
      <c r="R36" s="300"/>
      <c r="S36" s="359"/>
      <c r="T36" s="359"/>
      <c r="U36" s="357"/>
    </row>
    <row r="38" spans="5:21" ht="17.25" x14ac:dyDescent="0.25">
      <c r="Q38" s="560"/>
      <c r="R38" s="560"/>
      <c r="S38" s="360"/>
      <c r="T38" s="360"/>
      <c r="U38" s="357"/>
    </row>
  </sheetData>
  <mergeCells count="24">
    <mergeCell ref="Q20:R20"/>
    <mergeCell ref="Q21:R21"/>
    <mergeCell ref="S20:U20"/>
    <mergeCell ref="S21:U21"/>
    <mergeCell ref="Q38:R38"/>
    <mergeCell ref="Q26:R26"/>
    <mergeCell ref="Q27:Q29"/>
    <mergeCell ref="Q30:Q35"/>
    <mergeCell ref="R30:T30"/>
    <mergeCell ref="R33:T33"/>
    <mergeCell ref="K5:M5"/>
    <mergeCell ref="L6:M6"/>
    <mergeCell ref="A1:H1"/>
    <mergeCell ref="A2:H2"/>
    <mergeCell ref="E6:F6"/>
    <mergeCell ref="E5:H5"/>
    <mergeCell ref="G6:H6"/>
    <mergeCell ref="E4:H4"/>
    <mergeCell ref="Q7:R7"/>
    <mergeCell ref="Q8:Q10"/>
    <mergeCell ref="Q11:Q16"/>
    <mergeCell ref="Q19:R19"/>
    <mergeCell ref="R11:U11"/>
    <mergeCell ref="R14:U14"/>
  </mergeCells>
  <phoneticPr fontId="0" type="noConversion"/>
  <hyperlinks>
    <hyperlink ref="N12" r:id="rId1" xr:uid="{00000000-0004-0000-0B00-000000000000}"/>
  </hyperlinks>
  <printOptions horizontalCentered="1"/>
  <pageMargins left="0.7" right="0.7" top="0.75" bottom="0.75" header="0.3" footer="0.3"/>
  <pageSetup scale="94" orientation="landscape" r:id="rId2"/>
  <headerFooter alignWithMargins="0">
    <oddFooter xml:space="preserve">&amp;L&amp;F&amp;R&amp;D    </oddFooter>
  </headerFooter>
  <drawing r:id="rId3"/>
  <legacy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47756C-D019-4AAE-A1DF-5B4680CA01A2}">
  <dimension ref="C1:G20"/>
  <sheetViews>
    <sheetView topLeftCell="A12" workbookViewId="0">
      <selection activeCell="G18" sqref="G18"/>
    </sheetView>
  </sheetViews>
  <sheetFormatPr defaultRowHeight="16.5" x14ac:dyDescent="0.3"/>
  <cols>
    <col min="1" max="4" width="9.140625" style="490"/>
    <col min="5" max="5" width="14.140625" style="490" customWidth="1"/>
    <col min="6" max="6" width="14.7109375" style="490" customWidth="1"/>
    <col min="7" max="7" width="16.28515625" style="490" customWidth="1"/>
    <col min="8" max="16384" width="9.140625" style="490"/>
  </cols>
  <sheetData>
    <row r="1" spans="3:7" ht="17.25" x14ac:dyDescent="0.3">
      <c r="C1" s="488"/>
      <c r="D1" s="489" t="s">
        <v>505</v>
      </c>
      <c r="E1" s="489" t="s">
        <v>505</v>
      </c>
      <c r="F1" s="489" t="s">
        <v>506</v>
      </c>
      <c r="G1" s="489" t="s">
        <v>506</v>
      </c>
    </row>
    <row r="2" spans="3:7" ht="17.25" x14ac:dyDescent="0.3">
      <c r="C2" s="488"/>
      <c r="D2" s="489" t="s">
        <v>442</v>
      </c>
      <c r="E2" s="489" t="s">
        <v>6</v>
      </c>
      <c r="F2" s="489" t="s">
        <v>442</v>
      </c>
      <c r="G2" s="489" t="s">
        <v>6</v>
      </c>
    </row>
    <row r="3" spans="3:7" ht="18" thickBot="1" x14ac:dyDescent="0.35">
      <c r="C3" s="491" t="s">
        <v>507</v>
      </c>
      <c r="D3" s="492" t="s">
        <v>508</v>
      </c>
      <c r="E3" s="492" t="s">
        <v>509</v>
      </c>
      <c r="F3" s="492" t="s">
        <v>508</v>
      </c>
      <c r="G3" s="492" t="s">
        <v>509</v>
      </c>
    </row>
    <row r="4" spans="3:7" x14ac:dyDescent="0.3">
      <c r="C4" s="493">
        <v>44197</v>
      </c>
      <c r="D4" s="494">
        <v>3102</v>
      </c>
      <c r="E4" s="494">
        <v>1384040</v>
      </c>
      <c r="F4" s="494">
        <v>17050</v>
      </c>
      <c r="G4" s="494">
        <v>8200281</v>
      </c>
    </row>
    <row r="5" spans="3:7" x14ac:dyDescent="0.3">
      <c r="C5" s="493">
        <v>44228</v>
      </c>
      <c r="D5" s="494">
        <v>3078</v>
      </c>
      <c r="E5" s="495">
        <v>1530313</v>
      </c>
      <c r="F5" s="494">
        <v>17000</v>
      </c>
      <c r="G5" s="494">
        <v>8683274</v>
      </c>
    </row>
    <row r="6" spans="3:7" x14ac:dyDescent="0.3">
      <c r="C6" s="493">
        <v>44256</v>
      </c>
      <c r="D6" s="494">
        <v>3098</v>
      </c>
      <c r="E6" s="494">
        <v>1319992</v>
      </c>
      <c r="F6" s="494">
        <v>17038</v>
      </c>
      <c r="G6" s="494">
        <v>7449200</v>
      </c>
    </row>
    <row r="7" spans="3:7" x14ac:dyDescent="0.3">
      <c r="C7" s="493">
        <v>44287</v>
      </c>
      <c r="D7" s="494">
        <v>3083</v>
      </c>
      <c r="E7" s="494">
        <v>1211276</v>
      </c>
      <c r="F7" s="494">
        <v>17009</v>
      </c>
      <c r="G7" s="494">
        <v>6780482</v>
      </c>
    </row>
    <row r="8" spans="3:7" x14ac:dyDescent="0.3">
      <c r="C8" s="493">
        <v>44317</v>
      </c>
      <c r="D8" s="494">
        <v>3087</v>
      </c>
      <c r="E8" s="494">
        <v>1100485</v>
      </c>
      <c r="F8" s="495">
        <v>17112</v>
      </c>
      <c r="G8" s="494">
        <v>6006179</v>
      </c>
    </row>
    <row r="9" spans="3:7" x14ac:dyDescent="0.3">
      <c r="C9" s="493">
        <v>44348</v>
      </c>
      <c r="D9" s="494">
        <v>3091</v>
      </c>
      <c r="E9" s="494">
        <v>1237376</v>
      </c>
      <c r="F9" s="494">
        <v>18212</v>
      </c>
      <c r="G9" s="494">
        <v>6488396</v>
      </c>
    </row>
    <row r="10" spans="3:7" x14ac:dyDescent="0.3">
      <c r="C10" s="493">
        <v>44378</v>
      </c>
      <c r="D10" s="494">
        <v>3096</v>
      </c>
      <c r="E10" s="494">
        <v>1322708</v>
      </c>
      <c r="F10" s="494">
        <v>17179</v>
      </c>
      <c r="G10" s="494">
        <v>7725522</v>
      </c>
    </row>
    <row r="11" spans="3:7" x14ac:dyDescent="0.3">
      <c r="C11" s="493">
        <v>44409</v>
      </c>
      <c r="D11" s="494">
        <v>3089</v>
      </c>
      <c r="E11" s="494">
        <v>1387452</v>
      </c>
      <c r="F11" s="494">
        <v>17254</v>
      </c>
      <c r="G11" s="494">
        <v>7895725.6100000003</v>
      </c>
    </row>
    <row r="12" spans="3:7" x14ac:dyDescent="0.3">
      <c r="C12" s="493">
        <v>44440</v>
      </c>
      <c r="D12" s="494">
        <v>3105</v>
      </c>
      <c r="E12" s="494">
        <v>1405176</v>
      </c>
      <c r="F12" s="494">
        <v>17151</v>
      </c>
      <c r="G12" s="494">
        <v>8672637</v>
      </c>
    </row>
    <row r="13" spans="3:7" x14ac:dyDescent="0.3">
      <c r="C13" s="493">
        <v>44470</v>
      </c>
      <c r="D13" s="494">
        <v>3095</v>
      </c>
      <c r="E13" s="494">
        <v>1156970</v>
      </c>
      <c r="F13" s="494">
        <v>17074</v>
      </c>
      <c r="G13" s="494">
        <v>6172152</v>
      </c>
    </row>
    <row r="14" spans="3:7" x14ac:dyDescent="0.3">
      <c r="C14" s="493">
        <v>44501</v>
      </c>
      <c r="D14" s="494">
        <v>3080</v>
      </c>
      <c r="E14" s="494">
        <v>1196785</v>
      </c>
      <c r="F14" s="494">
        <v>17105</v>
      </c>
      <c r="G14" s="494">
        <v>6494903</v>
      </c>
    </row>
    <row r="15" spans="3:7" ht="17.25" thickBot="1" x14ac:dyDescent="0.35">
      <c r="C15" s="493">
        <v>44531</v>
      </c>
      <c r="D15" s="496">
        <v>3078</v>
      </c>
      <c r="E15" s="496">
        <v>1322292</v>
      </c>
      <c r="F15" s="496">
        <v>17049</v>
      </c>
      <c r="G15" s="497">
        <v>7156050</v>
      </c>
    </row>
    <row r="16" spans="3:7" ht="17.25" thickBot="1" x14ac:dyDescent="0.35">
      <c r="C16" s="498"/>
      <c r="D16" s="499">
        <f>AVERAGE(D4:D15)</f>
        <v>3090.1666666666665</v>
      </c>
      <c r="E16" s="499">
        <f>SUM(E4:E15)</f>
        <v>15574865</v>
      </c>
      <c r="F16" s="499">
        <f>AVERAGE(F4:F15)</f>
        <v>17186.083333333332</v>
      </c>
      <c r="G16" s="499">
        <f>SUM(G4:G15)</f>
        <v>87724801.609999999</v>
      </c>
    </row>
    <row r="17" spans="3:7" ht="34.5" customHeight="1" thickBot="1" x14ac:dyDescent="0.35">
      <c r="C17" s="564" t="s">
        <v>510</v>
      </c>
      <c r="D17" s="565"/>
      <c r="E17" s="500">
        <f>E16/D16</f>
        <v>5040.1375330348956</v>
      </c>
      <c r="F17" s="501"/>
      <c r="G17" s="500">
        <f>G16/F16</f>
        <v>5104.4091843691358</v>
      </c>
    </row>
    <row r="18" spans="3:7" ht="33" customHeight="1" thickBot="1" x14ac:dyDescent="0.35">
      <c r="C18" s="566" t="s">
        <v>511</v>
      </c>
      <c r="D18" s="567"/>
      <c r="E18" s="502">
        <f>E17/12</f>
        <v>420.0114610862413</v>
      </c>
      <c r="F18" s="503"/>
      <c r="G18" s="502">
        <f>G17/12</f>
        <v>425.36743203076134</v>
      </c>
    </row>
    <row r="19" spans="3:7" ht="33" customHeight="1" thickBot="1" x14ac:dyDescent="0.35">
      <c r="C19" s="566" t="s">
        <v>512</v>
      </c>
      <c r="D19" s="567"/>
      <c r="E19" s="504">
        <v>7.0270000000000003E-3</v>
      </c>
      <c r="F19" s="505"/>
      <c r="G19" s="506">
        <v>6.9030000000000003E-3</v>
      </c>
    </row>
    <row r="20" spans="3:7" ht="33" customHeight="1" thickBot="1" x14ac:dyDescent="0.35">
      <c r="C20" s="568" t="s">
        <v>513</v>
      </c>
      <c r="D20" s="569"/>
      <c r="E20" s="507">
        <f>E18*E19</f>
        <v>2.9514205370530178</v>
      </c>
      <c r="F20" s="503"/>
      <c r="G20" s="508">
        <f>G18*G19</f>
        <v>2.9363113833083454</v>
      </c>
    </row>
  </sheetData>
  <mergeCells count="4">
    <mergeCell ref="C17:D17"/>
    <mergeCell ref="C18:D18"/>
    <mergeCell ref="C19:D19"/>
    <mergeCell ref="C20:D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3</vt:i4>
      </vt:variant>
    </vt:vector>
  </HeadingPairs>
  <TitlesOfParts>
    <vt:vector size="16" baseType="lpstr">
      <vt:lpstr>Tasks</vt:lpstr>
      <vt:lpstr>EEC Billing Determinants</vt:lpstr>
      <vt:lpstr>Util Rev and Load Data</vt:lpstr>
      <vt:lpstr>EEC Uncollectibles</vt:lpstr>
      <vt:lpstr>EEC Collection True-Up</vt:lpstr>
      <vt:lpstr>EEC 2022 data</vt:lpstr>
      <vt:lpstr>EEC 2021 data</vt:lpstr>
      <vt:lpstr>EEC 2020 data</vt:lpstr>
      <vt:lpstr>EEC 2019 data</vt:lpstr>
      <vt:lpstr>EEC 2018 data</vt:lpstr>
      <vt:lpstr>EEC Calculation</vt:lpstr>
      <vt:lpstr>EEC Rates Report</vt:lpstr>
      <vt:lpstr>NM Flat</vt:lpstr>
      <vt:lpstr>'EEC Calculation'!Print_Area</vt:lpstr>
      <vt:lpstr>'EEC Rates Report'!Print_Area</vt:lpstr>
      <vt:lpstr>'Util Rev and Load Data'!Print_Area</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Tom Lyle</cp:lastModifiedBy>
  <cp:lastPrinted>2019-10-24T14:18:13Z</cp:lastPrinted>
  <dcterms:created xsi:type="dcterms:W3CDTF">2003-10-13T18:25:46Z</dcterms:created>
  <dcterms:modified xsi:type="dcterms:W3CDTF">2022-10-13T16:44:36Z</dcterms:modified>
</cp:coreProperties>
</file>