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EVERYONE\DSM\Case 22-2417 INV Inv into 2023 Energy Efficiency Charge\VGS 10.3.2022 filing\"/>
    </mc:Choice>
  </mc:AlternateContent>
  <xr:revisionPtr revIDLastSave="0" documentId="13_ncr:1_{408A5DC4-9CB6-4F2D-AD37-2024A62D70F9}" xr6:coauthVersionLast="47" xr6:coauthVersionMax="47" xr10:uidLastSave="{00000000-0000-0000-0000-000000000000}"/>
  <bookViews>
    <workbookView xWindow="-110" yWindow="-110" windowWidth="19420" windowHeight="10420" tabRatio="871" activeTab="3" xr2:uid="{00000000-000D-0000-FFFF-FFFF00000000}"/>
  </bookViews>
  <sheets>
    <sheet name="Prop EEC 2023 Rates" sheetId="47" r:id="rId1"/>
    <sheet name="Potential EEC 2024 Rates VGS" sheetId="40" r:id="rId2"/>
    <sheet name="PSD Budget Inves Totals 21-23" sheetId="30" r:id="rId3"/>
    <sheet name="Loan Amortization" sheetId="42" r:id="rId4"/>
    <sheet name="VGS forecast" sheetId="1" r:id="rId5"/>
    <sheet name="AVG Liap customers" sheetId="12" r:id="rId6"/>
    <sheet name="15 years_PSD Surrebuttal" sheetId="39" r:id="rId7"/>
    <sheet name="Over Under True Up" sheetId="36" r:id="rId8"/>
    <sheet name="Reallocation 2016-2017" sheetId="22" r:id="rId9"/>
    <sheet name="VGS rates" sheetId="20" r:id="rId10"/>
  </sheets>
  <externalReferences>
    <externalReference r:id="rId11"/>
    <externalReference r:id="rId12"/>
    <externalReference r:id="rId13"/>
    <externalReference r:id="rId14"/>
  </externalReferences>
  <definedNames>
    <definedName name="\P" localSheetId="2">#REF!</definedName>
    <definedName name="\P">#REF!</definedName>
    <definedName name="_Order1" hidden="1">0</definedName>
    <definedName name="_TAB5">[1]J:K!$A$35:$L$47</definedName>
    <definedName name="a" localSheetId="6">#REF!</definedName>
    <definedName name="a">#REF!</definedName>
    <definedName name="aaa" localSheetId="6">[1]results!#REF!</definedName>
    <definedName name="aaa">[1]results!#REF!</definedName>
    <definedName name="aaaa" localSheetId="6">[1]results!#REF!</definedName>
    <definedName name="aaaa">[1]results!#REF!</definedName>
    <definedName name="Annual_Avoid_Cost" localSheetId="6">[1]results!#REF!</definedName>
    <definedName name="Annual_Avoid_Cost">[1]results!#REF!</definedName>
    <definedName name="Annual_avoided_cost" localSheetId="6">#REF!</definedName>
    <definedName name="Annual_avoided_cost">#REF!</definedName>
    <definedName name="Annual_Savings" localSheetId="6">#REF!</definedName>
    <definedName name="Annual_Savings">#REF!</definedName>
    <definedName name="ap" localSheetId="6">[1]results!#REF!</definedName>
    <definedName name="ap">[1]results!#REF!</definedName>
    <definedName name="avoid_cost" localSheetId="6">#REF!</definedName>
    <definedName name="avoid_cost">#REF!</definedName>
    <definedName name="B_LOAD" localSheetId="2">#REF!</definedName>
    <definedName name="B_LOAD">#REF!</definedName>
    <definedName name="BASE" localSheetId="6">#REF!</definedName>
    <definedName name="BASE">#REF!</definedName>
    <definedName name="baseinc" localSheetId="2">'[2]Use per DD'!#REF!</definedName>
    <definedName name="baseinc">'[2]Use per DD'!#REF!</definedName>
    <definedName name="CER" localSheetId="6">#REF!</definedName>
    <definedName name="CER">#REF!</definedName>
    <definedName name="CNC" localSheetId="6">#REF!</definedName>
    <definedName name="CNC">#REF!</definedName>
    <definedName name="CP_Labor" localSheetId="6">#REF!</definedName>
    <definedName name="CP_Labor">#REF!</definedName>
    <definedName name="CSR" localSheetId="6">#REF!</definedName>
    <definedName name="CSR">#REF!</definedName>
    <definedName name="CurrentYr1">[3]Ref!$E$35</definedName>
    <definedName name="CurrentYr2">[3]Ref!$E$36</definedName>
    <definedName name="CurrentYr3">[3]Ref!$E$37</definedName>
    <definedName name="CURTAIL" localSheetId="2">#REF!</definedName>
    <definedName name="CURTAIL">#REF!</definedName>
    <definedName name="Date_of_Filing">[3]Ref!$E$9</definedName>
    <definedName name="dd" localSheetId="6">[1]results!#REF!</definedName>
    <definedName name="dd">[1]results!#REF!</definedName>
    <definedName name="Dist_Comp">[3]Ref!$E$7</definedName>
    <definedName name="ECM_Database" localSheetId="6">#REF!</definedName>
    <definedName name="ECM_Database">#REF!</definedName>
    <definedName name="Enduse_Lookup" localSheetId="6">#REF!</definedName>
    <definedName name="Enduse_Lookup">#REF!</definedName>
    <definedName name="FB_LOAD" localSheetId="2">#REF!</definedName>
    <definedName name="FB_LOAD">#REF!</definedName>
    <definedName name="FH_FACTOR" localSheetId="2">#REF!</definedName>
    <definedName name="FH_FACTOR">#REF!</definedName>
    <definedName name="GNP">[1]M!$H$3</definedName>
    <definedName name="graph" localSheetId="2" hidden="1">[4]January!#REF!</definedName>
    <definedName name="graph" hidden="1">[4]January!#REF!</definedName>
    <definedName name="H_FACTOR" localSheetId="2">#REF!</definedName>
    <definedName name="H_FACTOR">#REF!</definedName>
    <definedName name="IB_LOAD" localSheetId="2">#REF!</definedName>
    <definedName name="IB_LOAD">#REF!</definedName>
    <definedName name="IH_FACTOR" localSheetId="2">#REF!</definedName>
    <definedName name="IH_FACTOR">#REF!</definedName>
    <definedName name="JG_Labor" localSheetId="6">#REF!</definedName>
    <definedName name="JG_Labor">#REF!</definedName>
    <definedName name="JSP_Labor" localSheetId="6">#REF!</definedName>
    <definedName name="JSP_Labor">#REF!</definedName>
    <definedName name="KH_Labor" localSheetId="6">#REF!</definedName>
    <definedName name="KH_Labor">#REF!</definedName>
    <definedName name="MAR_Labor" localSheetId="6">#REF!</definedName>
    <definedName name="MAR_Labor">#REF!</definedName>
    <definedName name="Measure_Lookup" localSheetId="6">#REF!</definedName>
    <definedName name="Measure_Lookup">#REF!</definedName>
    <definedName name="Measure_Screening" localSheetId="6">#REF!</definedName>
    <definedName name="Measure_Screening">#REF!</definedName>
    <definedName name="misc" localSheetId="2" hidden="1">[4]January!#REF!</definedName>
    <definedName name="misc" hidden="1">[4]January!#REF!</definedName>
    <definedName name="MJP_Labor" localSheetId="6">#REF!</definedName>
    <definedName name="MJP_Labor">#REF!</definedName>
    <definedName name="MONTHLY" localSheetId="2">#REF!</definedName>
    <definedName name="MONTHLY">#REF!</definedName>
    <definedName name="NOM_DR">[1]M!$H$4</definedName>
    <definedName name="PA">[3]Ref!$E$8</definedName>
    <definedName name="PAGE1" localSheetId="2">#REF!</definedName>
    <definedName name="PAGE1">#REF!</definedName>
    <definedName name="PAGE10" localSheetId="2">#REF!</definedName>
    <definedName name="PAGE10">#REF!</definedName>
    <definedName name="PAGE11" localSheetId="2">#REF!</definedName>
    <definedName name="PAGE11">#REF!</definedName>
    <definedName name="PAGE12" localSheetId="2">#REF!</definedName>
    <definedName name="PAGE12">#REF!</definedName>
    <definedName name="PAGE2" localSheetId="2">#REF!</definedName>
    <definedName name="PAGE2">#REF!</definedName>
    <definedName name="PAGE2A" localSheetId="2">#REF!</definedName>
    <definedName name="PAGE2A">#REF!</definedName>
    <definedName name="PAGE2B" localSheetId="2">#REF!</definedName>
    <definedName name="PAGE2B">#REF!</definedName>
    <definedName name="PAGE3" localSheetId="2">#REF!</definedName>
    <definedName name="PAGE3">#REF!</definedName>
    <definedName name="PAGE4" localSheetId="2">'[2]Use per DD'!#REF!</definedName>
    <definedName name="PAGE4">'[2]Use per DD'!#REF!</definedName>
    <definedName name="PAGE5" localSheetId="2">#REF!</definedName>
    <definedName name="PAGE5">#REF!</definedName>
    <definedName name="PAGE7" localSheetId="2">#REF!</definedName>
    <definedName name="PAGE7">#REF!</definedName>
    <definedName name="PAGE8" localSheetId="2">#REF!</definedName>
    <definedName name="PAGE8">#REF!</definedName>
    <definedName name="PAGE8A" localSheetId="2">#REF!</definedName>
    <definedName name="PAGE8A">#REF!</definedName>
    <definedName name="PAGE9" localSheetId="2">#REF!</definedName>
    <definedName name="PAGE9">#REF!</definedName>
    <definedName name="Pecent_avoided_cost" localSheetId="6">#REF!</definedName>
    <definedName name="Pecent_avoided_cost">#REF!</definedName>
    <definedName name="Pecent_societal_avoided_cost" localSheetId="6">#REF!</definedName>
    <definedName name="Pecent_societal_avoided_cost">#REF!</definedName>
    <definedName name="Percent_annual_avoided_cost" localSheetId="6">#REF!</definedName>
    <definedName name="Percent_annual_avoided_cost">#REF!</definedName>
    <definedName name="PI_Tax_Rate">[3]Ref!$E$28</definedName>
    <definedName name="_xlnm.Print_Area" localSheetId="2">#REF!</definedName>
    <definedName name="_xlnm.Print_Area">#REF!</definedName>
    <definedName name="Program_ac" localSheetId="6">[1]results!#REF!</definedName>
    <definedName name="Program_ac">[1]results!#REF!</definedName>
    <definedName name="Program_Avoided_cost" localSheetId="6">#REF!</definedName>
    <definedName name="Program_Avoided_cost">#REF!</definedName>
    <definedName name="Program_Factors" localSheetId="6">#REF!</definedName>
    <definedName name="Program_Factors">#REF!</definedName>
    <definedName name="RATE_NAME" localSheetId="6">[1]B!#REF!</definedName>
    <definedName name="RATE_NAME">[1]B!#REF!</definedName>
    <definedName name="REH_Labor" localSheetId="6">#REF!</definedName>
    <definedName name="REH_Labor">#REF!</definedName>
    <definedName name="RER" localSheetId="6">#REF!</definedName>
    <definedName name="RER">#REF!</definedName>
    <definedName name="RIR" localSheetId="6">#REF!</definedName>
    <definedName name="RIR">#REF!</definedName>
    <definedName name="RNC" localSheetId="6">#REF!</definedName>
    <definedName name="RNC">#REF!</definedName>
    <definedName name="RNC_Bonus" localSheetId="6">#REF!</definedName>
    <definedName name="RNC_Bonus">#REF!</definedName>
    <definedName name="RNC_Bonus_Percent" localSheetId="6">#REF!</definedName>
    <definedName name="RNC_Bonus_Percent">#REF!</definedName>
    <definedName name="RNC_ERH_Cost" localSheetId="6">#REF!</definedName>
    <definedName name="RNC_ERH_Cost">#REF!</definedName>
    <definedName name="RNC_Incentive_sqft" localSheetId="6">#REF!</definedName>
    <definedName name="RNC_Incentive_sqft">#REF!</definedName>
    <definedName name="RNC_MCF" localSheetId="6">#REF!</definedName>
    <definedName name="RNC_MCF">#REF!</definedName>
    <definedName name="RNC_percent_Signups" localSheetId="6">#REF!</definedName>
    <definedName name="RNC_percent_Signups">#REF!</definedName>
    <definedName name="RNC_sf" localSheetId="6">#REF!</definedName>
    <definedName name="RNC_sf">#REF!</definedName>
    <definedName name="RNC_SF_MF" localSheetId="6">#REF!</definedName>
    <definedName name="RNC_SF_MF">#REF!</definedName>
    <definedName name="RNC_Sqft" localSheetId="6">#REF!</definedName>
    <definedName name="RNC_Sqft">#REF!</definedName>
    <definedName name="RNC_VGS_QC" localSheetId="6">#REF!</definedName>
    <definedName name="RNC_VGS_QC">#REF!</definedName>
    <definedName name="Savings_lookup" localSheetId="6">#REF!</definedName>
    <definedName name="Savings_lookup">#REF!</definedName>
    <definedName name="Screenings" localSheetId="6">#REF!</definedName>
    <definedName name="Screenings">#REF!</definedName>
    <definedName name="Societal_Annual_Avoided_Cost" localSheetId="6">#REF!</definedName>
    <definedName name="Societal_Annual_Avoided_Cost">#REF!</definedName>
    <definedName name="Societal_Avoided_cost" localSheetId="6">#REF!</definedName>
    <definedName name="Societal_Avoided_cost">#REF!</definedName>
    <definedName name="TB_LOAD" localSheetId="2">#REF!</definedName>
    <definedName name="TB_LOAD">#REF!</definedName>
    <definedName name="test" localSheetId="2" hidden="1">[4]January!#REF!</definedName>
    <definedName name="test" hidden="1">[4]January!#REF!</definedName>
    <definedName name="TG_Labor" localSheetId="6">#REF!</definedName>
    <definedName name="TG_Labor">#REF!</definedName>
    <definedName name="TH_FACTOR" localSheetId="2">#REF!</definedName>
    <definedName name="TH_FACTOR">#REF!</definedName>
    <definedName name="TITLE" localSheetId="2">#REF!</definedName>
    <definedName name="TITLE">#REF!</definedName>
    <definedName name="VGS_Annual_avoided_Cost" localSheetId="6">#REF!</definedName>
    <definedName name="VGS_Annual_avoided_Cost">#REF!</definedName>
    <definedName name="VGS_Avoided_cost" localSheetId="6">#REF!</definedName>
    <definedName name="VGS_Avoided_cost">#REF!</definedName>
    <definedName name="VGS_QC" localSheetId="6">#REF!</definedName>
    <definedName name="VGS_QC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5" i="42" l="1"/>
  <c r="AB4" i="42"/>
  <c r="K9" i="42"/>
  <c r="C18" i="30"/>
  <c r="B18" i="30"/>
  <c r="T13" i="47"/>
  <c r="T12" i="47"/>
  <c r="T11" i="47"/>
  <c r="T10" i="47"/>
  <c r="T9" i="47"/>
  <c r="T8" i="47"/>
  <c r="T7" i="47"/>
  <c r="S13" i="47"/>
  <c r="S12" i="47"/>
  <c r="S11" i="47"/>
  <c r="S10" i="47"/>
  <c r="S9" i="47"/>
  <c r="S8" i="47"/>
  <c r="S7" i="47"/>
  <c r="C42" i="30" l="1"/>
  <c r="C46" i="30" s="1"/>
  <c r="C12" i="30" s="1"/>
  <c r="B41" i="30"/>
  <c r="B46" i="30" s="1"/>
  <c r="C38" i="40" l="1"/>
  <c r="F9" i="42"/>
  <c r="F72" i="39"/>
  <c r="G72" i="39"/>
  <c r="H72" i="39"/>
  <c r="C26" i="47"/>
  <c r="C25" i="47"/>
  <c r="C24" i="12"/>
  <c r="C22" i="47"/>
  <c r="C40" i="36" l="1"/>
  <c r="F40" i="36"/>
  <c r="F42" i="36" s="1"/>
  <c r="F49" i="36" s="1"/>
  <c r="I40" i="36"/>
  <c r="I42" i="36" s="1"/>
  <c r="F1" i="12"/>
  <c r="E1" i="12"/>
  <c r="C1" i="12"/>
  <c r="D1" i="12"/>
  <c r="F2" i="12"/>
  <c r="E2" i="12"/>
  <c r="D2" i="12"/>
  <c r="C48" i="47"/>
  <c r="C33" i="47"/>
  <c r="C16" i="47"/>
  <c r="L13" i="47"/>
  <c r="K13" i="47"/>
  <c r="B13" i="47"/>
  <c r="L12" i="47"/>
  <c r="K12" i="47"/>
  <c r="C12" i="47"/>
  <c r="B12" i="47"/>
  <c r="L11" i="47"/>
  <c r="K11" i="47"/>
  <c r="C11" i="47"/>
  <c r="B11" i="47"/>
  <c r="L10" i="47"/>
  <c r="K10" i="47"/>
  <c r="C10" i="47"/>
  <c r="B10" i="47"/>
  <c r="L9" i="47"/>
  <c r="K9" i="47"/>
  <c r="C9" i="47"/>
  <c r="B9" i="47"/>
  <c r="K8" i="47"/>
  <c r="B8" i="47"/>
  <c r="M8" i="47" s="1"/>
  <c r="L7" i="47"/>
  <c r="K7" i="47"/>
  <c r="C7" i="47"/>
  <c r="B7" i="47"/>
  <c r="H38" i="39"/>
  <c r="G38" i="39"/>
  <c r="F38" i="39"/>
  <c r="F44" i="39"/>
  <c r="C70" i="39"/>
  <c r="D10" i="42"/>
  <c r="D11" i="42"/>
  <c r="K10" i="42"/>
  <c r="J11" i="42"/>
  <c r="O11" i="42"/>
  <c r="M9" i="47" l="1"/>
  <c r="N9" i="47" s="1"/>
  <c r="M12" i="47"/>
  <c r="D12" i="47"/>
  <c r="M7" i="47"/>
  <c r="N7" i="47" s="1"/>
  <c r="D7" i="47"/>
  <c r="D10" i="47"/>
  <c r="D11" i="47"/>
  <c r="M13" i="47"/>
  <c r="N13" i="47" s="1"/>
  <c r="M11" i="47"/>
  <c r="N11" i="47" s="1"/>
  <c r="M10" i="47"/>
  <c r="N10" i="47" s="1"/>
  <c r="N12" i="47"/>
  <c r="D9" i="47"/>
  <c r="B14" i="47"/>
  <c r="C8" i="47"/>
  <c r="D8" i="47" s="1"/>
  <c r="D13" i="47"/>
  <c r="P38" i="40"/>
  <c r="P50" i="40"/>
  <c r="P48" i="40"/>
  <c r="P46" i="40"/>
  <c r="P42" i="40"/>
  <c r="P40" i="40"/>
  <c r="P39" i="40"/>
  <c r="P34" i="40"/>
  <c r="P33" i="40"/>
  <c r="P32" i="40"/>
  <c r="P30" i="40"/>
  <c r="B12" i="30"/>
  <c r="C18" i="47" l="1"/>
  <c r="N8" i="47"/>
  <c r="C14" i="47"/>
  <c r="D14" i="47"/>
  <c r="E13" i="47" s="1"/>
  <c r="E11" i="47" l="1"/>
  <c r="E7" i="47"/>
  <c r="E12" i="47"/>
  <c r="E10" i="47"/>
  <c r="E8" i="47"/>
  <c r="E9" i="47"/>
  <c r="C54" i="40"/>
  <c r="E14" i="47" l="1"/>
  <c r="E11" i="42"/>
  <c r="E10" i="42"/>
  <c r="C11" i="42"/>
  <c r="C10" i="42"/>
  <c r="C44" i="40"/>
  <c r="P44" i="40" s="1"/>
  <c r="M5" i="30"/>
  <c r="M4" i="30"/>
  <c r="C19" i="40"/>
  <c r="C17" i="47" l="1"/>
  <c r="C19" i="47" l="1"/>
  <c r="E12" i="30"/>
  <c r="D12" i="30" l="1"/>
  <c r="B7" i="30" l="1"/>
  <c r="AC25" i="42" l="1"/>
  <c r="AC24" i="42"/>
  <c r="AC23" i="42"/>
  <c r="AC22" i="42"/>
  <c r="AC21" i="42"/>
  <c r="AC20" i="42"/>
  <c r="AC19" i="42"/>
  <c r="AC18" i="42"/>
  <c r="AC17" i="42"/>
  <c r="AC16" i="42"/>
  <c r="AC15" i="42"/>
  <c r="AC14" i="42"/>
  <c r="F12" i="42"/>
  <c r="F23" i="42"/>
  <c r="F13" i="42"/>
  <c r="F14" i="42"/>
  <c r="F15" i="42"/>
  <c r="F16" i="42"/>
  <c r="F17" i="42"/>
  <c r="F18" i="42"/>
  <c r="F19" i="42"/>
  <c r="F20" i="42"/>
  <c r="F21" i="42"/>
  <c r="F22" i="42"/>
  <c r="Q24" i="42"/>
  <c r="Q23" i="42"/>
  <c r="Q22" i="42"/>
  <c r="Q21" i="42"/>
  <c r="Q20" i="42"/>
  <c r="Q19" i="42"/>
  <c r="Q18" i="42"/>
  <c r="Q17" i="42"/>
  <c r="Q16" i="42"/>
  <c r="Q15" i="42"/>
  <c r="Q14" i="42"/>
  <c r="Q13" i="42"/>
  <c r="R10" i="42"/>
  <c r="O10" i="42"/>
  <c r="F11" i="42"/>
  <c r="I10" i="42"/>
  <c r="S10" i="42" l="1"/>
  <c r="W10" i="42"/>
  <c r="H11" i="42" l="1"/>
  <c r="I11" i="42" l="1"/>
  <c r="K11" i="42" s="1"/>
  <c r="H12" i="42"/>
  <c r="T11" i="42"/>
  <c r="T12" i="42" s="1"/>
  <c r="F10" i="42"/>
  <c r="AF12" i="42" l="1"/>
  <c r="E12" i="42"/>
  <c r="E13" i="42"/>
  <c r="E14" i="42"/>
  <c r="E15" i="42"/>
  <c r="E16" i="42"/>
  <c r="E17" i="42"/>
  <c r="E18" i="42"/>
  <c r="E19" i="42"/>
  <c r="E20" i="42"/>
  <c r="E21" i="42"/>
  <c r="E22" i="42"/>
  <c r="E23" i="42"/>
  <c r="C9" i="42" l="1"/>
  <c r="F24" i="42" l="1"/>
  <c r="G9" i="42"/>
  <c r="G10" i="42" s="1"/>
  <c r="G11" i="42" l="1"/>
  <c r="C12" i="42" l="1"/>
  <c r="G12" i="42" s="1"/>
  <c r="C13" i="42" l="1"/>
  <c r="G13" i="42" s="1"/>
  <c r="C14" i="42" s="1"/>
  <c r="G14" i="42" s="1"/>
  <c r="C15" i="42" s="1"/>
  <c r="G15" i="42" s="1"/>
  <c r="C16" i="42" s="1"/>
  <c r="I12" i="42"/>
  <c r="K12" i="42" s="1"/>
  <c r="K13" i="40"/>
  <c r="K12" i="40"/>
  <c r="K11" i="40"/>
  <c r="K10" i="40"/>
  <c r="K9" i="40"/>
  <c r="K8" i="40"/>
  <c r="B8" i="40"/>
  <c r="M8" i="40" s="1"/>
  <c r="K7" i="40"/>
  <c r="C35" i="40" l="1"/>
  <c r="I15" i="42"/>
  <c r="K15" i="42" s="1"/>
  <c r="I14" i="42"/>
  <c r="K14" i="42" s="1"/>
  <c r="I13" i="42"/>
  <c r="K13" i="42" s="1"/>
  <c r="G16" i="42"/>
  <c r="I16" i="42" s="1"/>
  <c r="K16" i="42" s="1"/>
  <c r="P35" i="40" l="1"/>
  <c r="C17" i="42"/>
  <c r="G17" i="42" s="1"/>
  <c r="C18" i="42" s="1"/>
  <c r="G18" i="42" s="1"/>
  <c r="I17" i="42" l="1"/>
  <c r="K17" i="42" s="1"/>
  <c r="C19" i="42"/>
  <c r="I18" i="42"/>
  <c r="K18" i="42" s="1"/>
  <c r="G19" i="42" l="1"/>
  <c r="I19" i="42" s="1"/>
  <c r="K19" i="42" s="1"/>
  <c r="C20" i="42" l="1"/>
  <c r="G20" i="42" s="1"/>
  <c r="C21" i="42" s="1"/>
  <c r="P250" i="39"/>
  <c r="F231" i="39"/>
  <c r="E231" i="39"/>
  <c r="AI212" i="39"/>
  <c r="AH212" i="39"/>
  <c r="AG212" i="39"/>
  <c r="AF212" i="39"/>
  <c r="AE212" i="39"/>
  <c r="AD212" i="39"/>
  <c r="AC212" i="39"/>
  <c r="AB212" i="39"/>
  <c r="AA212" i="39"/>
  <c r="Z212" i="39"/>
  <c r="Y212" i="39"/>
  <c r="X212" i="39"/>
  <c r="S212" i="39"/>
  <c r="AI211" i="39"/>
  <c r="AH211" i="39"/>
  <c r="AG211" i="39"/>
  <c r="AF211" i="39"/>
  <c r="AE211" i="39"/>
  <c r="AD211" i="39"/>
  <c r="AC211" i="39"/>
  <c r="AB211" i="39"/>
  <c r="AA211" i="39"/>
  <c r="Z211" i="39"/>
  <c r="Y211" i="39"/>
  <c r="X211" i="39"/>
  <c r="W211" i="39"/>
  <c r="V211" i="39"/>
  <c r="U211" i="39"/>
  <c r="T211" i="39"/>
  <c r="S211" i="39"/>
  <c r="R211" i="39"/>
  <c r="Q211" i="39"/>
  <c r="P211" i="39"/>
  <c r="O211" i="39"/>
  <c r="N211" i="39"/>
  <c r="M211" i="39"/>
  <c r="L211" i="39"/>
  <c r="K211" i="39"/>
  <c r="J211" i="39"/>
  <c r="I211" i="39"/>
  <c r="H211" i="39"/>
  <c r="G211" i="39"/>
  <c r="F211" i="39"/>
  <c r="L212" i="39" s="1"/>
  <c r="G203" i="39"/>
  <c r="G231" i="39" s="1"/>
  <c r="AJ79" i="39"/>
  <c r="AI73" i="39"/>
  <c r="AH73" i="39"/>
  <c r="AG73" i="39"/>
  <c r="AF73" i="39"/>
  <c r="AE73" i="39"/>
  <c r="AD73" i="39"/>
  <c r="AC73" i="39"/>
  <c r="AB73" i="39"/>
  <c r="AA73" i="39"/>
  <c r="Z73" i="39"/>
  <c r="AI72" i="39"/>
  <c r="AH72" i="39"/>
  <c r="AG72" i="39"/>
  <c r="AF72" i="39"/>
  <c r="AE72" i="39"/>
  <c r="AD72" i="39"/>
  <c r="AC72" i="39"/>
  <c r="AB72" i="39"/>
  <c r="AA72" i="39"/>
  <c r="Z72" i="39"/>
  <c r="Y71" i="39"/>
  <c r="F66" i="39"/>
  <c r="P65" i="39"/>
  <c r="R78" i="39"/>
  <c r="M78" i="39"/>
  <c r="J78" i="39"/>
  <c r="I72" i="39"/>
  <c r="AC33" i="39"/>
  <c r="AB33" i="39"/>
  <c r="AA33" i="39"/>
  <c r="Z33" i="39"/>
  <c r="K20" i="39"/>
  <c r="L20" i="39" s="1"/>
  <c r="M20" i="39" s="1"/>
  <c r="N20" i="39" s="1"/>
  <c r="H21" i="39"/>
  <c r="H43" i="39" s="1"/>
  <c r="AI42" i="39"/>
  <c r="AI89" i="39" s="1"/>
  <c r="AH42" i="39"/>
  <c r="AH89" i="39" s="1"/>
  <c r="AG42" i="39"/>
  <c r="AF42" i="39"/>
  <c r="AE42" i="39"/>
  <c r="AD42" i="39"/>
  <c r="AC42" i="39"/>
  <c r="AB42" i="39"/>
  <c r="AA42" i="39"/>
  <c r="Z42" i="39"/>
  <c r="Y42" i="39"/>
  <c r="X42" i="39"/>
  <c r="W42" i="39"/>
  <c r="V42" i="39"/>
  <c r="U42" i="39"/>
  <c r="T42" i="39"/>
  <c r="S42" i="39"/>
  <c r="R42" i="39"/>
  <c r="Q42" i="39"/>
  <c r="P42" i="39"/>
  <c r="O42" i="39"/>
  <c r="N42" i="39"/>
  <c r="M42" i="39"/>
  <c r="L42" i="39"/>
  <c r="K42" i="39"/>
  <c r="J42" i="39"/>
  <c r="I42" i="39"/>
  <c r="H42" i="39"/>
  <c r="G42" i="39"/>
  <c r="F42" i="39"/>
  <c r="E42" i="39"/>
  <c r="AI41" i="39"/>
  <c r="AI88" i="39" s="1"/>
  <c r="AH41" i="39"/>
  <c r="AH88" i="39" s="1"/>
  <c r="AG41" i="39"/>
  <c r="AF41" i="39"/>
  <c r="AE41" i="39"/>
  <c r="AD41" i="39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O41" i="39"/>
  <c r="N41" i="39"/>
  <c r="M41" i="39"/>
  <c r="L41" i="39"/>
  <c r="K41" i="39"/>
  <c r="J41" i="39"/>
  <c r="I41" i="39"/>
  <c r="H41" i="39"/>
  <c r="G41" i="39"/>
  <c r="F41" i="39"/>
  <c r="E41" i="39"/>
  <c r="AI40" i="39"/>
  <c r="AI87" i="39" s="1"/>
  <c r="AH40" i="39"/>
  <c r="AH87" i="39" s="1"/>
  <c r="AG40" i="39"/>
  <c r="AF40" i="39"/>
  <c r="AE40" i="39"/>
  <c r="AD40" i="39"/>
  <c r="AC40" i="39"/>
  <c r="AB40" i="39"/>
  <c r="AA40" i="39"/>
  <c r="Z40" i="39"/>
  <c r="Y40" i="39"/>
  <c r="X40" i="39"/>
  <c r="W40" i="39"/>
  <c r="V40" i="39"/>
  <c r="U40" i="39"/>
  <c r="T40" i="39"/>
  <c r="S40" i="39"/>
  <c r="R40" i="39"/>
  <c r="Q40" i="39"/>
  <c r="P40" i="39"/>
  <c r="O40" i="39"/>
  <c r="N40" i="39"/>
  <c r="M40" i="39"/>
  <c r="L40" i="39"/>
  <c r="K40" i="39"/>
  <c r="J40" i="39"/>
  <c r="I40" i="39"/>
  <c r="H40" i="39"/>
  <c r="G40" i="39"/>
  <c r="F40" i="39"/>
  <c r="E40" i="39"/>
  <c r="AI39" i="39"/>
  <c r="AI86" i="39" s="1"/>
  <c r="AH39" i="39"/>
  <c r="AH86" i="39" s="1"/>
  <c r="AG39" i="39"/>
  <c r="AF39" i="39"/>
  <c r="AE39" i="39"/>
  <c r="AD39" i="39"/>
  <c r="AC39" i="39"/>
  <c r="AB39" i="39"/>
  <c r="AA39" i="39"/>
  <c r="Z39" i="39"/>
  <c r="Y39" i="39"/>
  <c r="X39" i="39"/>
  <c r="W39" i="39"/>
  <c r="V39" i="39"/>
  <c r="U39" i="39"/>
  <c r="T39" i="39"/>
  <c r="S39" i="39"/>
  <c r="R39" i="39"/>
  <c r="Q39" i="39"/>
  <c r="P39" i="39"/>
  <c r="O39" i="39"/>
  <c r="N39" i="39"/>
  <c r="M39" i="39"/>
  <c r="L39" i="39"/>
  <c r="K39" i="39"/>
  <c r="J39" i="39"/>
  <c r="I39" i="39"/>
  <c r="H39" i="39"/>
  <c r="G39" i="39"/>
  <c r="F39" i="39"/>
  <c r="E39" i="39"/>
  <c r="AH38" i="39"/>
  <c r="AG38" i="39"/>
  <c r="AF38" i="39"/>
  <c r="AE38" i="39"/>
  <c r="AD38" i="39"/>
  <c r="AC38" i="39"/>
  <c r="AB38" i="39"/>
  <c r="Z38" i="39"/>
  <c r="Y38" i="39"/>
  <c r="X38" i="39"/>
  <c r="W38" i="39"/>
  <c r="V38" i="39"/>
  <c r="U38" i="39"/>
  <c r="T38" i="39"/>
  <c r="R38" i="39"/>
  <c r="Q38" i="39"/>
  <c r="P38" i="39"/>
  <c r="O38" i="39"/>
  <c r="N38" i="39"/>
  <c r="M38" i="39"/>
  <c r="L38" i="39"/>
  <c r="K38" i="39"/>
  <c r="J38" i="39"/>
  <c r="I38" i="39"/>
  <c r="E38" i="39"/>
  <c r="G78" i="39" l="1"/>
  <c r="I70" i="39"/>
  <c r="H78" i="39"/>
  <c r="F73" i="39"/>
  <c r="G73" i="39"/>
  <c r="F75" i="39"/>
  <c r="K11" i="39"/>
  <c r="L11" i="39"/>
  <c r="S11" i="39"/>
  <c r="F213" i="39"/>
  <c r="E216" i="39"/>
  <c r="K27" i="39"/>
  <c r="T11" i="39"/>
  <c r="F21" i="39"/>
  <c r="F43" i="39" s="1"/>
  <c r="G21" i="39"/>
  <c r="G43" i="39" s="1"/>
  <c r="S22" i="39"/>
  <c r="AA22" i="39"/>
  <c r="AI22" i="39"/>
  <c r="M11" i="39"/>
  <c r="U11" i="39"/>
  <c r="U22" i="39"/>
  <c r="J21" i="39"/>
  <c r="J43" i="39" s="1"/>
  <c r="E11" i="39"/>
  <c r="F11" i="39"/>
  <c r="N11" i="39"/>
  <c r="V11" i="39"/>
  <c r="K21" i="39"/>
  <c r="K43" i="39" s="1"/>
  <c r="K129" i="39" s="1"/>
  <c r="I21" i="39"/>
  <c r="I43" i="39" s="1"/>
  <c r="G11" i="39"/>
  <c r="O11" i="39"/>
  <c r="W11" i="39"/>
  <c r="L21" i="39"/>
  <c r="L43" i="39" s="1"/>
  <c r="L44" i="39" s="1"/>
  <c r="E21" i="39"/>
  <c r="E43" i="39" s="1"/>
  <c r="P11" i="39"/>
  <c r="B7" i="40"/>
  <c r="I11" i="39"/>
  <c r="Q11" i="39"/>
  <c r="Y11" i="39"/>
  <c r="L27" i="39"/>
  <c r="M27" i="39" s="1"/>
  <c r="N27" i="39" s="1"/>
  <c r="O27" i="39" s="1"/>
  <c r="P27" i="39" s="1"/>
  <c r="Q27" i="39" s="1"/>
  <c r="R27" i="39" s="1"/>
  <c r="S27" i="39" s="1"/>
  <c r="T27" i="39" s="1"/>
  <c r="U27" i="39" s="1"/>
  <c r="V27" i="39" s="1"/>
  <c r="W27" i="39" s="1"/>
  <c r="X27" i="39" s="1"/>
  <c r="Y27" i="39" s="1"/>
  <c r="H11" i="39"/>
  <c r="X11" i="39"/>
  <c r="K32" i="39"/>
  <c r="L32" i="39" s="1"/>
  <c r="J11" i="39"/>
  <c r="R11" i="39"/>
  <c r="F50" i="39"/>
  <c r="I20" i="42"/>
  <c r="K20" i="42" s="1"/>
  <c r="G21" i="42"/>
  <c r="C22" i="42" s="1"/>
  <c r="P28" i="40"/>
  <c r="E128" i="39"/>
  <c r="E134" i="39" s="1"/>
  <c r="E89" i="39"/>
  <c r="E52" i="39"/>
  <c r="K26" i="39"/>
  <c r="K48" i="39" s="1"/>
  <c r="K125" i="39"/>
  <c r="K49" i="39"/>
  <c r="S125" i="39"/>
  <c r="E127" i="39"/>
  <c r="E133" i="39" s="1"/>
  <c r="E88" i="39"/>
  <c r="E51" i="39"/>
  <c r="M127" i="39"/>
  <c r="G129" i="39"/>
  <c r="G33" i="39"/>
  <c r="G53" i="39" s="1"/>
  <c r="S126" i="39"/>
  <c r="K120" i="39"/>
  <c r="E125" i="39"/>
  <c r="E131" i="39" s="1"/>
  <c r="E86" i="39"/>
  <c r="E49" i="39"/>
  <c r="M125" i="39"/>
  <c r="M126" i="39"/>
  <c r="E120" i="39"/>
  <c r="E121" i="39" s="1"/>
  <c r="E85" i="39"/>
  <c r="E44" i="39"/>
  <c r="D42" i="39" s="1"/>
  <c r="M120" i="39"/>
  <c r="J129" i="39"/>
  <c r="M128" i="39"/>
  <c r="H129" i="39"/>
  <c r="H33" i="39"/>
  <c r="H53" i="39" s="1"/>
  <c r="K128" i="39"/>
  <c r="S128" i="39"/>
  <c r="E129" i="39"/>
  <c r="E135" i="39" s="1"/>
  <c r="E136" i="39" s="1"/>
  <c r="F136" i="39" s="1"/>
  <c r="G136" i="39" s="1"/>
  <c r="H136" i="39" s="1"/>
  <c r="I136" i="39" s="1"/>
  <c r="J136" i="39" s="1"/>
  <c r="K136" i="39" s="1"/>
  <c r="L136" i="39" s="1"/>
  <c r="M136" i="39" s="1"/>
  <c r="N136" i="39" s="1"/>
  <c r="O136" i="39" s="1"/>
  <c r="P136" i="39" s="1"/>
  <c r="Q136" i="39" s="1"/>
  <c r="R136" i="39" s="1"/>
  <c r="S136" i="39" s="1"/>
  <c r="T136" i="39" s="1"/>
  <c r="U136" i="39" s="1"/>
  <c r="V136" i="39" s="1"/>
  <c r="W136" i="39" s="1"/>
  <c r="X136" i="39" s="1"/>
  <c r="Y136" i="39" s="1"/>
  <c r="E90" i="39"/>
  <c r="E33" i="39"/>
  <c r="E53" i="39" s="1"/>
  <c r="N21" i="39"/>
  <c r="N43" i="39" s="1"/>
  <c r="N44" i="39" s="1"/>
  <c r="O20" i="39"/>
  <c r="P20" i="39" s="1"/>
  <c r="Q20" i="39" s="1"/>
  <c r="R20" i="39" s="1"/>
  <c r="S20" i="39" s="1"/>
  <c r="T20" i="39" s="1"/>
  <c r="U20" i="39" s="1"/>
  <c r="K126" i="39"/>
  <c r="E126" i="39"/>
  <c r="E132" i="39" s="1"/>
  <c r="E87" i="39"/>
  <c r="E50" i="39"/>
  <c r="K127" i="39"/>
  <c r="S127" i="39"/>
  <c r="J127" i="39"/>
  <c r="W22" i="39"/>
  <c r="U128" i="39"/>
  <c r="F125" i="39"/>
  <c r="N125" i="39"/>
  <c r="N49" i="39"/>
  <c r="V125" i="39"/>
  <c r="G126" i="39"/>
  <c r="O126" i="39"/>
  <c r="W126" i="39"/>
  <c r="H127" i="39"/>
  <c r="H51" i="39"/>
  <c r="P127" i="39"/>
  <c r="X127" i="39"/>
  <c r="I128" i="39"/>
  <c r="Q128" i="39"/>
  <c r="Y128" i="39"/>
  <c r="E22" i="39"/>
  <c r="E23" i="39" s="1"/>
  <c r="M22" i="39"/>
  <c r="M23" i="39" s="1"/>
  <c r="AC22" i="39"/>
  <c r="K29" i="39"/>
  <c r="L29" i="39" s="1"/>
  <c r="M29" i="39" s="1"/>
  <c r="N29" i="39" s="1"/>
  <c r="O29" i="39" s="1"/>
  <c r="P29" i="39" s="1"/>
  <c r="Q29" i="39" s="1"/>
  <c r="R29" i="39" s="1"/>
  <c r="S29" i="39" s="1"/>
  <c r="T29" i="39" s="1"/>
  <c r="U29" i="39" s="1"/>
  <c r="V29" i="39" s="1"/>
  <c r="W29" i="39" s="1"/>
  <c r="X29" i="39" s="1"/>
  <c r="Y29" i="39" s="1"/>
  <c r="Y51" i="39" s="1"/>
  <c r="G66" i="39"/>
  <c r="W120" i="39"/>
  <c r="Q126" i="39"/>
  <c r="U125" i="39"/>
  <c r="F120" i="39"/>
  <c r="N120" i="39"/>
  <c r="V120" i="39"/>
  <c r="G125" i="39"/>
  <c r="O125" i="39"/>
  <c r="W125" i="39"/>
  <c r="H126" i="39"/>
  <c r="P126" i="39"/>
  <c r="X126" i="39"/>
  <c r="I127" i="39"/>
  <c r="Q127" i="39"/>
  <c r="Y127" i="39"/>
  <c r="J128" i="39"/>
  <c r="K30" i="39"/>
  <c r="L30" i="39" s="1"/>
  <c r="M30" i="39" s="1"/>
  <c r="N30" i="39" s="1"/>
  <c r="O30" i="39" s="1"/>
  <c r="P30" i="39" s="1"/>
  <c r="Q30" i="39" s="1"/>
  <c r="R30" i="39" s="1"/>
  <c r="S30" i="39" s="1"/>
  <c r="T30" i="39" s="1"/>
  <c r="U30" i="39" s="1"/>
  <c r="V30" i="39" s="1"/>
  <c r="W30" i="39" s="1"/>
  <c r="X30" i="39" s="1"/>
  <c r="Y30" i="39" s="1"/>
  <c r="Y52" i="39" s="1"/>
  <c r="R128" i="39"/>
  <c r="M21" i="39"/>
  <c r="M43" i="39" s="1"/>
  <c r="F22" i="39"/>
  <c r="F23" i="39" s="1"/>
  <c r="N22" i="39"/>
  <c r="N23" i="39" s="1"/>
  <c r="N58" i="39" s="1"/>
  <c r="V22" i="39"/>
  <c r="AD22" i="39"/>
  <c r="S38" i="39"/>
  <c r="G120" i="39"/>
  <c r="G44" i="39"/>
  <c r="G218" i="39" s="1"/>
  <c r="G48" i="39"/>
  <c r="X125" i="39"/>
  <c r="Y126" i="39"/>
  <c r="F129" i="39"/>
  <c r="F33" i="39"/>
  <c r="F53" i="39" s="1"/>
  <c r="P120" i="39"/>
  <c r="X120" i="39"/>
  <c r="I125" i="39"/>
  <c r="Q125" i="39"/>
  <c r="Y125" i="39"/>
  <c r="J126" i="39"/>
  <c r="R126" i="39"/>
  <c r="L128" i="39"/>
  <c r="T128" i="39"/>
  <c r="H22" i="39"/>
  <c r="H23" i="39" s="1"/>
  <c r="P22" i="39"/>
  <c r="X22" i="39"/>
  <c r="AF22" i="39"/>
  <c r="G50" i="39"/>
  <c r="AA38" i="39"/>
  <c r="I49" i="39"/>
  <c r="O120" i="39"/>
  <c r="I126" i="39"/>
  <c r="AE22" i="39"/>
  <c r="I120" i="39"/>
  <c r="I48" i="39"/>
  <c r="Q120" i="39"/>
  <c r="Y120" i="39"/>
  <c r="J125" i="39"/>
  <c r="J49" i="39"/>
  <c r="R125" i="39"/>
  <c r="L127" i="39"/>
  <c r="T127" i="39"/>
  <c r="I22" i="39"/>
  <c r="Q22" i="39"/>
  <c r="Y22" i="39"/>
  <c r="AG22" i="39"/>
  <c r="H50" i="39"/>
  <c r="P125" i="39"/>
  <c r="R127" i="39"/>
  <c r="U126" i="39"/>
  <c r="J120" i="39"/>
  <c r="J44" i="39"/>
  <c r="J48" i="39"/>
  <c r="R120" i="39"/>
  <c r="Z120" i="39"/>
  <c r="AH85" i="39"/>
  <c r="L126" i="39"/>
  <c r="T126" i="39"/>
  <c r="F128" i="39"/>
  <c r="F52" i="39"/>
  <c r="N128" i="39"/>
  <c r="V128" i="39"/>
  <c r="J22" i="39"/>
  <c r="J23" i="39" s="1"/>
  <c r="J58" i="39" s="1"/>
  <c r="R22" i="39"/>
  <c r="Z22" i="39"/>
  <c r="AH22" i="39"/>
  <c r="F49" i="39"/>
  <c r="I50" i="39"/>
  <c r="AI38" i="39"/>
  <c r="F48" i="39"/>
  <c r="F78" i="39"/>
  <c r="F55" i="39"/>
  <c r="N78" i="39"/>
  <c r="V78" i="39"/>
  <c r="G22" i="39"/>
  <c r="G23" i="39" s="1"/>
  <c r="G58" i="39" s="1"/>
  <c r="U127" i="39"/>
  <c r="L125" i="39"/>
  <c r="T125" i="39"/>
  <c r="T49" i="39"/>
  <c r="F127" i="39"/>
  <c r="F51" i="39"/>
  <c r="N127" i="39"/>
  <c r="V127" i="39"/>
  <c r="G128" i="39"/>
  <c r="O128" i="39"/>
  <c r="W128" i="39"/>
  <c r="K22" i="39"/>
  <c r="K23" i="39" s="1"/>
  <c r="K28" i="39"/>
  <c r="L28" i="39" s="1"/>
  <c r="M28" i="39" s="1"/>
  <c r="N28" i="39" s="1"/>
  <c r="H125" i="39"/>
  <c r="H49" i="39"/>
  <c r="O22" i="39"/>
  <c r="O23" i="39" s="1"/>
  <c r="O58" i="39" s="1"/>
  <c r="U120" i="39"/>
  <c r="L120" i="39"/>
  <c r="T120" i="39"/>
  <c r="AB120" i="39"/>
  <c r="F126" i="39"/>
  <c r="N126" i="39"/>
  <c r="V126" i="39"/>
  <c r="G127" i="39"/>
  <c r="G51" i="39"/>
  <c r="O127" i="39"/>
  <c r="W127" i="39"/>
  <c r="H128" i="39"/>
  <c r="H52" i="39"/>
  <c r="P128" i="39"/>
  <c r="X128" i="39"/>
  <c r="L22" i="39"/>
  <c r="L23" i="39" s="1"/>
  <c r="L58" i="39" s="1"/>
  <c r="T22" i="39"/>
  <c r="AB22" i="39"/>
  <c r="I51" i="39"/>
  <c r="G52" i="39"/>
  <c r="Y49" i="39"/>
  <c r="O51" i="39"/>
  <c r="H55" i="39"/>
  <c r="P78" i="39"/>
  <c r="X78" i="39"/>
  <c r="O78" i="39"/>
  <c r="W78" i="39"/>
  <c r="I78" i="39"/>
  <c r="Q78" i="39"/>
  <c r="Y78" i="39"/>
  <c r="J72" i="39"/>
  <c r="Q65" i="39"/>
  <c r="G55" i="39"/>
  <c r="K78" i="39"/>
  <c r="S78" i="39"/>
  <c r="L78" i="39"/>
  <c r="T78" i="39"/>
  <c r="I55" i="39"/>
  <c r="U78" i="39"/>
  <c r="J218" i="39"/>
  <c r="K212" i="39"/>
  <c r="W212" i="39"/>
  <c r="Q212" i="39"/>
  <c r="T212" i="39"/>
  <c r="U212" i="39"/>
  <c r="H203" i="39"/>
  <c r="H231" i="39" s="1"/>
  <c r="I212" i="39"/>
  <c r="R212" i="39"/>
  <c r="J212" i="39"/>
  <c r="V212" i="39"/>
  <c r="M212" i="39"/>
  <c r="C211" i="39"/>
  <c r="F212" i="39"/>
  <c r="G213" i="39" s="1"/>
  <c r="H213" i="39" s="1"/>
  <c r="I213" i="39" s="1"/>
  <c r="J213" i="39" s="1"/>
  <c r="K213" i="39" s="1"/>
  <c r="L213" i="39" s="1"/>
  <c r="N212" i="39"/>
  <c r="G212" i="39"/>
  <c r="O212" i="39"/>
  <c r="H212" i="39"/>
  <c r="P212" i="39"/>
  <c r="H44" i="39" l="1"/>
  <c r="H218" i="39" s="1"/>
  <c r="H234" i="39" s="1"/>
  <c r="H243" i="39" s="1"/>
  <c r="D41" i="39"/>
  <c r="H48" i="39"/>
  <c r="H120" i="39"/>
  <c r="K44" i="39"/>
  <c r="K218" i="39" s="1"/>
  <c r="K237" i="39" s="1"/>
  <c r="K246" i="39" s="1"/>
  <c r="F45" i="39"/>
  <c r="F57" i="39" s="1"/>
  <c r="L49" i="39"/>
  <c r="M49" i="39"/>
  <c r="W49" i="39"/>
  <c r="R52" i="39"/>
  <c r="P49" i="39"/>
  <c r="O49" i="39"/>
  <c r="L129" i="39"/>
  <c r="H34" i="39"/>
  <c r="H35" i="39" s="1"/>
  <c r="Q49" i="39"/>
  <c r="R49" i="39"/>
  <c r="X49" i="39"/>
  <c r="U49" i="39"/>
  <c r="G34" i="39"/>
  <c r="G35" i="39" s="1"/>
  <c r="G54" i="39" s="1"/>
  <c r="V49" i="39"/>
  <c r="I44" i="39"/>
  <c r="I129" i="39"/>
  <c r="I33" i="39"/>
  <c r="I53" i="39" s="1"/>
  <c r="P23" i="39"/>
  <c r="P21" i="39"/>
  <c r="P43" i="39" s="1"/>
  <c r="P44" i="39" s="1"/>
  <c r="H61" i="39"/>
  <c r="N61" i="39"/>
  <c r="U52" i="39"/>
  <c r="G61" i="39"/>
  <c r="K61" i="39"/>
  <c r="Q23" i="39"/>
  <c r="Q61" i="39" s="1"/>
  <c r="F61" i="39"/>
  <c r="G49" i="39"/>
  <c r="D38" i="39"/>
  <c r="E78" i="39"/>
  <c r="T23" i="39"/>
  <c r="R23" i="39"/>
  <c r="I23" i="39"/>
  <c r="I61" i="39" s="1"/>
  <c r="S21" i="39"/>
  <c r="S43" i="39" s="1"/>
  <c r="S44" i="39" s="1"/>
  <c r="O21" i="39"/>
  <c r="O43" i="39" s="1"/>
  <c r="O44" i="39" s="1"/>
  <c r="S49" i="39"/>
  <c r="O61" i="39"/>
  <c r="Q21" i="39"/>
  <c r="Q43" i="39" s="1"/>
  <c r="Q44" i="39" s="1"/>
  <c r="Q218" i="39" s="1"/>
  <c r="L61" i="39"/>
  <c r="J61" i="39"/>
  <c r="S52" i="39"/>
  <c r="I21" i="42"/>
  <c r="K21" i="42" s="1"/>
  <c r="G22" i="42"/>
  <c r="C23" i="42" s="1"/>
  <c r="N45" i="39"/>
  <c r="N57" i="39" s="1"/>
  <c r="N59" i="39" s="1"/>
  <c r="N72" i="39"/>
  <c r="N218" i="39"/>
  <c r="P45" i="39"/>
  <c r="P57" i="39" s="1"/>
  <c r="P218" i="39"/>
  <c r="P72" i="39"/>
  <c r="M213" i="39"/>
  <c r="N213" i="39" s="1"/>
  <c r="O213" i="39" s="1"/>
  <c r="P213" i="39" s="1"/>
  <c r="Q213" i="39" s="1"/>
  <c r="R213" i="39" s="1"/>
  <c r="S213" i="39" s="1"/>
  <c r="L215" i="39"/>
  <c r="L216" i="39" s="1"/>
  <c r="F218" i="39"/>
  <c r="J52" i="39"/>
  <c r="H66" i="39"/>
  <c r="G62" i="39"/>
  <c r="I52" i="39"/>
  <c r="K51" i="39"/>
  <c r="D43" i="39"/>
  <c r="S129" i="39"/>
  <c r="M50" i="39"/>
  <c r="J34" i="39"/>
  <c r="J35" i="39" s="1"/>
  <c r="J54" i="39" s="1"/>
  <c r="G215" i="39"/>
  <c r="G216" i="39" s="1"/>
  <c r="K234" i="39"/>
  <c r="K243" i="39" s="1"/>
  <c r="Q215" i="39"/>
  <c r="Q216" i="39" s="1"/>
  <c r="I68" i="39"/>
  <c r="V51" i="39"/>
  <c r="N52" i="39"/>
  <c r="O52" i="39"/>
  <c r="U51" i="39"/>
  <c r="J50" i="39"/>
  <c r="G45" i="39"/>
  <c r="G57" i="39" s="1"/>
  <c r="G59" i="39" s="1"/>
  <c r="F62" i="39"/>
  <c r="M52" i="39"/>
  <c r="G237" i="39"/>
  <c r="G246" i="39" s="1"/>
  <c r="G236" i="39"/>
  <c r="G245" i="39" s="1"/>
  <c r="G235" i="39"/>
  <c r="G244" i="39" s="1"/>
  <c r="G234" i="39"/>
  <c r="G243" i="39" s="1"/>
  <c r="G233" i="39"/>
  <c r="G238" i="39"/>
  <c r="G247" i="39" s="1"/>
  <c r="G239" i="39"/>
  <c r="L45" i="39"/>
  <c r="L57" i="39" s="1"/>
  <c r="L59" i="39" s="1"/>
  <c r="AA120" i="39"/>
  <c r="M32" i="39"/>
  <c r="K50" i="39"/>
  <c r="E34" i="39"/>
  <c r="E35" i="39" s="1"/>
  <c r="H37" i="39" s="1"/>
  <c r="Q129" i="39"/>
  <c r="N215" i="39"/>
  <c r="N216" i="39" s="1"/>
  <c r="F214" i="39"/>
  <c r="G214" i="39" s="1"/>
  <c r="H214" i="39" s="1"/>
  <c r="I214" i="39" s="1"/>
  <c r="J214" i="39" s="1"/>
  <c r="K214" i="39" s="1"/>
  <c r="L214" i="39" s="1"/>
  <c r="M214" i="39" s="1"/>
  <c r="N214" i="39" s="1"/>
  <c r="O214" i="39" s="1"/>
  <c r="P214" i="39" s="1"/>
  <c r="Q214" i="39" s="1"/>
  <c r="R214" i="39" s="1"/>
  <c r="S214" i="39" s="1"/>
  <c r="T214" i="39" s="1"/>
  <c r="U214" i="39" s="1"/>
  <c r="V214" i="39" s="1"/>
  <c r="W214" i="39" s="1"/>
  <c r="X214" i="39" s="1"/>
  <c r="Y214" i="39" s="1"/>
  <c r="Z214" i="39" s="1"/>
  <c r="AA214" i="39" s="1"/>
  <c r="AB214" i="39" s="1"/>
  <c r="AC214" i="39" s="1"/>
  <c r="AD214" i="39" s="1"/>
  <c r="AE214" i="39" s="1"/>
  <c r="AF214" i="39" s="1"/>
  <c r="AG214" i="39" s="1"/>
  <c r="AH214" i="39" s="1"/>
  <c r="AI214" i="39" s="1"/>
  <c r="J236" i="39"/>
  <c r="J245" i="39" s="1"/>
  <c r="J235" i="39"/>
  <c r="J244" i="39" s="1"/>
  <c r="J239" i="39"/>
  <c r="J233" i="39"/>
  <c r="J237" i="39"/>
  <c r="J246" i="39" s="1"/>
  <c r="J234" i="39"/>
  <c r="J243" i="39" s="1"/>
  <c r="J238" i="39"/>
  <c r="J247" i="39" s="1"/>
  <c r="X52" i="39"/>
  <c r="N51" i="39"/>
  <c r="L52" i="39"/>
  <c r="T51" i="39"/>
  <c r="H54" i="39"/>
  <c r="M129" i="39"/>
  <c r="Q52" i="39"/>
  <c r="P129" i="39"/>
  <c r="E218" i="39"/>
  <c r="E219" i="39"/>
  <c r="E79" i="39"/>
  <c r="E80" i="39" s="1"/>
  <c r="E45" i="39"/>
  <c r="H73" i="39"/>
  <c r="F74" i="39"/>
  <c r="E74" i="39"/>
  <c r="H68" i="39"/>
  <c r="F215" i="39"/>
  <c r="F216" i="39" s="1"/>
  <c r="C212" i="39"/>
  <c r="L218" i="39"/>
  <c r="L72" i="39"/>
  <c r="Q51" i="39"/>
  <c r="H215" i="39"/>
  <c r="H216" i="39" s="1"/>
  <c r="J215" i="39"/>
  <c r="J216" i="39" s="1"/>
  <c r="I215" i="39"/>
  <c r="I216" i="39" s="1"/>
  <c r="K58" i="39"/>
  <c r="R65" i="39"/>
  <c r="H58" i="39"/>
  <c r="T52" i="39"/>
  <c r="AI85" i="39"/>
  <c r="V52" i="39"/>
  <c r="R51" i="39"/>
  <c r="S120" i="39"/>
  <c r="S51" i="39"/>
  <c r="V20" i="39"/>
  <c r="U21" i="39"/>
  <c r="U43" i="39" s="1"/>
  <c r="T21" i="39"/>
  <c r="T43" i="39" s="1"/>
  <c r="K52" i="39"/>
  <c r="S23" i="39"/>
  <c r="U23" i="39"/>
  <c r="E48" i="39"/>
  <c r="N50" i="39"/>
  <c r="O28" i="39"/>
  <c r="P215" i="39"/>
  <c r="P216" i="39" s="1"/>
  <c r="J68" i="39"/>
  <c r="X51" i="39"/>
  <c r="O215" i="39"/>
  <c r="O216" i="39" s="1"/>
  <c r="H236" i="39"/>
  <c r="H245" i="39" s="1"/>
  <c r="H233" i="39"/>
  <c r="H235" i="39"/>
  <c r="H244" i="39" s="1"/>
  <c r="H239" i="39"/>
  <c r="R215" i="39"/>
  <c r="R216" i="39" s="1"/>
  <c r="P52" i="39"/>
  <c r="W52" i="39"/>
  <c r="J45" i="39"/>
  <c r="J57" i="39" s="1"/>
  <c r="J59" i="39" s="1"/>
  <c r="L51" i="39"/>
  <c r="M61" i="39"/>
  <c r="M58" i="39"/>
  <c r="J51" i="39"/>
  <c r="D40" i="39"/>
  <c r="N129" i="39"/>
  <c r="F34" i="39"/>
  <c r="F35" i="39" s="1"/>
  <c r="F54" i="39" s="1"/>
  <c r="R21" i="39"/>
  <c r="R43" i="39" s="1"/>
  <c r="M44" i="39"/>
  <c r="E91" i="39"/>
  <c r="E92" i="39" s="1"/>
  <c r="M51" i="39"/>
  <c r="M215" i="39"/>
  <c r="M216" i="39" s="1"/>
  <c r="K215" i="39"/>
  <c r="K216" i="39" s="1"/>
  <c r="P51" i="39"/>
  <c r="K31" i="39"/>
  <c r="K34" i="39" s="1"/>
  <c r="K35" i="39" s="1"/>
  <c r="J33" i="39"/>
  <c r="J53" i="39" s="1"/>
  <c r="F58" i="39"/>
  <c r="W51" i="39"/>
  <c r="D39" i="39"/>
  <c r="L50" i="39"/>
  <c r="L26" i="39"/>
  <c r="F76" i="39" l="1"/>
  <c r="F77" i="39" s="1"/>
  <c r="I34" i="39"/>
  <c r="I35" i="39" s="1"/>
  <c r="K238" i="39"/>
  <c r="K247" i="39" s="1"/>
  <c r="H238" i="39"/>
  <c r="H247" i="39" s="1"/>
  <c r="K239" i="39"/>
  <c r="K54" i="39"/>
  <c r="K233" i="39"/>
  <c r="G219" i="39"/>
  <c r="G226" i="39" s="1"/>
  <c r="K236" i="39"/>
  <c r="K245" i="39" s="1"/>
  <c r="F59" i="39"/>
  <c r="H237" i="39"/>
  <c r="H246" i="39" s="1"/>
  <c r="H45" i="39"/>
  <c r="H57" i="39" s="1"/>
  <c r="K235" i="39"/>
  <c r="K244" i="39" s="1"/>
  <c r="K45" i="39"/>
  <c r="K57" i="39" s="1"/>
  <c r="K59" i="39" s="1"/>
  <c r="I54" i="39"/>
  <c r="H59" i="39"/>
  <c r="I45" i="39"/>
  <c r="I57" i="39" s="1"/>
  <c r="K72" i="39"/>
  <c r="O129" i="39"/>
  <c r="T58" i="39"/>
  <c r="R58" i="39"/>
  <c r="U58" i="39"/>
  <c r="Q45" i="39"/>
  <c r="Q57" i="39" s="1"/>
  <c r="P61" i="39"/>
  <c r="P58" i="39"/>
  <c r="P59" i="39" s="1"/>
  <c r="S58" i="39"/>
  <c r="Q58" i="39"/>
  <c r="E54" i="39"/>
  <c r="Q72" i="39"/>
  <c r="I58" i="39"/>
  <c r="I218" i="39"/>
  <c r="J219" i="39"/>
  <c r="J222" i="39" s="1"/>
  <c r="L219" i="39"/>
  <c r="L225" i="39" s="1"/>
  <c r="Q219" i="39"/>
  <c r="Q224" i="39" s="1"/>
  <c r="H219" i="39"/>
  <c r="H224" i="39" s="1"/>
  <c r="I22" i="42"/>
  <c r="K22" i="42" s="1"/>
  <c r="G23" i="42"/>
  <c r="I23" i="42" s="1"/>
  <c r="K23" i="42" s="1"/>
  <c r="G74" i="39"/>
  <c r="G75" i="39"/>
  <c r="H75" i="39" s="1"/>
  <c r="D26" i="39"/>
  <c r="P219" i="39"/>
  <c r="G224" i="39"/>
  <c r="G221" i="39"/>
  <c r="G222" i="39"/>
  <c r="N239" i="39"/>
  <c r="N233" i="39"/>
  <c r="N237" i="39"/>
  <c r="N246" i="39" s="1"/>
  <c r="N236" i="39"/>
  <c r="N245" i="39" s="1"/>
  <c r="N235" i="39"/>
  <c r="N244" i="39" s="1"/>
  <c r="N234" i="39"/>
  <c r="N243" i="39" s="1"/>
  <c r="N238" i="39"/>
  <c r="N247" i="39" s="1"/>
  <c r="S65" i="39"/>
  <c r="R61" i="39"/>
  <c r="R129" i="39"/>
  <c r="R44" i="39"/>
  <c r="S45" i="39"/>
  <c r="S57" i="39" s="1"/>
  <c r="S218" i="39"/>
  <c r="S72" i="39"/>
  <c r="G37" i="39"/>
  <c r="I37" i="39" s="1"/>
  <c r="K219" i="39"/>
  <c r="T213" i="39"/>
  <c r="S215" i="39"/>
  <c r="S216" i="39" s="1"/>
  <c r="L239" i="39"/>
  <c r="L237" i="39"/>
  <c r="L246" i="39" s="1"/>
  <c r="L235" i="39"/>
  <c r="L244" i="39" s="1"/>
  <c r="L233" i="39"/>
  <c r="L234" i="39"/>
  <c r="L243" i="39" s="1"/>
  <c r="L238" i="39"/>
  <c r="L247" i="39" s="1"/>
  <c r="L236" i="39"/>
  <c r="L245" i="39" s="1"/>
  <c r="E239" i="39"/>
  <c r="E237" i="39"/>
  <c r="E246" i="39" s="1"/>
  <c r="E235" i="39"/>
  <c r="E244" i="39" s="1"/>
  <c r="E233" i="39"/>
  <c r="E238" i="39"/>
  <c r="E247" i="39" s="1"/>
  <c r="E236" i="39"/>
  <c r="E245" i="39" s="1"/>
  <c r="E234" i="39"/>
  <c r="E243" i="39" s="1"/>
  <c r="I219" i="39"/>
  <c r="I66" i="39"/>
  <c r="H62" i="39"/>
  <c r="F239" i="39"/>
  <c r="F238" i="39"/>
  <c r="F247" i="39" s="1"/>
  <c r="F235" i="39"/>
  <c r="F244" i="39" s="1"/>
  <c r="F234" i="39"/>
  <c r="F243" i="39" s="1"/>
  <c r="F237" i="39"/>
  <c r="F246" i="39" s="1"/>
  <c r="F236" i="39"/>
  <c r="F245" i="39" s="1"/>
  <c r="F233" i="39"/>
  <c r="M219" i="39"/>
  <c r="M45" i="39"/>
  <c r="M57" i="39" s="1"/>
  <c r="M59" i="39" s="1"/>
  <c r="M72" i="39"/>
  <c r="M218" i="39"/>
  <c r="T129" i="39"/>
  <c r="T44" i="39"/>
  <c r="E221" i="39"/>
  <c r="E222" i="39"/>
  <c r="E225" i="39"/>
  <c r="E224" i="39"/>
  <c r="E226" i="39"/>
  <c r="E223" i="39"/>
  <c r="U129" i="39"/>
  <c r="U44" i="39"/>
  <c r="P28" i="39"/>
  <c r="O50" i="39"/>
  <c r="W20" i="39"/>
  <c r="V21" i="39"/>
  <c r="V43" i="39" s="1"/>
  <c r="N32" i="39"/>
  <c r="V23" i="39"/>
  <c r="F219" i="39"/>
  <c r="P238" i="39"/>
  <c r="P236" i="39"/>
  <c r="P234" i="39"/>
  <c r="P239" i="39"/>
  <c r="P235" i="39"/>
  <c r="P233" i="39"/>
  <c r="P237" i="39"/>
  <c r="O218" i="39"/>
  <c r="O219" i="39"/>
  <c r="O45" i="39"/>
  <c r="O57" i="39" s="1"/>
  <c r="O59" i="39" s="1"/>
  <c r="O72" i="39"/>
  <c r="J240" i="39"/>
  <c r="J242" i="39"/>
  <c r="G242" i="39"/>
  <c r="G249" i="39" s="1"/>
  <c r="G240" i="39"/>
  <c r="K242" i="39"/>
  <c r="M26" i="39"/>
  <c r="L48" i="39"/>
  <c r="H240" i="39"/>
  <c r="H242" i="39"/>
  <c r="H249" i="39" s="1"/>
  <c r="L31" i="39"/>
  <c r="L34" i="39" s="1"/>
  <c r="L35" i="39" s="1"/>
  <c r="L54" i="39" s="1"/>
  <c r="K33" i="39"/>
  <c r="K53" i="39" s="1"/>
  <c r="N219" i="39"/>
  <c r="F97" i="39" l="1"/>
  <c r="F79" i="39"/>
  <c r="F99" i="39"/>
  <c r="F95" i="39"/>
  <c r="Q221" i="39"/>
  <c r="G223" i="39"/>
  <c r="G225" i="39"/>
  <c r="L226" i="39"/>
  <c r="L223" i="39"/>
  <c r="L221" i="39"/>
  <c r="Q222" i="39"/>
  <c r="L222" i="39"/>
  <c r="L227" i="39" s="1"/>
  <c r="L228" i="39" s="1"/>
  <c r="L224" i="39"/>
  <c r="H222" i="39"/>
  <c r="H221" i="39"/>
  <c r="Q226" i="39"/>
  <c r="H223" i="39"/>
  <c r="K240" i="39"/>
  <c r="H226" i="39"/>
  <c r="K249" i="39"/>
  <c r="H225" i="39"/>
  <c r="I59" i="39"/>
  <c r="Q223" i="39"/>
  <c r="J223" i="39"/>
  <c r="Q225" i="39"/>
  <c r="Q59" i="39"/>
  <c r="S59" i="39"/>
  <c r="J224" i="39"/>
  <c r="J227" i="39" s="1"/>
  <c r="J228" i="39" s="1"/>
  <c r="I73" i="39"/>
  <c r="I75" i="39" s="1"/>
  <c r="J73" i="39"/>
  <c r="K73" i="39"/>
  <c r="I233" i="39"/>
  <c r="I235" i="39"/>
  <c r="I244" i="39" s="1"/>
  <c r="I239" i="39"/>
  <c r="I234" i="39"/>
  <c r="I243" i="39" s="1"/>
  <c r="I237" i="39"/>
  <c r="I246" i="39" s="1"/>
  <c r="I238" i="39"/>
  <c r="I247" i="39" s="1"/>
  <c r="I236" i="39"/>
  <c r="I245" i="39" s="1"/>
  <c r="J225" i="39"/>
  <c r="J226" i="39"/>
  <c r="V58" i="39"/>
  <c r="J221" i="39"/>
  <c r="L73" i="39"/>
  <c r="G76" i="39"/>
  <c r="G77" i="39" s="1"/>
  <c r="F80" i="39"/>
  <c r="M31" i="39"/>
  <c r="M34" i="39" s="1"/>
  <c r="M35" i="39" s="1"/>
  <c r="M54" i="39" s="1"/>
  <c r="L33" i="39"/>
  <c r="L53" i="39" s="1"/>
  <c r="F222" i="39"/>
  <c r="F226" i="39"/>
  <c r="F221" i="39"/>
  <c r="F223" i="39"/>
  <c r="F224" i="39"/>
  <c r="F225" i="39"/>
  <c r="U45" i="39"/>
  <c r="U57" i="39" s="1"/>
  <c r="U59" i="39" s="1"/>
  <c r="U72" i="39"/>
  <c r="U218" i="39"/>
  <c r="I225" i="39"/>
  <c r="I226" i="39"/>
  <c r="I221" i="39"/>
  <c r="I223" i="39"/>
  <c r="I224" i="39"/>
  <c r="I222" i="39"/>
  <c r="J249" i="39"/>
  <c r="R242" i="39" s="1"/>
  <c r="J252" i="39" s="1"/>
  <c r="Q28" i="39"/>
  <c r="P50" i="39"/>
  <c r="P73" i="39"/>
  <c r="M73" i="39"/>
  <c r="Q73" i="39"/>
  <c r="N73" i="39"/>
  <c r="O73" i="39"/>
  <c r="O32" i="39"/>
  <c r="E227" i="39"/>
  <c r="E228" i="39" s="1"/>
  <c r="L242" i="39"/>
  <c r="L249" i="39" s="1"/>
  <c r="L240" i="39"/>
  <c r="P224" i="39"/>
  <c r="P225" i="39"/>
  <c r="P226" i="39"/>
  <c r="P221" i="39"/>
  <c r="P223" i="39"/>
  <c r="P222" i="39"/>
  <c r="P240" i="39"/>
  <c r="T45" i="39"/>
  <c r="T57" i="39" s="1"/>
  <c r="T59" i="39" s="1"/>
  <c r="T72" i="39"/>
  <c r="T218" i="39"/>
  <c r="E242" i="39"/>
  <c r="E249" i="39" s="1"/>
  <c r="E240" i="39"/>
  <c r="S61" i="39"/>
  <c r="T65" i="39"/>
  <c r="N242" i="39"/>
  <c r="N249" i="39" s="1"/>
  <c r="N240" i="39"/>
  <c r="O238" i="39"/>
  <c r="O247" i="39" s="1"/>
  <c r="O237" i="39"/>
  <c r="O246" i="39" s="1"/>
  <c r="O236" i="39"/>
  <c r="O245" i="39" s="1"/>
  <c r="O235" i="39"/>
  <c r="O244" i="39" s="1"/>
  <c r="O234" i="39"/>
  <c r="O243" i="39" s="1"/>
  <c r="O239" i="39"/>
  <c r="O233" i="39"/>
  <c r="M239" i="39"/>
  <c r="M237" i="39"/>
  <c r="M246" i="39" s="1"/>
  <c r="M235" i="39"/>
  <c r="M244" i="39" s="1"/>
  <c r="M233" i="39"/>
  <c r="M238" i="39"/>
  <c r="M247" i="39" s="1"/>
  <c r="M236" i="39"/>
  <c r="M245" i="39" s="1"/>
  <c r="M234" i="39"/>
  <c r="M243" i="39" s="1"/>
  <c r="N222" i="39"/>
  <c r="N224" i="39"/>
  <c r="N225" i="39"/>
  <c r="N226" i="39"/>
  <c r="N221" i="39"/>
  <c r="N223" i="39"/>
  <c r="V129" i="39"/>
  <c r="V44" i="39"/>
  <c r="F242" i="39"/>
  <c r="F249" i="39" s="1"/>
  <c r="F240" i="39"/>
  <c r="I62" i="39"/>
  <c r="J66" i="39"/>
  <c r="U213" i="39"/>
  <c r="T215" i="39"/>
  <c r="T216" i="39" s="1"/>
  <c r="S219" i="39"/>
  <c r="G227" i="39"/>
  <c r="G228" i="39" s="1"/>
  <c r="N26" i="39"/>
  <c r="M48" i="39"/>
  <c r="M221" i="39"/>
  <c r="M224" i="39"/>
  <c r="M225" i="39"/>
  <c r="M226" i="39"/>
  <c r="M222" i="39"/>
  <c r="M223" i="39"/>
  <c r="H74" i="39"/>
  <c r="H76" i="39" s="1"/>
  <c r="H77" i="39" s="1"/>
  <c r="O223" i="39"/>
  <c r="O224" i="39"/>
  <c r="O222" i="39"/>
  <c r="O225" i="39"/>
  <c r="O226" i="39"/>
  <c r="O221" i="39"/>
  <c r="X20" i="39"/>
  <c r="W21" i="39"/>
  <c r="W43" i="39" s="1"/>
  <c r="W23" i="39"/>
  <c r="K223" i="39"/>
  <c r="K222" i="39"/>
  <c r="K224" i="39"/>
  <c r="K221" i="39"/>
  <c r="K226" i="39"/>
  <c r="K225" i="39"/>
  <c r="R219" i="39"/>
  <c r="R45" i="39"/>
  <c r="R57" i="39" s="1"/>
  <c r="R59" i="39" s="1"/>
  <c r="R72" i="39"/>
  <c r="R218" i="39"/>
  <c r="Q227" i="39"/>
  <c r="Q228" i="39" s="1"/>
  <c r="H227" i="39" l="1"/>
  <c r="H228" i="39" s="1"/>
  <c r="G79" i="39"/>
  <c r="G80" i="39" s="1"/>
  <c r="G81" i="39" s="1"/>
  <c r="G95" i="39"/>
  <c r="H79" i="39"/>
  <c r="H95" i="39"/>
  <c r="T73" i="39"/>
  <c r="J75" i="39"/>
  <c r="K75" i="39" s="1"/>
  <c r="L75" i="39" s="1"/>
  <c r="L1" i="39" s="1"/>
  <c r="I242" i="39"/>
  <c r="I249" i="39" s="1"/>
  <c r="I240" i="39"/>
  <c r="W58" i="39"/>
  <c r="F82" i="39"/>
  <c r="F85" i="39" s="1"/>
  <c r="F81" i="39"/>
  <c r="M227" i="39"/>
  <c r="M228" i="39" s="1"/>
  <c r="O240" i="39"/>
  <c r="O242" i="39"/>
  <c r="O249" i="39" s="1"/>
  <c r="P227" i="39"/>
  <c r="P228" i="39" s="1"/>
  <c r="T61" i="39"/>
  <c r="U65" i="39"/>
  <c r="P32" i="39"/>
  <c r="J260" i="39"/>
  <c r="K227" i="39"/>
  <c r="K228" i="39" s="1"/>
  <c r="I74" i="39"/>
  <c r="O26" i="39"/>
  <c r="N48" i="39"/>
  <c r="R243" i="39"/>
  <c r="J253" i="39" s="1"/>
  <c r="J261" i="39" s="1"/>
  <c r="R245" i="39"/>
  <c r="J255" i="39" s="1"/>
  <c r="J263" i="39" s="1"/>
  <c r="R246" i="39"/>
  <c r="J256" i="39" s="1"/>
  <c r="J264" i="39" s="1"/>
  <c r="R247" i="39"/>
  <c r="J257" i="39" s="1"/>
  <c r="J265" i="39" s="1"/>
  <c r="R244" i="39"/>
  <c r="J254" i="39" s="1"/>
  <c r="J262" i="39" s="1"/>
  <c r="I227" i="39"/>
  <c r="I228" i="39" s="1"/>
  <c r="K66" i="39"/>
  <c r="J62" i="39"/>
  <c r="R73" i="39"/>
  <c r="O227" i="39"/>
  <c r="O228" i="39" s="1"/>
  <c r="T219" i="39"/>
  <c r="Y20" i="39"/>
  <c r="X21" i="39"/>
  <c r="X43" i="39" s="1"/>
  <c r="X23" i="39"/>
  <c r="V213" i="39"/>
  <c r="U215" i="39"/>
  <c r="R28" i="39"/>
  <c r="Q50" i="39"/>
  <c r="N31" i="39"/>
  <c r="M33" i="39"/>
  <c r="M53" i="39" s="1"/>
  <c r="J250" i="39"/>
  <c r="N227" i="39"/>
  <c r="N228" i="39" s="1"/>
  <c r="M242" i="39"/>
  <c r="M249" i="39" s="1"/>
  <c r="O250" i="39" s="1"/>
  <c r="Q250" i="39" s="1"/>
  <c r="M240" i="39"/>
  <c r="U73" i="39"/>
  <c r="F229" i="39"/>
  <c r="F227" i="39"/>
  <c r="F228" i="39" s="1"/>
  <c r="F230" i="39"/>
  <c r="S225" i="39"/>
  <c r="S222" i="39"/>
  <c r="S224" i="39"/>
  <c r="S221" i="39"/>
  <c r="S223" i="39"/>
  <c r="S226" i="39"/>
  <c r="S73" i="39"/>
  <c r="V45" i="39"/>
  <c r="V57" i="39" s="1"/>
  <c r="V59" i="39" s="1"/>
  <c r="V72" i="39"/>
  <c r="V218" i="39"/>
  <c r="R226" i="39"/>
  <c r="R224" i="39"/>
  <c r="R221" i="39"/>
  <c r="R223" i="39"/>
  <c r="R222" i="39"/>
  <c r="R225" i="39"/>
  <c r="W129" i="39"/>
  <c r="W44" i="39"/>
  <c r="V73" i="39"/>
  <c r="M75" i="39" l="1"/>
  <c r="M1" i="39" s="1"/>
  <c r="X58" i="39"/>
  <c r="F88" i="39"/>
  <c r="F133" i="39" s="1"/>
  <c r="F140" i="39" s="1"/>
  <c r="F147" i="39" s="1"/>
  <c r="H80" i="39"/>
  <c r="H81" i="39" s="1"/>
  <c r="F90" i="39"/>
  <c r="F135" i="39" s="1"/>
  <c r="F142" i="39" s="1"/>
  <c r="F149" i="39" s="1"/>
  <c r="F86" i="39"/>
  <c r="F131" i="39" s="1"/>
  <c r="F138" i="39" s="1"/>
  <c r="F145" i="39" s="1"/>
  <c r="F89" i="39"/>
  <c r="F134" i="39" s="1"/>
  <c r="F141" i="39" s="1"/>
  <c r="F148" i="39" s="1"/>
  <c r="G82" i="39"/>
  <c r="G87" i="39" s="1"/>
  <c r="F87" i="39"/>
  <c r="G229" i="39"/>
  <c r="G230" i="39"/>
  <c r="S227" i="39"/>
  <c r="S228" i="39" s="1"/>
  <c r="X129" i="39"/>
  <c r="X44" i="39"/>
  <c r="Z20" i="39"/>
  <c r="Y21" i="39"/>
  <c r="Y43" i="39" s="1"/>
  <c r="Y23" i="39"/>
  <c r="L66" i="39"/>
  <c r="K62" i="39"/>
  <c r="J258" i="39"/>
  <c r="R227" i="39"/>
  <c r="R228" i="39" s="1"/>
  <c r="O31" i="39"/>
  <c r="O34" i="39" s="1"/>
  <c r="O35" i="39" s="1"/>
  <c r="O54" i="39" s="1"/>
  <c r="N33" i="39"/>
  <c r="N53" i="39" s="1"/>
  <c r="P26" i="39"/>
  <c r="O48" i="39"/>
  <c r="J266" i="39"/>
  <c r="J267" i="39" s="1"/>
  <c r="W213" i="39"/>
  <c r="V215" i="39"/>
  <c r="W45" i="39"/>
  <c r="W57" i="39" s="1"/>
  <c r="W59" i="39" s="1"/>
  <c r="W72" i="39"/>
  <c r="W218" i="39"/>
  <c r="T226" i="39"/>
  <c r="T223" i="39"/>
  <c r="T222" i="39"/>
  <c r="T225" i="39"/>
  <c r="T221" i="39"/>
  <c r="T224" i="39"/>
  <c r="N34" i="39"/>
  <c r="N35" i="39" s="1"/>
  <c r="N54" i="39" s="1"/>
  <c r="Q32" i="39"/>
  <c r="F200" i="39"/>
  <c r="F202" i="39"/>
  <c r="F121" i="39"/>
  <c r="F122" i="39" s="1"/>
  <c r="F123" i="39" s="1"/>
  <c r="F102" i="39"/>
  <c r="F111" i="39" s="1"/>
  <c r="S28" i="39"/>
  <c r="R50" i="39"/>
  <c r="U216" i="39"/>
  <c r="U219" i="39"/>
  <c r="I76" i="39"/>
  <c r="I77" i="39" s="1"/>
  <c r="I79" i="39" s="1"/>
  <c r="I80" i="39" s="1"/>
  <c r="J74" i="39"/>
  <c r="V65" i="39"/>
  <c r="U61" i="39"/>
  <c r="N75" i="39" l="1"/>
  <c r="F107" i="39"/>
  <c r="F116" i="39" s="1"/>
  <c r="F105" i="39"/>
  <c r="F114" i="39" s="1"/>
  <c r="F106" i="39"/>
  <c r="F115" i="39" s="1"/>
  <c r="F91" i="39"/>
  <c r="F92" i="39" s="1"/>
  <c r="F93" i="39" s="1"/>
  <c r="F103" i="39"/>
  <c r="F112" i="39" s="1"/>
  <c r="G85" i="39"/>
  <c r="G200" i="39" s="1"/>
  <c r="G88" i="39"/>
  <c r="G105" i="39" s="1"/>
  <c r="G114" i="39" s="1"/>
  <c r="G153" i="39" s="1"/>
  <c r="G86" i="39"/>
  <c r="G131" i="39" s="1"/>
  <c r="G138" i="39" s="1"/>
  <c r="G145" i="39" s="1"/>
  <c r="F104" i="39"/>
  <c r="F113" i="39" s="1"/>
  <c r="F132" i="39"/>
  <c r="F139" i="39" s="1"/>
  <c r="F146" i="39" s="1"/>
  <c r="H82" i="39"/>
  <c r="H89" i="39" s="1"/>
  <c r="G90" i="39"/>
  <c r="G135" i="39" s="1"/>
  <c r="G142" i="39" s="1"/>
  <c r="G149" i="39" s="1"/>
  <c r="G89" i="39"/>
  <c r="G134" i="39" s="1"/>
  <c r="G141" i="39" s="1"/>
  <c r="G148" i="39" s="1"/>
  <c r="U221" i="39"/>
  <c r="U222" i="39"/>
  <c r="U226" i="39"/>
  <c r="U225" i="39"/>
  <c r="U223" i="39"/>
  <c r="U224" i="39"/>
  <c r="J76" i="39"/>
  <c r="J77" i="39" s="1"/>
  <c r="J79" i="39" s="1"/>
  <c r="J80" i="39" s="1"/>
  <c r="K74" i="39"/>
  <c r="R32" i="39"/>
  <c r="X213" i="39"/>
  <c r="W215" i="39"/>
  <c r="I82" i="39"/>
  <c r="I81" i="39"/>
  <c r="M66" i="39"/>
  <c r="L62" i="39"/>
  <c r="Y129" i="39"/>
  <c r="Y44" i="39"/>
  <c r="G132" i="39"/>
  <c r="G139" i="39" s="1"/>
  <c r="G146" i="39" s="1"/>
  <c r="G104" i="39"/>
  <c r="G113" i="39" s="1"/>
  <c r="T28" i="39"/>
  <c r="S50" i="39"/>
  <c r="P31" i="39"/>
  <c r="O33" i="39"/>
  <c r="O53" i="39" s="1"/>
  <c r="T227" i="39"/>
  <c r="T228" i="39" s="1"/>
  <c r="AA20" i="39"/>
  <c r="Z21" i="39"/>
  <c r="Z43" i="39" s="1"/>
  <c r="Z23" i="39"/>
  <c r="Y62" i="39"/>
  <c r="Y58" i="39"/>
  <c r="X218" i="39"/>
  <c r="X45" i="39"/>
  <c r="X57" i="39" s="1"/>
  <c r="X59" i="39" s="1"/>
  <c r="X72" i="39"/>
  <c r="X73" i="39" s="1"/>
  <c r="W73" i="39"/>
  <c r="W65" i="39"/>
  <c r="V61" i="39"/>
  <c r="V216" i="39"/>
  <c r="V219" i="39"/>
  <c r="P34" i="39"/>
  <c r="P35" i="39" s="1"/>
  <c r="P54" i="39" s="1"/>
  <c r="Q26" i="39"/>
  <c r="P48" i="39"/>
  <c r="H229" i="39"/>
  <c r="H230" i="39"/>
  <c r="G106" i="39" l="1"/>
  <c r="G115" i="39" s="1"/>
  <c r="G154" i="39" s="1"/>
  <c r="G133" i="39"/>
  <c r="G140" i="39" s="1"/>
  <c r="G147" i="39" s="1"/>
  <c r="N1" i="39"/>
  <c r="O75" i="39"/>
  <c r="G91" i="39"/>
  <c r="G108" i="39" s="1"/>
  <c r="G117" i="39" s="1"/>
  <c r="G107" i="39"/>
  <c r="G116" i="39" s="1"/>
  <c r="G155" i="39" s="1"/>
  <c r="F108" i="39"/>
  <c r="F117" i="39" s="1"/>
  <c r="G202" i="39"/>
  <c r="G102" i="39"/>
  <c r="G111" i="39" s="1"/>
  <c r="G150" i="39" s="1"/>
  <c r="G121" i="39"/>
  <c r="G122" i="39" s="1"/>
  <c r="G123" i="39" s="1"/>
  <c r="G152" i="39"/>
  <c r="H86" i="39"/>
  <c r="H103" i="39" s="1"/>
  <c r="H112" i="39" s="1"/>
  <c r="H90" i="39"/>
  <c r="H135" i="39" s="1"/>
  <c r="H142" i="39" s="1"/>
  <c r="H149" i="39" s="1"/>
  <c r="G103" i="39"/>
  <c r="G112" i="39" s="1"/>
  <c r="G151" i="39" s="1"/>
  <c r="H88" i="39"/>
  <c r="H133" i="39" s="1"/>
  <c r="H140" i="39" s="1"/>
  <c r="H147" i="39" s="1"/>
  <c r="H85" i="39"/>
  <c r="H200" i="39" s="1"/>
  <c r="E69" i="39"/>
  <c r="H87" i="39"/>
  <c r="H104" i="39" s="1"/>
  <c r="H113" i="39" s="1"/>
  <c r="H152" i="39" s="1"/>
  <c r="J81" i="39"/>
  <c r="J82" i="39"/>
  <c r="Z44" i="39"/>
  <c r="M62" i="39"/>
  <c r="N66" i="39"/>
  <c r="I88" i="39"/>
  <c r="I90" i="39"/>
  <c r="I85" i="39"/>
  <c r="I87" i="39"/>
  <c r="I89" i="39"/>
  <c r="I86" i="39"/>
  <c r="Y45" i="39"/>
  <c r="Y57" i="39" s="1"/>
  <c r="Y59" i="39" s="1"/>
  <c r="Y72" i="39"/>
  <c r="G70" i="39" s="1"/>
  <c r="Y218" i="39"/>
  <c r="U28" i="39"/>
  <c r="T50" i="39"/>
  <c r="I229" i="39"/>
  <c r="I230" i="39"/>
  <c r="H134" i="39"/>
  <c r="H141" i="39" s="1"/>
  <c r="H148" i="39" s="1"/>
  <c r="H106" i="39"/>
  <c r="H115" i="39" s="1"/>
  <c r="H154" i="39" s="1"/>
  <c r="V222" i="39"/>
  <c r="V224" i="39"/>
  <c r="V225" i="39"/>
  <c r="V223" i="39"/>
  <c r="V221" i="39"/>
  <c r="V226" i="39"/>
  <c r="Z62" i="39"/>
  <c r="Z61" i="39"/>
  <c r="Z58" i="39"/>
  <c r="Z59" i="39" s="1"/>
  <c r="AB20" i="39"/>
  <c r="AA21" i="39"/>
  <c r="AA43" i="39" s="1"/>
  <c r="AA23" i="39"/>
  <c r="W61" i="39"/>
  <c r="X65" i="39"/>
  <c r="W216" i="39"/>
  <c r="C216" i="39" s="1"/>
  <c r="W219" i="39"/>
  <c r="R26" i="39"/>
  <c r="Q48" i="39"/>
  <c r="Q31" i="39"/>
  <c r="Q34" i="39" s="1"/>
  <c r="Q35" i="39" s="1"/>
  <c r="Q54" i="39" s="1"/>
  <c r="P33" i="39"/>
  <c r="P53" i="39" s="1"/>
  <c r="Y213" i="39"/>
  <c r="X215" i="39"/>
  <c r="U227" i="39"/>
  <c r="U228" i="39" s="1"/>
  <c r="S32" i="39"/>
  <c r="K76" i="39"/>
  <c r="K77" i="39" s="1"/>
  <c r="L74" i="39"/>
  <c r="O1" i="39" l="1"/>
  <c r="P75" i="39"/>
  <c r="G156" i="39"/>
  <c r="G92" i="39"/>
  <c r="G93" i="39" s="1"/>
  <c r="H131" i="39"/>
  <c r="H138" i="39" s="1"/>
  <c r="H145" i="39" s="1"/>
  <c r="H121" i="39"/>
  <c r="H122" i="39" s="1"/>
  <c r="H123" i="39" s="1"/>
  <c r="H105" i="39"/>
  <c r="H114" i="39" s="1"/>
  <c r="H153" i="39" s="1"/>
  <c r="H202" i="39"/>
  <c r="H107" i="39"/>
  <c r="H116" i="39" s="1"/>
  <c r="H155" i="39" s="1"/>
  <c r="H102" i="39"/>
  <c r="H111" i="39" s="1"/>
  <c r="H150" i="39" s="1"/>
  <c r="H91" i="39"/>
  <c r="H92" i="39" s="1"/>
  <c r="H151" i="39"/>
  <c r="H132" i="39"/>
  <c r="H139" i="39" s="1"/>
  <c r="H146" i="39" s="1"/>
  <c r="Y65" i="39"/>
  <c r="X61" i="39"/>
  <c r="N62" i="39"/>
  <c r="O66" i="39"/>
  <c r="T32" i="39"/>
  <c r="X216" i="39"/>
  <c r="X219" i="39"/>
  <c r="S26" i="39"/>
  <c r="R48" i="39"/>
  <c r="I103" i="39"/>
  <c r="I112" i="39" s="1"/>
  <c r="I151" i="39" s="1"/>
  <c r="I131" i="39"/>
  <c r="I138" i="39" s="1"/>
  <c r="I145" i="39" s="1"/>
  <c r="I134" i="39"/>
  <c r="I141" i="39" s="1"/>
  <c r="I148" i="39" s="1"/>
  <c r="I106" i="39"/>
  <c r="I115" i="39" s="1"/>
  <c r="I154" i="39" s="1"/>
  <c r="AA62" i="39"/>
  <c r="AA58" i="39"/>
  <c r="AA59" i="39" s="1"/>
  <c r="AA61" i="39"/>
  <c r="I132" i="39"/>
  <c r="I139" i="39" s="1"/>
  <c r="I146" i="39" s="1"/>
  <c r="I104" i="39"/>
  <c r="I113" i="39" s="1"/>
  <c r="I152" i="39" s="1"/>
  <c r="Z213" i="39"/>
  <c r="Y215" i="39"/>
  <c r="R31" i="39"/>
  <c r="R34" i="39" s="1"/>
  <c r="R35" i="39" s="1"/>
  <c r="R54" i="39" s="1"/>
  <c r="Q33" i="39"/>
  <c r="Q53" i="39" s="1"/>
  <c r="AA44" i="39"/>
  <c r="J229" i="39"/>
  <c r="J230" i="39"/>
  <c r="I91" i="39"/>
  <c r="I202" i="39"/>
  <c r="I121" i="39"/>
  <c r="I122" i="39" s="1"/>
  <c r="I123" i="39" s="1"/>
  <c r="I102" i="39"/>
  <c r="I111" i="39" s="1"/>
  <c r="Z45" i="39"/>
  <c r="Z54" i="39"/>
  <c r="Z218" i="39"/>
  <c r="Z78" i="39"/>
  <c r="W223" i="39"/>
  <c r="W224" i="39"/>
  <c r="W225" i="39"/>
  <c r="W221" i="39"/>
  <c r="W226" i="39"/>
  <c r="W222" i="39"/>
  <c r="AC20" i="39"/>
  <c r="AB21" i="39"/>
  <c r="AB43" i="39" s="1"/>
  <c r="AB23" i="39"/>
  <c r="I135" i="39"/>
  <c r="I142" i="39" s="1"/>
  <c r="I149" i="39" s="1"/>
  <c r="I107" i="39"/>
  <c r="I116" i="39" s="1"/>
  <c r="V227" i="39"/>
  <c r="V228" i="39" s="1"/>
  <c r="V28" i="39"/>
  <c r="U50" i="39"/>
  <c r="I133" i="39"/>
  <c r="I140" i="39" s="1"/>
  <c r="I147" i="39" s="1"/>
  <c r="I105" i="39"/>
  <c r="I114" i="39" s="1"/>
  <c r="J88" i="39"/>
  <c r="J86" i="39"/>
  <c r="J85" i="39"/>
  <c r="J87" i="39"/>
  <c r="J90" i="39"/>
  <c r="J89" i="39"/>
  <c r="K69" i="39"/>
  <c r="K79" i="39"/>
  <c r="K80" i="39" s="1"/>
  <c r="L76" i="39"/>
  <c r="L77" i="39" s="1"/>
  <c r="L79" i="39" s="1"/>
  <c r="L80" i="39" s="1"/>
  <c r="M74" i="39"/>
  <c r="Y73" i="39"/>
  <c r="I200" i="39"/>
  <c r="I153" i="39" l="1"/>
  <c r="P1" i="39"/>
  <c r="Q75" i="39"/>
  <c r="H93" i="39"/>
  <c r="I150" i="39"/>
  <c r="I155" i="39"/>
  <c r="H108" i="39"/>
  <c r="H117" i="39" s="1"/>
  <c r="H156" i="39" s="1"/>
  <c r="J200" i="39"/>
  <c r="U32" i="39"/>
  <c r="J135" i="39"/>
  <c r="J142" i="39" s="1"/>
  <c r="J149" i="39" s="1"/>
  <c r="J107" i="39"/>
  <c r="J116" i="39" s="1"/>
  <c r="J155" i="39" s="1"/>
  <c r="AB44" i="39"/>
  <c r="J104" i="39"/>
  <c r="J113" i="39" s="1"/>
  <c r="J152" i="39" s="1"/>
  <c r="J132" i="39"/>
  <c r="J139" i="39" s="1"/>
  <c r="J146" i="39" s="1"/>
  <c r="AD20" i="39"/>
  <c r="AC21" i="39"/>
  <c r="AC43" i="39" s="1"/>
  <c r="AC23" i="39"/>
  <c r="O62" i="39"/>
  <c r="P66" i="39"/>
  <c r="J202" i="39"/>
  <c r="J121" i="39"/>
  <c r="J122" i="39" s="1"/>
  <c r="J123" i="39" s="1"/>
  <c r="J91" i="39"/>
  <c r="J102" i="39"/>
  <c r="J111" i="39" s="1"/>
  <c r="J150" i="39" s="1"/>
  <c r="K229" i="39"/>
  <c r="K230" i="39"/>
  <c r="J134" i="39"/>
  <c r="J141" i="39" s="1"/>
  <c r="J148" i="39" s="1"/>
  <c r="J106" i="39"/>
  <c r="J115" i="39" s="1"/>
  <c r="J154" i="39" s="1"/>
  <c r="Y216" i="39"/>
  <c r="Y219" i="39"/>
  <c r="Y61" i="39"/>
  <c r="Y67" i="39"/>
  <c r="Z67" i="39" s="1"/>
  <c r="AA67" i="39" s="1"/>
  <c r="AB67" i="39" s="1"/>
  <c r="AC67" i="39" s="1"/>
  <c r="AD67" i="39" s="1"/>
  <c r="AE67" i="39" s="1"/>
  <c r="AF67" i="39" s="1"/>
  <c r="AG67" i="39" s="1"/>
  <c r="AH67" i="39" s="1"/>
  <c r="AI67" i="39" s="1"/>
  <c r="W28" i="39"/>
  <c r="V50" i="39"/>
  <c r="I92" i="39"/>
  <c r="I93" i="39" s="1"/>
  <c r="I108" i="39"/>
  <c r="I117" i="39" s="1"/>
  <c r="AA213" i="39"/>
  <c r="Z215" i="39"/>
  <c r="M76" i="39"/>
  <c r="M77" i="39" s="1"/>
  <c r="M79" i="39" s="1"/>
  <c r="M80" i="39" s="1"/>
  <c r="N74" i="39"/>
  <c r="J131" i="39"/>
  <c r="J138" i="39" s="1"/>
  <c r="J145" i="39" s="1"/>
  <c r="J103" i="39"/>
  <c r="J112" i="39" s="1"/>
  <c r="J151" i="39" s="1"/>
  <c r="AA45" i="39"/>
  <c r="AA54" i="39"/>
  <c r="AA78" i="39"/>
  <c r="AA218" i="39"/>
  <c r="T26" i="39"/>
  <c r="S48" i="39"/>
  <c r="L81" i="39"/>
  <c r="L82" i="39"/>
  <c r="J133" i="39"/>
  <c r="J140" i="39" s="1"/>
  <c r="J147" i="39" s="1"/>
  <c r="J105" i="39"/>
  <c r="J114" i="39" s="1"/>
  <c r="J153" i="39" s="1"/>
  <c r="W227" i="39"/>
  <c r="W228" i="39" s="1"/>
  <c r="AB62" i="39"/>
  <c r="AB58" i="39"/>
  <c r="AB59" i="39" s="1"/>
  <c r="AB61" i="39"/>
  <c r="K81" i="39"/>
  <c r="K82" i="39"/>
  <c r="X224" i="39"/>
  <c r="X225" i="39"/>
  <c r="X222" i="39"/>
  <c r="X221" i="39"/>
  <c r="X226" i="39"/>
  <c r="X223" i="39"/>
  <c r="S31" i="39"/>
  <c r="R33" i="39"/>
  <c r="R53" i="39" s="1"/>
  <c r="I156" i="39" l="1"/>
  <c r="Q1" i="39"/>
  <c r="R75" i="39"/>
  <c r="Z216" i="39"/>
  <c r="Z219" i="39"/>
  <c r="AB213" i="39"/>
  <c r="AA215" i="39"/>
  <c r="AB218" i="39"/>
  <c r="AB45" i="39"/>
  <c r="AB54" i="39"/>
  <c r="AB78" i="39"/>
  <c r="J92" i="39"/>
  <c r="J93" i="39" s="1"/>
  <c r="J108" i="39"/>
  <c r="J117" i="39" s="1"/>
  <c r="J156" i="39" s="1"/>
  <c r="Y225" i="39"/>
  <c r="Y226" i="39"/>
  <c r="Y221" i="39"/>
  <c r="Y224" i="39"/>
  <c r="Y223" i="39"/>
  <c r="Y222" i="39"/>
  <c r="X227" i="39"/>
  <c r="X228" i="39" s="1"/>
  <c r="L90" i="39"/>
  <c r="L88" i="39"/>
  <c r="L86" i="39"/>
  <c r="L87" i="39"/>
  <c r="L89" i="39"/>
  <c r="L85" i="39"/>
  <c r="P62" i="39"/>
  <c r="Q66" i="39"/>
  <c r="T31" i="39"/>
  <c r="S33" i="39"/>
  <c r="S53" i="39" s="1"/>
  <c r="AC62" i="39"/>
  <c r="AC61" i="39"/>
  <c r="AC58" i="39"/>
  <c r="AC59" i="39" s="1"/>
  <c r="U26" i="39"/>
  <c r="T48" i="39"/>
  <c r="X28" i="39"/>
  <c r="W50" i="39"/>
  <c r="L229" i="39"/>
  <c r="L230" i="39"/>
  <c r="J268" i="39"/>
  <c r="AC44" i="39"/>
  <c r="V32" i="39"/>
  <c r="M81" i="39"/>
  <c r="M82" i="39"/>
  <c r="K89" i="39"/>
  <c r="K86" i="39"/>
  <c r="K87" i="39"/>
  <c r="K90" i="39"/>
  <c r="K85" i="39"/>
  <c r="K88" i="39"/>
  <c r="S34" i="39"/>
  <c r="S35" i="39" s="1"/>
  <c r="S54" i="39" s="1"/>
  <c r="O74" i="39"/>
  <c r="N76" i="39"/>
  <c r="N77" i="39" s="1"/>
  <c r="N79" i="39" s="1"/>
  <c r="N80" i="39" s="1"/>
  <c r="AE20" i="39"/>
  <c r="AD21" i="39"/>
  <c r="AD43" i="39" s="1"/>
  <c r="AD23" i="39"/>
  <c r="R1" i="39" l="1"/>
  <c r="S75" i="39"/>
  <c r="L132" i="39"/>
  <c r="L139" i="39" s="1"/>
  <c r="L146" i="39" s="1"/>
  <c r="L104" i="39"/>
  <c r="L113" i="39" s="1"/>
  <c r="L133" i="39"/>
  <c r="L140" i="39" s="1"/>
  <c r="L147" i="39" s="1"/>
  <c r="L105" i="39"/>
  <c r="L114" i="39" s="1"/>
  <c r="AC218" i="39"/>
  <c r="AC54" i="39"/>
  <c r="AC45" i="39"/>
  <c r="AC78" i="39"/>
  <c r="V26" i="39"/>
  <c r="U48" i="39"/>
  <c r="U31" i="39"/>
  <c r="T33" i="39"/>
  <c r="T53" i="39" s="1"/>
  <c r="L135" i="39"/>
  <c r="L142" i="39" s="1"/>
  <c r="L149" i="39" s="1"/>
  <c r="L107" i="39"/>
  <c r="L116" i="39" s="1"/>
  <c r="AA216" i="39"/>
  <c r="AA219" i="39"/>
  <c r="P74" i="39"/>
  <c r="O76" i="39"/>
  <c r="O77" i="39" s="1"/>
  <c r="O79" i="39" s="1"/>
  <c r="O80" i="39" s="1"/>
  <c r="M229" i="39"/>
  <c r="M230" i="39"/>
  <c r="W32" i="39"/>
  <c r="Y227" i="39"/>
  <c r="Y228" i="39" s="1"/>
  <c r="K202" i="39"/>
  <c r="K121" i="39"/>
  <c r="K122" i="39" s="1"/>
  <c r="K123" i="39" s="1"/>
  <c r="K91" i="39"/>
  <c r="K102" i="39"/>
  <c r="K111" i="39" s="1"/>
  <c r="K150" i="39" s="1"/>
  <c r="K200" i="39"/>
  <c r="L200" i="39" s="1"/>
  <c r="K132" i="39"/>
  <c r="K139" i="39" s="1"/>
  <c r="K146" i="39" s="1"/>
  <c r="K104" i="39"/>
  <c r="K113" i="39" s="1"/>
  <c r="K152" i="39" s="1"/>
  <c r="T34" i="39"/>
  <c r="T35" i="39" s="1"/>
  <c r="T54" i="39" s="1"/>
  <c r="Q62" i="39"/>
  <c r="R66" i="39"/>
  <c r="AC213" i="39"/>
  <c r="AB215" i="39"/>
  <c r="M88" i="39"/>
  <c r="M86" i="39"/>
  <c r="M87" i="39"/>
  <c r="M89" i="39"/>
  <c r="M85" i="39"/>
  <c r="M90" i="39"/>
  <c r="L106" i="39"/>
  <c r="L115" i="39" s="1"/>
  <c r="L134" i="39"/>
  <c r="L141" i="39" s="1"/>
  <c r="L148" i="39" s="1"/>
  <c r="K133" i="39"/>
  <c r="K140" i="39" s="1"/>
  <c r="K147" i="39" s="1"/>
  <c r="K105" i="39"/>
  <c r="K114" i="39" s="1"/>
  <c r="K153" i="39" s="1"/>
  <c r="L131" i="39"/>
  <c r="L138" i="39" s="1"/>
  <c r="L145" i="39" s="1"/>
  <c r="L103" i="39"/>
  <c r="L112" i="39" s="1"/>
  <c r="AD62" i="39"/>
  <c r="AD61" i="39"/>
  <c r="AD58" i="39"/>
  <c r="AD59" i="39" s="1"/>
  <c r="K135" i="39"/>
  <c r="K142" i="39" s="1"/>
  <c r="K149" i="39" s="1"/>
  <c r="K107" i="39"/>
  <c r="K116" i="39" s="1"/>
  <c r="K155" i="39" s="1"/>
  <c r="AD44" i="39"/>
  <c r="AF20" i="39"/>
  <c r="AE21" i="39"/>
  <c r="AE43" i="39" s="1"/>
  <c r="AE23" i="39"/>
  <c r="K131" i="39"/>
  <c r="K138" i="39" s="1"/>
  <c r="K145" i="39" s="1"/>
  <c r="K103" i="39"/>
  <c r="K112" i="39" s="1"/>
  <c r="K151" i="39" s="1"/>
  <c r="Z226" i="39"/>
  <c r="Z224" i="39"/>
  <c r="Z225" i="39"/>
  <c r="Z223" i="39"/>
  <c r="Z221" i="39"/>
  <c r="Z222" i="39"/>
  <c r="Y28" i="39"/>
  <c r="Y50" i="39" s="1"/>
  <c r="X50" i="39"/>
  <c r="N81" i="39"/>
  <c r="N82" i="39"/>
  <c r="K134" i="39"/>
  <c r="K141" i="39" s="1"/>
  <c r="K148" i="39" s="1"/>
  <c r="K106" i="39"/>
  <c r="K115" i="39" s="1"/>
  <c r="K154" i="39" s="1"/>
  <c r="L102" i="39"/>
  <c r="L111" i="39" s="1"/>
  <c r="L121" i="39"/>
  <c r="L122" i="39" s="1"/>
  <c r="L123" i="39" s="1"/>
  <c r="L91" i="39"/>
  <c r="S1" i="39" l="1"/>
  <c r="T75" i="39"/>
  <c r="L150" i="39"/>
  <c r="L155" i="39"/>
  <c r="M200" i="39"/>
  <c r="L154" i="39"/>
  <c r="AD213" i="39"/>
  <c r="AC215" i="39"/>
  <c r="N229" i="39"/>
  <c r="N230" i="39"/>
  <c r="V31" i="39"/>
  <c r="U33" i="39"/>
  <c r="U53" i="39" s="1"/>
  <c r="N86" i="39"/>
  <c r="N88" i="39"/>
  <c r="N89" i="39"/>
  <c r="N85" i="39"/>
  <c r="N87" i="39"/>
  <c r="N90" i="39"/>
  <c r="M133" i="39"/>
  <c r="M140" i="39" s="1"/>
  <c r="M147" i="39" s="1"/>
  <c r="M105" i="39"/>
  <c r="M114" i="39" s="1"/>
  <c r="M153" i="39" s="1"/>
  <c r="AB216" i="39"/>
  <c r="AB219" i="39"/>
  <c r="L153" i="39"/>
  <c r="AE44" i="39"/>
  <c r="M202" i="39"/>
  <c r="M121" i="39"/>
  <c r="M122" i="39" s="1"/>
  <c r="M123" i="39" s="1"/>
  <c r="M91" i="39"/>
  <c r="M102" i="39"/>
  <c r="M111" i="39" s="1"/>
  <c r="M150" i="39" s="1"/>
  <c r="Q74" i="39"/>
  <c r="P76" i="39"/>
  <c r="P77" i="39" s="1"/>
  <c r="P79" i="39" s="1"/>
  <c r="P80" i="39" s="1"/>
  <c r="W26" i="39"/>
  <c r="V48" i="39"/>
  <c r="M131" i="39"/>
  <c r="M138" i="39" s="1"/>
  <c r="M145" i="39" s="1"/>
  <c r="M103" i="39"/>
  <c r="M112" i="39" s="1"/>
  <c r="M151" i="39" s="1"/>
  <c r="X32" i="39"/>
  <c r="K108" i="39"/>
  <c r="K117" i="39" s="1"/>
  <c r="K156" i="39" s="1"/>
  <c r="K92" i="39"/>
  <c r="K93" i="39" s="1"/>
  <c r="AE61" i="39"/>
  <c r="AE62" i="39"/>
  <c r="AE58" i="39"/>
  <c r="AE59" i="39" s="1"/>
  <c r="M135" i="39"/>
  <c r="M142" i="39" s="1"/>
  <c r="M149" i="39" s="1"/>
  <c r="M107" i="39"/>
  <c r="M116" i="39" s="1"/>
  <c r="M155" i="39" s="1"/>
  <c r="R62" i="39"/>
  <c r="S66" i="39"/>
  <c r="AG20" i="39"/>
  <c r="AF21" i="39"/>
  <c r="AF43" i="39" s="1"/>
  <c r="AF23" i="39"/>
  <c r="L151" i="39"/>
  <c r="M134" i="39"/>
  <c r="M141" i="39" s="1"/>
  <c r="M148" i="39" s="1"/>
  <c r="M106" i="39"/>
  <c r="M115" i="39" s="1"/>
  <c r="M154" i="39" s="1"/>
  <c r="AA221" i="39"/>
  <c r="AA225" i="39"/>
  <c r="AA223" i="39"/>
  <c r="AA226" i="39"/>
  <c r="AA224" i="39"/>
  <c r="AA222" i="39"/>
  <c r="U34" i="39"/>
  <c r="U35" i="39" s="1"/>
  <c r="U54" i="39" s="1"/>
  <c r="L152" i="39"/>
  <c r="L108" i="39"/>
  <c r="L117" i="39" s="1"/>
  <c r="L92" i="39"/>
  <c r="L202" i="39"/>
  <c r="O81" i="39"/>
  <c r="O82" i="39"/>
  <c r="Z227" i="39"/>
  <c r="Z228" i="39" s="1"/>
  <c r="AD54" i="39"/>
  <c r="AD45" i="39"/>
  <c r="AD78" i="39"/>
  <c r="AD218" i="39"/>
  <c r="M132" i="39"/>
  <c r="M139" i="39" s="1"/>
  <c r="M146" i="39" s="1"/>
  <c r="M104" i="39"/>
  <c r="M113" i="39" s="1"/>
  <c r="M152" i="39" s="1"/>
  <c r="T1" i="39" l="1"/>
  <c r="U75" i="39"/>
  <c r="N200" i="39"/>
  <c r="L93" i="39"/>
  <c r="L156" i="39"/>
  <c r="AB224" i="39"/>
  <c r="AB226" i="39"/>
  <c r="AB222" i="39"/>
  <c r="AB221" i="39"/>
  <c r="AB225" i="39"/>
  <c r="AB223" i="39"/>
  <c r="AF62" i="39"/>
  <c r="AF58" i="39"/>
  <c r="AF59" i="39" s="1"/>
  <c r="AF61" i="39"/>
  <c r="AF44" i="39"/>
  <c r="W31" i="39"/>
  <c r="W34" i="39" s="1"/>
  <c r="W35" i="39" s="1"/>
  <c r="W54" i="39" s="1"/>
  <c r="V33" i="39"/>
  <c r="V53" i="39" s="1"/>
  <c r="Q76" i="39"/>
  <c r="Q77" i="39" s="1"/>
  <c r="Q79" i="39" s="1"/>
  <c r="Q80" i="39" s="1"/>
  <c r="R74" i="39"/>
  <c r="AH20" i="39"/>
  <c r="AG21" i="39"/>
  <c r="AG43" i="39" s="1"/>
  <c r="AG23" i="39"/>
  <c r="N135" i="39"/>
  <c r="N142" i="39" s="1"/>
  <c r="N149" i="39" s="1"/>
  <c r="N107" i="39"/>
  <c r="N116" i="39" s="1"/>
  <c r="N155" i="39" s="1"/>
  <c r="N133" i="39"/>
  <c r="N140" i="39" s="1"/>
  <c r="N147" i="39" s="1"/>
  <c r="N105" i="39"/>
  <c r="N114" i="39" s="1"/>
  <c r="N153" i="39" s="1"/>
  <c r="X26" i="39"/>
  <c r="W48" i="39"/>
  <c r="AE54" i="39"/>
  <c r="AE45" i="39"/>
  <c r="AE78" i="39"/>
  <c r="AE218" i="39"/>
  <c r="N104" i="39"/>
  <c r="N113" i="39" s="1"/>
  <c r="N152" i="39" s="1"/>
  <c r="N132" i="39"/>
  <c r="N139" i="39" s="1"/>
  <c r="N146" i="39" s="1"/>
  <c r="O229" i="39"/>
  <c r="O230" i="39"/>
  <c r="O85" i="39"/>
  <c r="O87" i="39"/>
  <c r="O89" i="39"/>
  <c r="O88" i="39"/>
  <c r="O86" i="39"/>
  <c r="O90" i="39"/>
  <c r="N131" i="39"/>
  <c r="N138" i="39" s="1"/>
  <c r="N145" i="39" s="1"/>
  <c r="N103" i="39"/>
  <c r="N112" i="39" s="1"/>
  <c r="N151" i="39" s="1"/>
  <c r="M108" i="39"/>
  <c r="M117" i="39" s="1"/>
  <c r="M156" i="39" s="1"/>
  <c r="M92" i="39"/>
  <c r="M93" i="39" s="1"/>
  <c r="AA227" i="39"/>
  <c r="AA228" i="39" s="1"/>
  <c r="V34" i="39"/>
  <c r="V35" i="39" s="1"/>
  <c r="V54" i="39" s="1"/>
  <c r="N202" i="39"/>
  <c r="N121" i="39"/>
  <c r="N122" i="39" s="1"/>
  <c r="N123" i="39" s="1"/>
  <c r="N102" i="39"/>
  <c r="N111" i="39" s="1"/>
  <c r="N150" i="39" s="1"/>
  <c r="N91" i="39"/>
  <c r="AC216" i="39"/>
  <c r="AC219" i="39"/>
  <c r="Y32" i="39"/>
  <c r="S62" i="39"/>
  <c r="T66" i="39"/>
  <c r="P82" i="39"/>
  <c r="P81" i="39"/>
  <c r="N134" i="39"/>
  <c r="N141" i="39" s="1"/>
  <c r="N148" i="39" s="1"/>
  <c r="N106" i="39"/>
  <c r="N115" i="39" s="1"/>
  <c r="N154" i="39" s="1"/>
  <c r="AE213" i="39"/>
  <c r="AD215" i="39"/>
  <c r="U1" i="39" l="1"/>
  <c r="V75" i="39"/>
  <c r="O200" i="39"/>
  <c r="Q82" i="39"/>
  <c r="Q81" i="39"/>
  <c r="P87" i="39"/>
  <c r="P85" i="39"/>
  <c r="P86" i="39"/>
  <c r="P89" i="39"/>
  <c r="P88" i="39"/>
  <c r="P90" i="39"/>
  <c r="O132" i="39"/>
  <c r="O139" i="39" s="1"/>
  <c r="O146" i="39" s="1"/>
  <c r="O104" i="39"/>
  <c r="O113" i="39" s="1"/>
  <c r="O152" i="39" s="1"/>
  <c r="O202" i="39"/>
  <c r="O121" i="39"/>
  <c r="O122" i="39" s="1"/>
  <c r="O123" i="39" s="1"/>
  <c r="O102" i="39"/>
  <c r="O111" i="39" s="1"/>
  <c r="O150" i="39" s="1"/>
  <c r="O91" i="39"/>
  <c r="X31" i="39"/>
  <c r="W33" i="39"/>
  <c r="W53" i="39" s="1"/>
  <c r="AG61" i="39"/>
  <c r="AG62" i="39"/>
  <c r="AG58" i="39"/>
  <c r="AG59" i="39" s="1"/>
  <c r="AF45" i="39"/>
  <c r="AF54" i="39"/>
  <c r="AF78" i="39"/>
  <c r="AF218" i="39"/>
  <c r="O133" i="39"/>
  <c r="O140" i="39" s="1"/>
  <c r="O147" i="39" s="1"/>
  <c r="O105" i="39"/>
  <c r="O114" i="39" s="1"/>
  <c r="O153" i="39" s="1"/>
  <c r="R76" i="39"/>
  <c r="R77" i="39" s="1"/>
  <c r="R79" i="39" s="1"/>
  <c r="R80" i="39" s="1"/>
  <c r="S74" i="39"/>
  <c r="O134" i="39"/>
  <c r="O141" i="39" s="1"/>
  <c r="O148" i="39" s="1"/>
  <c r="O106" i="39"/>
  <c r="O115" i="39" s="1"/>
  <c r="O154" i="39" s="1"/>
  <c r="T62" i="39"/>
  <c r="U66" i="39"/>
  <c r="AD216" i="39"/>
  <c r="AD219" i="39"/>
  <c r="P229" i="39"/>
  <c r="P230" i="39"/>
  <c r="AG44" i="39"/>
  <c r="AC221" i="39"/>
  <c r="AC225" i="39"/>
  <c r="AC223" i="39"/>
  <c r="AC222" i="39"/>
  <c r="AC224" i="39"/>
  <c r="AC226" i="39"/>
  <c r="O131" i="39"/>
  <c r="O138" i="39" s="1"/>
  <c r="O145" i="39" s="1"/>
  <c r="O103" i="39"/>
  <c r="O112" i="39" s="1"/>
  <c r="O151" i="39" s="1"/>
  <c r="N108" i="39"/>
  <c r="N117" i="39" s="1"/>
  <c r="N156" i="39" s="1"/>
  <c r="N92" i="39"/>
  <c r="N93" i="39" s="1"/>
  <c r="AB227" i="39"/>
  <c r="AB228" i="39" s="1"/>
  <c r="AF213" i="39"/>
  <c r="AE215" i="39"/>
  <c r="O107" i="39"/>
  <c r="O116" i="39" s="1"/>
  <c r="O155" i="39" s="1"/>
  <c r="O135" i="39"/>
  <c r="O142" i="39" s="1"/>
  <c r="O149" i="39" s="1"/>
  <c r="X48" i="39"/>
  <c r="Y26" i="39"/>
  <c r="AI20" i="39"/>
  <c r="AH21" i="39"/>
  <c r="AH43" i="39" s="1"/>
  <c r="AH23" i="39"/>
  <c r="V1" i="39" l="1"/>
  <c r="W75" i="39"/>
  <c r="P200" i="39"/>
  <c r="AH90" i="39"/>
  <c r="AH91" i="39" s="1"/>
  <c r="AH92" i="39" s="1"/>
  <c r="AH44" i="39"/>
  <c r="Q229" i="39"/>
  <c r="Q230" i="39"/>
  <c r="Y31" i="39"/>
  <c r="Y33" i="39" s="1"/>
  <c r="Y53" i="39" s="1"/>
  <c r="X33" i="39"/>
  <c r="X53" i="39" s="1"/>
  <c r="AD222" i="39"/>
  <c r="AD226" i="39"/>
  <c r="AD225" i="39"/>
  <c r="AD223" i="39"/>
  <c r="AD224" i="39"/>
  <c r="AD221" i="39"/>
  <c r="P131" i="39"/>
  <c r="P138" i="39" s="1"/>
  <c r="P145" i="39" s="1"/>
  <c r="P103" i="39"/>
  <c r="P112" i="39" s="1"/>
  <c r="AE216" i="39"/>
  <c r="AE219" i="39"/>
  <c r="P135" i="39"/>
  <c r="P142" i="39" s="1"/>
  <c r="P149" i="39" s="1"/>
  <c r="P107" i="39"/>
  <c r="P116" i="39" s="1"/>
  <c r="S76" i="39"/>
  <c r="S77" i="39" s="1"/>
  <c r="S79" i="39" s="1"/>
  <c r="S80" i="39" s="1"/>
  <c r="T74" i="39"/>
  <c r="Y34" i="39"/>
  <c r="Y35" i="39" s="1"/>
  <c r="Y54" i="39" s="1"/>
  <c r="Y48" i="39"/>
  <c r="X34" i="39"/>
  <c r="X35" i="39" s="1"/>
  <c r="X54" i="39" s="1"/>
  <c r="P202" i="39"/>
  <c r="P121" i="39"/>
  <c r="P122" i="39" s="1"/>
  <c r="P123" i="39" s="1"/>
  <c r="P91" i="39"/>
  <c r="P102" i="39"/>
  <c r="P111" i="39" s="1"/>
  <c r="R81" i="39"/>
  <c r="R82" i="39"/>
  <c r="P134" i="39"/>
  <c r="P141" i="39" s="1"/>
  <c r="P148" i="39" s="1"/>
  <c r="P106" i="39"/>
  <c r="P115" i="39" s="1"/>
  <c r="AC227" i="39"/>
  <c r="AC228" i="39" s="1"/>
  <c r="U62" i="39"/>
  <c r="V66" i="39"/>
  <c r="P132" i="39"/>
  <c r="P139" i="39" s="1"/>
  <c r="P146" i="39" s="1"/>
  <c r="P104" i="39"/>
  <c r="P113" i="39" s="1"/>
  <c r="AI21" i="39"/>
  <c r="AI43" i="39" s="1"/>
  <c r="AI23" i="39"/>
  <c r="O92" i="39"/>
  <c r="O93" i="39" s="1"/>
  <c r="O108" i="39"/>
  <c r="O117" i="39" s="1"/>
  <c r="O156" i="39" s="1"/>
  <c r="AG45" i="39"/>
  <c r="AG54" i="39"/>
  <c r="AG78" i="39"/>
  <c r="AG218" i="39"/>
  <c r="AG213" i="39"/>
  <c r="AF215" i="39"/>
  <c r="P133" i="39"/>
  <c r="P140" i="39" s="1"/>
  <c r="P147" i="39" s="1"/>
  <c r="P105" i="39"/>
  <c r="P114" i="39" s="1"/>
  <c r="AH62" i="39"/>
  <c r="AH58" i="39"/>
  <c r="AH59" i="39" s="1"/>
  <c r="AH61" i="39"/>
  <c r="Q86" i="39"/>
  <c r="Q89" i="39"/>
  <c r="Q88" i="39"/>
  <c r="Q87" i="39"/>
  <c r="Q85" i="39"/>
  <c r="Q90" i="39"/>
  <c r="X75" i="39" l="1"/>
  <c r="W1" i="39"/>
  <c r="AI90" i="39"/>
  <c r="AI91" i="39" s="1"/>
  <c r="AI92" i="39" s="1"/>
  <c r="AI93" i="39" s="1"/>
  <c r="AI44" i="39"/>
  <c r="AE223" i="39"/>
  <c r="AE224" i="39"/>
  <c r="AE222" i="39"/>
  <c r="AE221" i="39"/>
  <c r="AE226" i="39"/>
  <c r="AE225" i="39"/>
  <c r="Q135" i="39"/>
  <c r="Q142" i="39" s="1"/>
  <c r="Q149" i="39" s="1"/>
  <c r="Q107" i="39"/>
  <c r="Q116" i="39" s="1"/>
  <c r="Q202" i="39"/>
  <c r="Q91" i="39"/>
  <c r="Q121" i="39"/>
  <c r="Q122" i="39" s="1"/>
  <c r="Q123" i="39" s="1"/>
  <c r="Q102" i="39"/>
  <c r="Q111" i="39" s="1"/>
  <c r="R87" i="39"/>
  <c r="R88" i="39"/>
  <c r="R89" i="39"/>
  <c r="R86" i="39"/>
  <c r="R85" i="39"/>
  <c r="R90" i="39"/>
  <c r="Q132" i="39"/>
  <c r="Q139" i="39" s="1"/>
  <c r="Q146" i="39" s="1"/>
  <c r="Q104" i="39"/>
  <c r="Q113" i="39" s="1"/>
  <c r="Q200" i="39"/>
  <c r="T76" i="39"/>
  <c r="T77" i="39" s="1"/>
  <c r="T79" i="39" s="1"/>
  <c r="T80" i="39" s="1"/>
  <c r="U74" i="39"/>
  <c r="AD227" i="39"/>
  <c r="AD228" i="39" s="1"/>
  <c r="Q133" i="39"/>
  <c r="Q140" i="39" s="1"/>
  <c r="Q147" i="39" s="1"/>
  <c r="Q105" i="39"/>
  <c r="Q114" i="39" s="1"/>
  <c r="V62" i="39"/>
  <c r="W66" i="39"/>
  <c r="S81" i="39"/>
  <c r="S82" i="39"/>
  <c r="R229" i="39"/>
  <c r="R230" i="39"/>
  <c r="AI62" i="39"/>
  <c r="AI61" i="39"/>
  <c r="AI58" i="39"/>
  <c r="AI59" i="39" s="1"/>
  <c r="Q134" i="39"/>
  <c r="Q141" i="39" s="1"/>
  <c r="Q148" i="39" s="1"/>
  <c r="Q106" i="39"/>
  <c r="Q115" i="39" s="1"/>
  <c r="P108" i="39"/>
  <c r="P117" i="39" s="1"/>
  <c r="P92" i="39"/>
  <c r="P93" i="39" s="1"/>
  <c r="AH45" i="39"/>
  <c r="AH54" i="39"/>
  <c r="AH218" i="39"/>
  <c r="AH78" i="39"/>
  <c r="AH213" i="39"/>
  <c r="AG215" i="39"/>
  <c r="Q131" i="39"/>
  <c r="Q138" i="39" s="1"/>
  <c r="Q145" i="39" s="1"/>
  <c r="Q103" i="39"/>
  <c r="Q112" i="39" s="1"/>
  <c r="AF216" i="39"/>
  <c r="AF219" i="39"/>
  <c r="R200" i="39" l="1"/>
  <c r="X1" i="39"/>
  <c r="Y75" i="39"/>
  <c r="T81" i="39"/>
  <c r="T82" i="39"/>
  <c r="R133" i="39"/>
  <c r="R140" i="39" s="1"/>
  <c r="R147" i="39" s="1"/>
  <c r="R105" i="39"/>
  <c r="R114" i="39" s="1"/>
  <c r="W62" i="39"/>
  <c r="X66" i="39"/>
  <c r="X62" i="39" s="1"/>
  <c r="R132" i="39"/>
  <c r="R139" i="39" s="1"/>
  <c r="R146" i="39" s="1"/>
  <c r="R104" i="39"/>
  <c r="R113" i="39" s="1"/>
  <c r="AE227" i="39"/>
  <c r="AE228" i="39" s="1"/>
  <c r="AI213" i="39"/>
  <c r="AI215" i="39" s="1"/>
  <c r="AI216" i="39" s="1"/>
  <c r="AH215" i="39"/>
  <c r="R135" i="39"/>
  <c r="R142" i="39" s="1"/>
  <c r="R149" i="39" s="1"/>
  <c r="R107" i="39"/>
  <c r="R116" i="39" s="1"/>
  <c r="Q108" i="39"/>
  <c r="Q117" i="39" s="1"/>
  <c r="Q92" i="39"/>
  <c r="Q93" i="39" s="1"/>
  <c r="AF224" i="39"/>
  <c r="AF225" i="39"/>
  <c r="AF221" i="39"/>
  <c r="AF226" i="39"/>
  <c r="AF222" i="39"/>
  <c r="AF223" i="39"/>
  <c r="R202" i="39"/>
  <c r="R121" i="39"/>
  <c r="R122" i="39" s="1"/>
  <c r="R123" i="39" s="1"/>
  <c r="R91" i="39"/>
  <c r="R102" i="39"/>
  <c r="R111" i="39" s="1"/>
  <c r="S229" i="39"/>
  <c r="S230" i="39"/>
  <c r="R131" i="39"/>
  <c r="R138" i="39" s="1"/>
  <c r="R145" i="39" s="1"/>
  <c r="R103" i="39"/>
  <c r="R112" i="39" s="1"/>
  <c r="AI45" i="39"/>
  <c r="AI54" i="39"/>
  <c r="AI78" i="39"/>
  <c r="AI218" i="39"/>
  <c r="AG216" i="39"/>
  <c r="AG219" i="39"/>
  <c r="S88" i="39"/>
  <c r="S87" i="39"/>
  <c r="S89" i="39"/>
  <c r="S86" i="39"/>
  <c r="S90" i="39"/>
  <c r="S85" i="39"/>
  <c r="U76" i="39"/>
  <c r="U77" i="39" s="1"/>
  <c r="U79" i="39" s="1"/>
  <c r="U80" i="39" s="1"/>
  <c r="V74" i="39"/>
  <c r="R134" i="39"/>
  <c r="R141" i="39" s="1"/>
  <c r="R148" i="39" s="1"/>
  <c r="R106" i="39"/>
  <c r="R115" i="39" s="1"/>
  <c r="S200" i="39" l="1"/>
  <c r="Z75" i="39"/>
  <c r="AA75" i="39" s="1"/>
  <c r="AB75" i="39" s="1"/>
  <c r="AC75" i="39" s="1"/>
  <c r="AD75" i="39" s="1"/>
  <c r="AE75" i="39" s="1"/>
  <c r="AF75" i="39" s="1"/>
  <c r="AG75" i="39" s="1"/>
  <c r="AH75" i="39" s="1"/>
  <c r="AI75" i="39" s="1"/>
  <c r="Y1" i="39"/>
  <c r="AI219" i="39"/>
  <c r="S133" i="39"/>
  <c r="S140" i="39" s="1"/>
  <c r="S147" i="39" s="1"/>
  <c r="S105" i="39"/>
  <c r="S114" i="39" s="1"/>
  <c r="AG225" i="39"/>
  <c r="AG226" i="39"/>
  <c r="AG222" i="39"/>
  <c r="AG221" i="39"/>
  <c r="AG224" i="39"/>
  <c r="AG223" i="39"/>
  <c r="S132" i="39"/>
  <c r="S139" i="39" s="1"/>
  <c r="S146" i="39" s="1"/>
  <c r="S104" i="39"/>
  <c r="S113" i="39" s="1"/>
  <c r="W74" i="39"/>
  <c r="V76" i="39"/>
  <c r="V77" i="39" s="1"/>
  <c r="V79" i="39" s="1"/>
  <c r="V80" i="39" s="1"/>
  <c r="U81" i="39"/>
  <c r="U82" i="39"/>
  <c r="AH216" i="39"/>
  <c r="AH219" i="39"/>
  <c r="S121" i="39"/>
  <c r="S122" i="39" s="1"/>
  <c r="S123" i="39" s="1"/>
  <c r="S202" i="39"/>
  <c r="S102" i="39"/>
  <c r="S111" i="39" s="1"/>
  <c r="S91" i="39"/>
  <c r="T229" i="39"/>
  <c r="T230" i="39"/>
  <c r="AF227" i="39"/>
  <c r="AF228" i="39" s="1"/>
  <c r="S135" i="39"/>
  <c r="S142" i="39" s="1"/>
  <c r="S149" i="39" s="1"/>
  <c r="S107" i="39"/>
  <c r="S116" i="39" s="1"/>
  <c r="S134" i="39"/>
  <c r="S141" i="39" s="1"/>
  <c r="S148" i="39" s="1"/>
  <c r="S106" i="39"/>
  <c r="S115" i="39" s="1"/>
  <c r="S131" i="39"/>
  <c r="S138" i="39" s="1"/>
  <c r="S145" i="39" s="1"/>
  <c r="S103" i="39"/>
  <c r="S112" i="39" s="1"/>
  <c r="R92" i="39"/>
  <c r="R93" i="39" s="1"/>
  <c r="R108" i="39"/>
  <c r="R117" i="39" s="1"/>
  <c r="T86" i="39"/>
  <c r="T88" i="39"/>
  <c r="T89" i="39"/>
  <c r="T87" i="39"/>
  <c r="T85" i="39"/>
  <c r="T90" i="39"/>
  <c r="T107" i="39" l="1"/>
  <c r="T116" i="39" s="1"/>
  <c r="T135" i="39"/>
  <c r="T142" i="39" s="1"/>
  <c r="T149" i="39" s="1"/>
  <c r="T202" i="39"/>
  <c r="T121" i="39"/>
  <c r="T122" i="39" s="1"/>
  <c r="T123" i="39" s="1"/>
  <c r="T102" i="39"/>
  <c r="T111" i="39" s="1"/>
  <c r="T91" i="39"/>
  <c r="U229" i="39"/>
  <c r="U230" i="39"/>
  <c r="V81" i="39"/>
  <c r="V82" i="39"/>
  <c r="T134" i="39"/>
  <c r="T141" i="39" s="1"/>
  <c r="T148" i="39" s="1"/>
  <c r="T106" i="39"/>
  <c r="T115" i="39" s="1"/>
  <c r="X74" i="39"/>
  <c r="W76" i="39"/>
  <c r="W77" i="39" s="1"/>
  <c r="W79" i="39" s="1"/>
  <c r="W80" i="39" s="1"/>
  <c r="U86" i="39"/>
  <c r="U88" i="39"/>
  <c r="U89" i="39"/>
  <c r="U87" i="39"/>
  <c r="U85" i="39"/>
  <c r="U90" i="39"/>
  <c r="T133" i="39"/>
  <c r="T140" i="39" s="1"/>
  <c r="T147" i="39" s="1"/>
  <c r="T105" i="39"/>
  <c r="T114" i="39" s="1"/>
  <c r="T132" i="39"/>
  <c r="T139" i="39" s="1"/>
  <c r="T146" i="39" s="1"/>
  <c r="T104" i="39"/>
  <c r="T113" i="39" s="1"/>
  <c r="T131" i="39"/>
  <c r="T138" i="39" s="1"/>
  <c r="T145" i="39" s="1"/>
  <c r="T103" i="39"/>
  <c r="T112" i="39" s="1"/>
  <c r="S108" i="39"/>
  <c r="S117" i="39" s="1"/>
  <c r="S92" i="39"/>
  <c r="S93" i="39" s="1"/>
  <c r="AH226" i="39"/>
  <c r="AH221" i="39"/>
  <c r="AH224" i="39"/>
  <c r="AH223" i="39"/>
  <c r="AH222" i="39"/>
  <c r="AH225" i="39"/>
  <c r="AI224" i="39"/>
  <c r="AI223" i="39"/>
  <c r="AI225" i="39"/>
  <c r="AI226" i="39"/>
  <c r="AI222" i="39"/>
  <c r="AI221" i="39"/>
  <c r="AG227" i="39"/>
  <c r="AG228" i="39" s="1"/>
  <c r="T200" i="39"/>
  <c r="U200" i="39" l="1"/>
  <c r="W81" i="39"/>
  <c r="W82" i="39"/>
  <c r="T108" i="39"/>
  <c r="T117" i="39" s="1"/>
  <c r="T92" i="39"/>
  <c r="T93" i="39" s="1"/>
  <c r="AI227" i="39"/>
  <c r="AI228" i="39" s="1"/>
  <c r="Y74" i="39"/>
  <c r="X76" i="39"/>
  <c r="X77" i="39" s="1"/>
  <c r="X79" i="39" s="1"/>
  <c r="X80" i="39" s="1"/>
  <c r="V229" i="39"/>
  <c r="V230" i="39"/>
  <c r="AH227" i="39"/>
  <c r="AH228" i="39" s="1"/>
  <c r="U135" i="39"/>
  <c r="U142" i="39" s="1"/>
  <c r="U149" i="39" s="1"/>
  <c r="U107" i="39"/>
  <c r="U116" i="39" s="1"/>
  <c r="U202" i="39"/>
  <c r="U121" i="39"/>
  <c r="U122" i="39" s="1"/>
  <c r="U123" i="39" s="1"/>
  <c r="U91" i="39"/>
  <c r="U102" i="39"/>
  <c r="U111" i="39" s="1"/>
  <c r="U133" i="39"/>
  <c r="U140" i="39" s="1"/>
  <c r="U147" i="39" s="1"/>
  <c r="U105" i="39"/>
  <c r="U114" i="39" s="1"/>
  <c r="U131" i="39"/>
  <c r="U138" i="39" s="1"/>
  <c r="U145" i="39" s="1"/>
  <c r="U103" i="39"/>
  <c r="U112" i="39" s="1"/>
  <c r="U132" i="39"/>
  <c r="U139" i="39" s="1"/>
  <c r="U146" i="39" s="1"/>
  <c r="U104" i="39"/>
  <c r="U113" i="39" s="1"/>
  <c r="V85" i="39"/>
  <c r="V89" i="39"/>
  <c r="V87" i="39"/>
  <c r="V86" i="39"/>
  <c r="V88" i="39"/>
  <c r="V90" i="39"/>
  <c r="U134" i="39"/>
  <c r="U141" i="39" s="1"/>
  <c r="U148" i="39" s="1"/>
  <c r="U106" i="39"/>
  <c r="U115" i="39" s="1"/>
  <c r="V200" i="39" l="1"/>
  <c r="Y76" i="39"/>
  <c r="Y77" i="39" s="1"/>
  <c r="Y79" i="39" s="1"/>
  <c r="Y80" i="39" s="1"/>
  <c r="Z74" i="39"/>
  <c r="V135" i="39"/>
  <c r="V142" i="39" s="1"/>
  <c r="V149" i="39" s="1"/>
  <c r="V107" i="39"/>
  <c r="V116" i="39" s="1"/>
  <c r="V133" i="39"/>
  <c r="V140" i="39" s="1"/>
  <c r="V147" i="39" s="1"/>
  <c r="V105" i="39"/>
  <c r="V114" i="39" s="1"/>
  <c r="V131" i="39"/>
  <c r="V138" i="39" s="1"/>
  <c r="V145" i="39" s="1"/>
  <c r="V103" i="39"/>
  <c r="V112" i="39" s="1"/>
  <c r="V134" i="39"/>
  <c r="V141" i="39" s="1"/>
  <c r="V148" i="39" s="1"/>
  <c r="V106" i="39"/>
  <c r="V115" i="39" s="1"/>
  <c r="X82" i="39"/>
  <c r="X81" i="39"/>
  <c r="V132" i="39"/>
  <c r="V139" i="39" s="1"/>
  <c r="V146" i="39" s="1"/>
  <c r="V104" i="39"/>
  <c r="V113" i="39" s="1"/>
  <c r="V202" i="39"/>
  <c r="V121" i="39"/>
  <c r="V122" i="39" s="1"/>
  <c r="V123" i="39" s="1"/>
  <c r="V102" i="39"/>
  <c r="V111" i="39" s="1"/>
  <c r="V91" i="39"/>
  <c r="U108" i="39"/>
  <c r="U117" i="39" s="1"/>
  <c r="U92" i="39"/>
  <c r="U93" i="39" s="1"/>
  <c r="W89" i="39"/>
  <c r="W88" i="39"/>
  <c r="W85" i="39"/>
  <c r="W86" i="39"/>
  <c r="W87" i="39"/>
  <c r="W90" i="39"/>
  <c r="W229" i="39"/>
  <c r="W230" i="39"/>
  <c r="W200" i="39" l="1"/>
  <c r="W133" i="39"/>
  <c r="W140" i="39" s="1"/>
  <c r="W147" i="39" s="1"/>
  <c r="W105" i="39"/>
  <c r="W114" i="39" s="1"/>
  <c r="X229" i="39"/>
  <c r="X230" i="39"/>
  <c r="X86" i="39"/>
  <c r="X85" i="39"/>
  <c r="X88" i="39"/>
  <c r="X89" i="39"/>
  <c r="X87" i="39"/>
  <c r="X90" i="39"/>
  <c r="W202" i="39"/>
  <c r="W121" i="39"/>
  <c r="W122" i="39" s="1"/>
  <c r="W123" i="39" s="1"/>
  <c r="W102" i="39"/>
  <c r="W111" i="39" s="1"/>
  <c r="W91" i="39"/>
  <c r="W134" i="39"/>
  <c r="W141" i="39" s="1"/>
  <c r="W148" i="39" s="1"/>
  <c r="W106" i="39"/>
  <c r="W115" i="39" s="1"/>
  <c r="W107" i="39"/>
  <c r="W116" i="39" s="1"/>
  <c r="W135" i="39"/>
  <c r="W142" i="39" s="1"/>
  <c r="W149" i="39" s="1"/>
  <c r="V108" i="39"/>
  <c r="V117" i="39" s="1"/>
  <c r="V92" i="39"/>
  <c r="V93" i="39" s="1"/>
  <c r="W132" i="39"/>
  <c r="W139" i="39" s="1"/>
  <c r="W146" i="39" s="1"/>
  <c r="W104" i="39"/>
  <c r="W113" i="39" s="1"/>
  <c r="Z76" i="39"/>
  <c r="Z77" i="39" s="1"/>
  <c r="Z79" i="39" s="1"/>
  <c r="Z80" i="39" s="1"/>
  <c r="AA74" i="39"/>
  <c r="W131" i="39"/>
  <c r="W138" i="39" s="1"/>
  <c r="W145" i="39" s="1"/>
  <c r="W103" i="39"/>
  <c r="W112" i="39" s="1"/>
  <c r="Y82" i="39"/>
  <c r="Y81" i="39"/>
  <c r="W108" i="39" l="1"/>
  <c r="W117" i="39" s="1"/>
  <c r="W92" i="39"/>
  <c r="W93" i="39" s="1"/>
  <c r="X202" i="39"/>
  <c r="X121" i="39"/>
  <c r="X122" i="39" s="1"/>
  <c r="X123" i="39" s="1"/>
  <c r="X91" i="39"/>
  <c r="X102" i="39"/>
  <c r="X111" i="39" s="1"/>
  <c r="X131" i="39"/>
  <c r="X138" i="39" s="1"/>
  <c r="X145" i="39" s="1"/>
  <c r="X103" i="39"/>
  <c r="X112" i="39" s="1"/>
  <c r="Z81" i="39"/>
  <c r="Z82" i="39"/>
  <c r="Y229" i="39"/>
  <c r="Y230" i="39"/>
  <c r="X105" i="39"/>
  <c r="X114" i="39" s="1"/>
  <c r="X133" i="39"/>
  <c r="X140" i="39" s="1"/>
  <c r="X147" i="39" s="1"/>
  <c r="X135" i="39"/>
  <c r="X142" i="39" s="1"/>
  <c r="X149" i="39" s="1"/>
  <c r="X107" i="39"/>
  <c r="X116" i="39" s="1"/>
  <c r="X132" i="39"/>
  <c r="X139" i="39" s="1"/>
  <c r="X146" i="39" s="1"/>
  <c r="X104" i="39"/>
  <c r="X113" i="39" s="1"/>
  <c r="Y86" i="39"/>
  <c r="Y85" i="39"/>
  <c r="Y88" i="39"/>
  <c r="Y87" i="39"/>
  <c r="Y89" i="39"/>
  <c r="Y90" i="39"/>
  <c r="AA76" i="39"/>
  <c r="AA77" i="39" s="1"/>
  <c r="AA79" i="39" s="1"/>
  <c r="AA80" i="39" s="1"/>
  <c r="AB74" i="39"/>
  <c r="X134" i="39"/>
  <c r="X141" i="39" s="1"/>
  <c r="X148" i="39" s="1"/>
  <c r="X106" i="39"/>
  <c r="X115" i="39" s="1"/>
  <c r="X200" i="39"/>
  <c r="Y200" i="39" l="1"/>
  <c r="Y135" i="39"/>
  <c r="Y142" i="39" s="1"/>
  <c r="Y149" i="39" s="1"/>
  <c r="Y107" i="39"/>
  <c r="Y116" i="39" s="1"/>
  <c r="X108" i="39"/>
  <c r="X117" i="39" s="1"/>
  <c r="X92" i="39"/>
  <c r="X93" i="39" s="1"/>
  <c r="Y106" i="39"/>
  <c r="Y115" i="39" s="1"/>
  <c r="Y134" i="39"/>
  <c r="Y141" i="39" s="1"/>
  <c r="Y148" i="39" s="1"/>
  <c r="Y132" i="39"/>
  <c r="Y139" i="39" s="1"/>
  <c r="Y146" i="39" s="1"/>
  <c r="Y104" i="39"/>
  <c r="Y113" i="39" s="1"/>
  <c r="Y202" i="39"/>
  <c r="Y121" i="39"/>
  <c r="Y122" i="39" s="1"/>
  <c r="Y123" i="39" s="1"/>
  <c r="Y91" i="39"/>
  <c r="Y102" i="39"/>
  <c r="Y111" i="39" s="1"/>
  <c r="Y103" i="39"/>
  <c r="Y112" i="39" s="1"/>
  <c r="Y131" i="39"/>
  <c r="Y138" i="39" s="1"/>
  <c r="Y145" i="39" s="1"/>
  <c r="Z229" i="39"/>
  <c r="Z230" i="39"/>
  <c r="Y133" i="39"/>
  <c r="Y140" i="39" s="1"/>
  <c r="Y147" i="39" s="1"/>
  <c r="Y105" i="39"/>
  <c r="Y114" i="39" s="1"/>
  <c r="AB76" i="39"/>
  <c r="AB77" i="39" s="1"/>
  <c r="AB79" i="39" s="1"/>
  <c r="AB80" i="39" s="1"/>
  <c r="AC74" i="39"/>
  <c r="Z85" i="39"/>
  <c r="Z87" i="39"/>
  <c r="Z89" i="39"/>
  <c r="Z86" i="39"/>
  <c r="Z88" i="39"/>
  <c r="Z90" i="39"/>
  <c r="AA81" i="39"/>
  <c r="AA82" i="39"/>
  <c r="Z200" i="39" l="1"/>
  <c r="AC76" i="39"/>
  <c r="AC77" i="39" s="1"/>
  <c r="AC79" i="39" s="1"/>
  <c r="AC80" i="39" s="1"/>
  <c r="AD74" i="39"/>
  <c r="AB81" i="39"/>
  <c r="AB82" i="39"/>
  <c r="Y108" i="39"/>
  <c r="Y117" i="39" s="1"/>
  <c r="Y92" i="39"/>
  <c r="Y93" i="39" s="1"/>
  <c r="AA229" i="39"/>
  <c r="AA230" i="39"/>
  <c r="AA87" i="39"/>
  <c r="AA88" i="39"/>
  <c r="AA89" i="39"/>
  <c r="AA86" i="39"/>
  <c r="AA85" i="39"/>
  <c r="AA90" i="39"/>
  <c r="Z202" i="39"/>
  <c r="Z121" i="39"/>
  <c r="Z122" i="39" s="1"/>
  <c r="Z123" i="39" s="1"/>
  <c r="Z91" i="39"/>
  <c r="Z92" i="39" s="1"/>
  <c r="AB229" i="39" l="1"/>
  <c r="AB230" i="39"/>
  <c r="AA202" i="39"/>
  <c r="AA121" i="39"/>
  <c r="AA122" i="39" s="1"/>
  <c r="AA123" i="39" s="1"/>
  <c r="AA91" i="39"/>
  <c r="AA92" i="39" s="1"/>
  <c r="AA93" i="39" s="1"/>
  <c r="AE74" i="39"/>
  <c r="AD76" i="39"/>
  <c r="AD77" i="39" s="1"/>
  <c r="AD79" i="39" s="1"/>
  <c r="AD80" i="39" s="1"/>
  <c r="AC81" i="39"/>
  <c r="AC82" i="39"/>
  <c r="AB86" i="39"/>
  <c r="AB85" i="39"/>
  <c r="AB88" i="39"/>
  <c r="AB87" i="39"/>
  <c r="AB89" i="39"/>
  <c r="AB90" i="39"/>
  <c r="Z93" i="39"/>
  <c r="AA200" i="39"/>
  <c r="AF74" i="39" l="1"/>
  <c r="AE76" i="39"/>
  <c r="AE77" i="39" s="1"/>
  <c r="AE79" i="39" s="1"/>
  <c r="AE80" i="39" s="1"/>
  <c r="AD81" i="39"/>
  <c r="AD82" i="39"/>
  <c r="AB202" i="39"/>
  <c r="AB121" i="39"/>
  <c r="AB122" i="39" s="1"/>
  <c r="AB123" i="39" s="1"/>
  <c r="AB91" i="39"/>
  <c r="AB92" i="39" s="1"/>
  <c r="AB93" i="39" s="1"/>
  <c r="AB200" i="39"/>
  <c r="AC87" i="39"/>
  <c r="AC88" i="39"/>
  <c r="AC89" i="39"/>
  <c r="AC85" i="39"/>
  <c r="AC86" i="39"/>
  <c r="AC90" i="39"/>
  <c r="AC229" i="39"/>
  <c r="AC230" i="39"/>
  <c r="AC200" i="39" l="1"/>
  <c r="AD229" i="39"/>
  <c r="AD230" i="39"/>
  <c r="AD89" i="39"/>
  <c r="AD85" i="39"/>
  <c r="AD87" i="39"/>
  <c r="AD86" i="39"/>
  <c r="AD88" i="39"/>
  <c r="AD90" i="39"/>
  <c r="AE81" i="39"/>
  <c r="AE82" i="39"/>
  <c r="AC202" i="39"/>
  <c r="AC91" i="39"/>
  <c r="AC92" i="39" s="1"/>
  <c r="AC93" i="39" s="1"/>
  <c r="AG74" i="39"/>
  <c r="AF76" i="39"/>
  <c r="AF77" i="39" s="1"/>
  <c r="AF79" i="39" s="1"/>
  <c r="AF80" i="39" s="1"/>
  <c r="AF82" i="39" l="1"/>
  <c r="AF81" i="39"/>
  <c r="AG76" i="39"/>
  <c r="AG77" i="39" s="1"/>
  <c r="AG79" i="39" s="1"/>
  <c r="AG80" i="39" s="1"/>
  <c r="AH74" i="39"/>
  <c r="AE87" i="39"/>
  <c r="AE89" i="39"/>
  <c r="AE88" i="39"/>
  <c r="AE86" i="39"/>
  <c r="AE85" i="39"/>
  <c r="AE90" i="39"/>
  <c r="AE229" i="39"/>
  <c r="AE230" i="39"/>
  <c r="AD202" i="39"/>
  <c r="AD91" i="39"/>
  <c r="AD92" i="39" s="1"/>
  <c r="AD93" i="39" s="1"/>
  <c r="AD200" i="39"/>
  <c r="AE200" i="39" l="1"/>
  <c r="AH76" i="39"/>
  <c r="AH77" i="39" s="1"/>
  <c r="AH79" i="39" s="1"/>
  <c r="AH80" i="39" s="1"/>
  <c r="AH81" i="39" s="1"/>
  <c r="AI74" i="39"/>
  <c r="AI76" i="39" s="1"/>
  <c r="AI77" i="39" s="1"/>
  <c r="AI79" i="39" s="1"/>
  <c r="AI80" i="39" s="1"/>
  <c r="AF229" i="39"/>
  <c r="AF230" i="39"/>
  <c r="AG82" i="39"/>
  <c r="AG81" i="39"/>
  <c r="AE202" i="39"/>
  <c r="AE91" i="39"/>
  <c r="AE92" i="39" s="1"/>
  <c r="AE93" i="39" s="1"/>
  <c r="AF89" i="39"/>
  <c r="AF85" i="39"/>
  <c r="AF88" i="39"/>
  <c r="AF86" i="39"/>
  <c r="AF87" i="39"/>
  <c r="AF90" i="39"/>
  <c r="AF200" i="39" l="1"/>
  <c r="AI81" i="39"/>
  <c r="AG87" i="39"/>
  <c r="AG86" i="39"/>
  <c r="AG88" i="39"/>
  <c r="AG85" i="39"/>
  <c r="AG89" i="39"/>
  <c r="AG90" i="39"/>
  <c r="AF202" i="39"/>
  <c r="AF91" i="39"/>
  <c r="AF92" i="39" s="1"/>
  <c r="AF93" i="39" s="1"/>
  <c r="AG229" i="39"/>
  <c r="AG230" i="39"/>
  <c r="AG202" i="39" l="1"/>
  <c r="AG91" i="39"/>
  <c r="AG92" i="39" s="1"/>
  <c r="AH229" i="39"/>
  <c r="AH230" i="39"/>
  <c r="AG200" i="39"/>
  <c r="AH200" i="39" s="1"/>
  <c r="AI200" i="39" l="1"/>
  <c r="AI202" i="39"/>
  <c r="AI229" i="39"/>
  <c r="AI230" i="39"/>
  <c r="AG93" i="39"/>
  <c r="AH93" i="39"/>
  <c r="AH202" i="39"/>
  <c r="BO33" i="20" l="1"/>
  <c r="BO26" i="20"/>
  <c r="BO19" i="20"/>
  <c r="BO12" i="20"/>
  <c r="BO5" i="20"/>
  <c r="C29" i="40" l="1"/>
  <c r="C42" i="36"/>
  <c r="C46" i="36" s="1"/>
  <c r="C31" i="40" l="1"/>
  <c r="P31" i="40" s="1"/>
  <c r="P29" i="40"/>
  <c r="C27" i="47"/>
  <c r="C29" i="47" s="1"/>
  <c r="F46" i="36" l="1"/>
  <c r="B14" i="40" l="1"/>
  <c r="BU8" i="20" l="1"/>
  <c r="BU15" i="20"/>
  <c r="BU29" i="20"/>
  <c r="BU36" i="20"/>
  <c r="BU34" i="20"/>
  <c r="BU33" i="20"/>
  <c r="BU32" i="20"/>
  <c r="BU27" i="20"/>
  <c r="BU26" i="20"/>
  <c r="BU25" i="20"/>
  <c r="BU20" i="20"/>
  <c r="BU19" i="20"/>
  <c r="BU18" i="20"/>
  <c r="BU13" i="20"/>
  <c r="BU12" i="20"/>
  <c r="BU11" i="20"/>
  <c r="BU6" i="20"/>
  <c r="BU5" i="20"/>
  <c r="BU4" i="20"/>
  <c r="L12" i="40" l="1"/>
  <c r="M12" i="40" s="1"/>
  <c r="L10" i="40"/>
  <c r="M10" i="40" s="1"/>
  <c r="L11" i="40"/>
  <c r="M11" i="40" s="1"/>
  <c r="L9" i="40" l="1"/>
  <c r="M9" i="40" s="1"/>
  <c r="L7" i="40"/>
  <c r="M7" i="40" s="1"/>
  <c r="L13" i="40" l="1"/>
  <c r="M13" i="40" s="1"/>
  <c r="U32" i="30" l="1"/>
  <c r="T32" i="30"/>
  <c r="S32" i="30"/>
  <c r="R32" i="30"/>
  <c r="Q32" i="30"/>
  <c r="P32" i="30"/>
  <c r="O32" i="30"/>
  <c r="N32" i="30"/>
  <c r="M32" i="30"/>
  <c r="L32" i="30"/>
  <c r="K32" i="30"/>
  <c r="J32" i="30"/>
  <c r="I32" i="30"/>
  <c r="H32" i="30"/>
  <c r="G32" i="30"/>
  <c r="F32" i="30"/>
  <c r="E32" i="30"/>
  <c r="D32" i="30"/>
  <c r="C32" i="30"/>
  <c r="B32" i="30"/>
  <c r="B30" i="30" l="1"/>
  <c r="C30" i="30"/>
  <c r="C37" i="30" s="1"/>
  <c r="D30" i="30"/>
  <c r="E30" i="30"/>
  <c r="E37" i="30" s="1"/>
  <c r="F30" i="30"/>
  <c r="F37" i="30" s="1"/>
  <c r="G30" i="30"/>
  <c r="G37" i="30" s="1"/>
  <c r="H30" i="30"/>
  <c r="H37" i="30" s="1"/>
  <c r="I30" i="30"/>
  <c r="I37" i="30" s="1"/>
  <c r="J30" i="30"/>
  <c r="J37" i="30" s="1"/>
  <c r="K30" i="30"/>
  <c r="K37" i="30" s="1"/>
  <c r="L30" i="30"/>
  <c r="L37" i="30" s="1"/>
  <c r="M30" i="30"/>
  <c r="M37" i="30" s="1"/>
  <c r="N30" i="30"/>
  <c r="N37" i="30" s="1"/>
  <c r="O30" i="30"/>
  <c r="O37" i="30" s="1"/>
  <c r="P30" i="30"/>
  <c r="P37" i="30" s="1"/>
  <c r="Q30" i="30"/>
  <c r="Q37" i="30" s="1"/>
  <c r="R30" i="30"/>
  <c r="R37" i="30" s="1"/>
  <c r="S30" i="30"/>
  <c r="S37" i="30" s="1"/>
  <c r="T30" i="30"/>
  <c r="T37" i="30" s="1"/>
  <c r="U30" i="30"/>
  <c r="U37" i="30" s="1"/>
  <c r="D37" i="30" l="1"/>
  <c r="B37" i="30"/>
  <c r="C27" i="12"/>
  <c r="R24" i="12"/>
  <c r="Q24" i="12"/>
  <c r="P24" i="12"/>
  <c r="O24" i="12"/>
  <c r="N24" i="12"/>
  <c r="M24" i="12"/>
  <c r="G24" i="12" l="1"/>
  <c r="AY36" i="20" l="1"/>
  <c r="AZ36" i="20" s="1"/>
  <c r="AY35" i="20"/>
  <c r="AZ35" i="20" s="1"/>
  <c r="AY34" i="20"/>
  <c r="AY32" i="20"/>
  <c r="AY29" i="20"/>
  <c r="AZ29" i="20" s="1"/>
  <c r="AY28" i="20"/>
  <c r="AZ28" i="20" s="1"/>
  <c r="AY27" i="20"/>
  <c r="AY25" i="20"/>
  <c r="AY22" i="20"/>
  <c r="AZ22" i="20" s="1"/>
  <c r="AY21" i="20"/>
  <c r="AZ21" i="20" s="1"/>
  <c r="AY20" i="20"/>
  <c r="AY18" i="20"/>
  <c r="AY15" i="20"/>
  <c r="AZ15" i="20" s="1"/>
  <c r="AY14" i="20"/>
  <c r="AZ14" i="20" s="1"/>
  <c r="AY13" i="20"/>
  <c r="AY11" i="20"/>
  <c r="AY8" i="20"/>
  <c r="AY7" i="20"/>
  <c r="AY6" i="20"/>
  <c r="AY4" i="20"/>
  <c r="C2" i="12" l="1"/>
  <c r="AZ13" i="20"/>
  <c r="BA13" i="20" s="1"/>
  <c r="AZ25" i="20"/>
  <c r="BA25" i="20" s="1"/>
  <c r="AZ27" i="20"/>
  <c r="BA27" i="20" s="1"/>
  <c r="AZ34" i="20"/>
  <c r="BA34" i="20" s="1"/>
  <c r="AZ4" i="20"/>
  <c r="BA4" i="20" s="1"/>
  <c r="AZ18" i="20"/>
  <c r="BA18" i="20" s="1"/>
  <c r="AZ11" i="20"/>
  <c r="BA11" i="20" s="1"/>
  <c r="AZ6" i="20"/>
  <c r="BA6" i="20" s="1"/>
  <c r="AZ7" i="20"/>
  <c r="BA7" i="20" s="1"/>
  <c r="AZ20" i="20"/>
  <c r="BA20" i="20" s="1"/>
  <c r="AZ32" i="20"/>
  <c r="BA32" i="20" s="1"/>
  <c r="AZ8" i="20"/>
  <c r="BA8" i="20" s="1"/>
  <c r="BA29" i="20"/>
  <c r="BA21" i="20"/>
  <c r="BA22" i="20"/>
  <c r="BB22" i="20" s="1"/>
  <c r="BC22" i="20" s="1"/>
  <c r="BD22" i="20" s="1"/>
  <c r="BE22" i="20" s="1"/>
  <c r="BF22" i="20" s="1"/>
  <c r="BG22" i="20" s="1"/>
  <c r="BH22" i="20" s="1"/>
  <c r="BI22" i="20" s="1"/>
  <c r="BU22" i="20" s="1"/>
  <c r="BA35" i="20"/>
  <c r="BA14" i="20"/>
  <c r="BA36" i="20"/>
  <c r="BA15" i="20"/>
  <c r="BA28" i="20"/>
  <c r="BS19" i="20"/>
  <c r="BS12" i="20" l="1"/>
  <c r="BS5" i="20"/>
  <c r="BS26" i="20"/>
  <c r="BS33" i="20"/>
  <c r="L24" i="12" l="1"/>
  <c r="K24" i="12"/>
  <c r="J24" i="12"/>
  <c r="I24" i="12"/>
  <c r="H24" i="12"/>
  <c r="F24" i="12"/>
  <c r="E24" i="12"/>
  <c r="D24" i="12"/>
  <c r="C19" i="12" l="1"/>
  <c r="C3" i="12" l="1"/>
  <c r="E3" i="12" l="1"/>
  <c r="E5" i="12" s="1"/>
  <c r="D3" i="12"/>
  <c r="C5" i="12"/>
  <c r="F3" i="12" l="1"/>
  <c r="F5" i="12" s="1"/>
  <c r="D5" i="12"/>
  <c r="C6" i="12"/>
  <c r="E6" i="12"/>
  <c r="D6" i="12" l="1"/>
  <c r="F6" i="12"/>
  <c r="AI36" i="20" l="1"/>
  <c r="AC36" i="20"/>
  <c r="AD36" i="20" s="1"/>
  <c r="AE36" i="20" s="1"/>
  <c r="AF36" i="20" s="1"/>
  <c r="AG36" i="20" s="1"/>
  <c r="AI34" i="20"/>
  <c r="AE34" i="20"/>
  <c r="AF34" i="20" s="1"/>
  <c r="AG34" i="20" s="1"/>
  <c r="X34" i="20"/>
  <c r="Y34" i="20" s="1"/>
  <c r="U34" i="20"/>
  <c r="V34" i="20" s="1"/>
  <c r="P34" i="20"/>
  <c r="Q34" i="20" s="1"/>
  <c r="R34" i="20" s="1"/>
  <c r="L34" i="20"/>
  <c r="M34" i="20" s="1"/>
  <c r="N34" i="20" s="1"/>
  <c r="J34" i="20"/>
  <c r="CA33" i="20"/>
  <c r="CA37" i="20" s="1"/>
  <c r="AI32" i="20"/>
  <c r="AE32" i="20"/>
  <c r="AF32" i="20" s="1"/>
  <c r="AG32" i="20" s="1"/>
  <c r="X32" i="20"/>
  <c r="Y32" i="20" s="1"/>
  <c r="U32" i="20"/>
  <c r="V32" i="20" s="1"/>
  <c r="P32" i="20"/>
  <c r="Q32" i="20" s="1"/>
  <c r="R32" i="20" s="1"/>
  <c r="L32" i="20"/>
  <c r="M32" i="20" s="1"/>
  <c r="N32" i="20" s="1"/>
  <c r="J32" i="20"/>
  <c r="AI29" i="20"/>
  <c r="AC29" i="20"/>
  <c r="AD29" i="20" s="1"/>
  <c r="AE29" i="20" s="1"/>
  <c r="AF29" i="20" s="1"/>
  <c r="AG29" i="20" s="1"/>
  <c r="AI27" i="20"/>
  <c r="AE27" i="20"/>
  <c r="AF27" i="20" s="1"/>
  <c r="AG27" i="20" s="1"/>
  <c r="X27" i="20"/>
  <c r="Y27" i="20" s="1"/>
  <c r="U27" i="20"/>
  <c r="V27" i="20" s="1"/>
  <c r="P27" i="20"/>
  <c r="Q27" i="20" s="1"/>
  <c r="R27" i="20" s="1"/>
  <c r="L27" i="20"/>
  <c r="M27" i="20" s="1"/>
  <c r="N27" i="20" s="1"/>
  <c r="J27" i="20"/>
  <c r="CA26" i="20"/>
  <c r="CA30" i="20" s="1"/>
  <c r="AI25" i="20"/>
  <c r="AE25" i="20"/>
  <c r="AF25" i="20" s="1"/>
  <c r="AG25" i="20" s="1"/>
  <c r="X25" i="20"/>
  <c r="Y25" i="20" s="1"/>
  <c r="U25" i="20"/>
  <c r="V25" i="20" s="1"/>
  <c r="P25" i="20"/>
  <c r="Q25" i="20" s="1"/>
  <c r="R25" i="20" s="1"/>
  <c r="L25" i="20"/>
  <c r="M25" i="20" s="1"/>
  <c r="N25" i="20" s="1"/>
  <c r="J25" i="20"/>
  <c r="B23" i="20"/>
  <c r="B30" i="20" s="1"/>
  <c r="B37" i="20" s="1"/>
  <c r="AI22" i="20"/>
  <c r="AC22" i="20"/>
  <c r="AD22" i="20" s="1"/>
  <c r="AE22" i="20" s="1"/>
  <c r="AF22" i="20" s="1"/>
  <c r="AG22" i="20" s="1"/>
  <c r="AI20" i="20"/>
  <c r="AE20" i="20"/>
  <c r="AF20" i="20" s="1"/>
  <c r="AG20" i="20" s="1"/>
  <c r="X20" i="20"/>
  <c r="Y20" i="20" s="1"/>
  <c r="U20" i="20"/>
  <c r="V20" i="20" s="1"/>
  <c r="P20" i="20"/>
  <c r="Q20" i="20" s="1"/>
  <c r="R20" i="20" s="1"/>
  <c r="L20" i="20"/>
  <c r="M20" i="20" s="1"/>
  <c r="N20" i="20" s="1"/>
  <c r="J20" i="20"/>
  <c r="CA19" i="20"/>
  <c r="CA23" i="20" s="1"/>
  <c r="AI18" i="20"/>
  <c r="AE18" i="20"/>
  <c r="AF18" i="20" s="1"/>
  <c r="AG18" i="20" s="1"/>
  <c r="X18" i="20"/>
  <c r="Y18" i="20" s="1"/>
  <c r="U18" i="20"/>
  <c r="V18" i="20" s="1"/>
  <c r="P18" i="20"/>
  <c r="Q18" i="20" s="1"/>
  <c r="R18" i="20" s="1"/>
  <c r="L18" i="20"/>
  <c r="M18" i="20" s="1"/>
  <c r="N18" i="20" s="1"/>
  <c r="J18" i="20"/>
  <c r="AI15" i="20"/>
  <c r="AC15" i="20"/>
  <c r="AD15" i="20" s="1"/>
  <c r="AE15" i="20" s="1"/>
  <c r="AF15" i="20" s="1"/>
  <c r="AG15" i="20" s="1"/>
  <c r="CA13" i="20"/>
  <c r="CA16" i="20" s="1"/>
  <c r="AI13" i="20"/>
  <c r="AE13" i="20"/>
  <c r="AF13" i="20" s="1"/>
  <c r="AG13" i="20" s="1"/>
  <c r="X13" i="20"/>
  <c r="Y13" i="20" s="1"/>
  <c r="U13" i="20"/>
  <c r="V13" i="20" s="1"/>
  <c r="P13" i="20"/>
  <c r="Q13" i="20" s="1"/>
  <c r="R13" i="20" s="1"/>
  <c r="L13" i="20"/>
  <c r="M13" i="20" s="1"/>
  <c r="N13" i="20" s="1"/>
  <c r="J13" i="20"/>
  <c r="AI11" i="20"/>
  <c r="AE11" i="20"/>
  <c r="AF11" i="20" s="1"/>
  <c r="AG11" i="20" s="1"/>
  <c r="X11" i="20"/>
  <c r="Y11" i="20" s="1"/>
  <c r="U11" i="20"/>
  <c r="V11" i="20" s="1"/>
  <c r="P11" i="20"/>
  <c r="Q11" i="20" s="1"/>
  <c r="R11" i="20" s="1"/>
  <c r="L11" i="20"/>
  <c r="M11" i="20" s="1"/>
  <c r="N11" i="20" s="1"/>
  <c r="J11" i="20"/>
  <c r="CB9" i="20"/>
  <c r="AI8" i="20"/>
  <c r="AC8" i="20"/>
  <c r="AD8" i="20" s="1"/>
  <c r="AE8" i="20" s="1"/>
  <c r="AF8" i="20" s="1"/>
  <c r="AG8" i="20" s="1"/>
  <c r="CA7" i="20"/>
  <c r="CA9" i="20" s="1"/>
  <c r="AI6" i="20"/>
  <c r="AE6" i="20"/>
  <c r="AF6" i="20" s="1"/>
  <c r="AG6" i="20" s="1"/>
  <c r="X6" i="20"/>
  <c r="Y6" i="20" s="1"/>
  <c r="U6" i="20"/>
  <c r="V6" i="20" s="1"/>
  <c r="P6" i="20"/>
  <c r="Q6" i="20" s="1"/>
  <c r="R6" i="20" s="1"/>
  <c r="L6" i="20"/>
  <c r="M6" i="20" s="1"/>
  <c r="N6" i="20" s="1"/>
  <c r="J6" i="20"/>
  <c r="AI4" i="20"/>
  <c r="AE4" i="20"/>
  <c r="AF4" i="20" s="1"/>
  <c r="AG4" i="20" s="1"/>
  <c r="X4" i="20"/>
  <c r="Y4" i="20" s="1"/>
  <c r="U4" i="20"/>
  <c r="V4" i="20" s="1"/>
  <c r="P4" i="20"/>
  <c r="Q4" i="20" s="1"/>
  <c r="R4" i="20" s="1"/>
  <c r="L4" i="20"/>
  <c r="M4" i="20" s="1"/>
  <c r="N4" i="20" s="1"/>
  <c r="J4" i="20"/>
  <c r="P51" i="40" l="1"/>
  <c r="R19" i="42" l="1"/>
  <c r="R24" i="42"/>
  <c r="R14" i="42"/>
  <c r="R18" i="42"/>
  <c r="R11" i="42"/>
  <c r="AC12" i="42"/>
  <c r="P12" i="42"/>
  <c r="Q12" i="42"/>
  <c r="Q11" i="42"/>
  <c r="AB3" i="42"/>
  <c r="AD11" i="42" s="1"/>
  <c r="AI11" i="42" s="1"/>
  <c r="P11" i="42"/>
  <c r="S11" i="42" s="1"/>
  <c r="AG13" i="42"/>
  <c r="C7" i="30"/>
  <c r="R16" i="42"/>
  <c r="AD22" i="42"/>
  <c r="AB12" i="42" l="1"/>
  <c r="AK3" i="42"/>
  <c r="C35" i="47"/>
  <c r="U11" i="42"/>
  <c r="W11" i="42" s="1"/>
  <c r="O12" i="42"/>
  <c r="AB13" i="42"/>
  <c r="AD23" i="42"/>
  <c r="R12" i="42"/>
  <c r="AD15" i="42"/>
  <c r="AD17" i="42"/>
  <c r="R21" i="42"/>
  <c r="AD16" i="42"/>
  <c r="U12" i="42"/>
  <c r="R17" i="42"/>
  <c r="AD20" i="42"/>
  <c r="R13" i="42"/>
  <c r="V12" i="42"/>
  <c r="AD25" i="42"/>
  <c r="AD13" i="42"/>
  <c r="AA11" i="42"/>
  <c r="AE11" i="42" s="1"/>
  <c r="AA12" i="42" s="1"/>
  <c r="AD12" i="42"/>
  <c r="C40" i="47"/>
  <c r="R22" i="42"/>
  <c r="AD14" i="42"/>
  <c r="AD19" i="42"/>
  <c r="R23" i="42"/>
  <c r="D7" i="30"/>
  <c r="AD21" i="42"/>
  <c r="AC13" i="42"/>
  <c r="R15" i="42"/>
  <c r="AD24" i="42"/>
  <c r="AD18" i="42"/>
  <c r="AD26" i="42"/>
  <c r="R20" i="42"/>
  <c r="W12" i="42" l="1"/>
  <c r="C36" i="40" s="1"/>
  <c r="S12" i="42"/>
  <c r="P36" i="40"/>
  <c r="C34" i="47"/>
  <c r="C36" i="47" s="1"/>
  <c r="C38" i="47" s="1"/>
  <c r="C44" i="47" s="1"/>
  <c r="C42" i="47" s="1"/>
  <c r="AK11" i="42"/>
  <c r="AE12" i="42"/>
  <c r="O13" i="42"/>
  <c r="S13" i="42" s="1"/>
  <c r="U13" i="42"/>
  <c r="W13" i="42" s="1"/>
  <c r="O14" i="42" l="1"/>
  <c r="S14" i="42" s="1"/>
  <c r="F8" i="47"/>
  <c r="G8" i="47" s="1"/>
  <c r="H8" i="47" s="1"/>
  <c r="F13" i="47"/>
  <c r="G13" i="47" s="1"/>
  <c r="H13" i="47" s="1"/>
  <c r="C46" i="47"/>
  <c r="F7" i="47"/>
  <c r="F10" i="47"/>
  <c r="G10" i="47" s="1"/>
  <c r="H10" i="47" s="1"/>
  <c r="BU21" i="20" s="1"/>
  <c r="F11" i="47"/>
  <c r="G11" i="47" s="1"/>
  <c r="H11" i="47" s="1"/>
  <c r="BU28" i="20" s="1"/>
  <c r="F9" i="47"/>
  <c r="G9" i="47" s="1"/>
  <c r="H9" i="47" s="1"/>
  <c r="BU14" i="20" s="1"/>
  <c r="F12" i="47"/>
  <c r="G12" i="47" s="1"/>
  <c r="H12" i="47" s="1"/>
  <c r="BU35" i="20" s="1"/>
  <c r="AA13" i="42"/>
  <c r="AE13" i="42" s="1"/>
  <c r="AG12" i="42"/>
  <c r="AA14" i="42" l="1"/>
  <c r="AE14" i="42" s="1"/>
  <c r="F14" i="47"/>
  <c r="G14" i="47" s="1"/>
  <c r="G7" i="47"/>
  <c r="H7" i="47" s="1"/>
  <c r="BU7" i="20" s="1"/>
  <c r="C13" i="40"/>
  <c r="U13" i="47"/>
  <c r="O13" i="47"/>
  <c r="P13" i="47" s="1"/>
  <c r="Q13" i="47" s="1"/>
  <c r="I13" i="47"/>
  <c r="I8" i="47"/>
  <c r="U8" i="47"/>
  <c r="C8" i="40"/>
  <c r="O8" i="47"/>
  <c r="P8" i="47" s="1"/>
  <c r="Q8" i="47" s="1"/>
  <c r="C12" i="40"/>
  <c r="I12" i="47"/>
  <c r="U12" i="47"/>
  <c r="O12" i="47"/>
  <c r="P12" i="47" s="1"/>
  <c r="Q12" i="47" s="1"/>
  <c r="AH13" i="42"/>
  <c r="AI13" i="42" s="1"/>
  <c r="AI12" i="42"/>
  <c r="C9" i="40"/>
  <c r="U9" i="47"/>
  <c r="O9" i="47"/>
  <c r="P9" i="47" s="1"/>
  <c r="Q9" i="47" s="1"/>
  <c r="I9" i="47"/>
  <c r="C11" i="40"/>
  <c r="O11" i="47"/>
  <c r="P11" i="47" s="1"/>
  <c r="Q11" i="47" s="1"/>
  <c r="U11" i="47"/>
  <c r="I11" i="47"/>
  <c r="O15" i="42"/>
  <c r="S15" i="42" s="1"/>
  <c r="U15" i="42" s="1"/>
  <c r="W15" i="42" s="1"/>
  <c r="U10" i="47"/>
  <c r="C10" i="40"/>
  <c r="O10" i="47"/>
  <c r="P10" i="47" s="1"/>
  <c r="Q10" i="47" s="1"/>
  <c r="I10" i="47"/>
  <c r="U14" i="42"/>
  <c r="W14" i="42" s="1"/>
  <c r="D12" i="40" l="1"/>
  <c r="N12" i="40"/>
  <c r="N13" i="40"/>
  <c r="D13" i="40"/>
  <c r="D9" i="40"/>
  <c r="N9" i="40"/>
  <c r="C7" i="40"/>
  <c r="I7" i="47"/>
  <c r="U7" i="47"/>
  <c r="O7" i="47"/>
  <c r="P7" i="47" s="1"/>
  <c r="Q7" i="47" s="1"/>
  <c r="H14" i="47"/>
  <c r="O16" i="42"/>
  <c r="S16" i="42" s="1"/>
  <c r="U16" i="42"/>
  <c r="W16" i="42" s="1"/>
  <c r="C37" i="40"/>
  <c r="AK12" i="42"/>
  <c r="D8" i="40"/>
  <c r="N8" i="40"/>
  <c r="D11" i="40"/>
  <c r="N11" i="40"/>
  <c r="AA15" i="42"/>
  <c r="AE15" i="42" s="1"/>
  <c r="N10" i="40"/>
  <c r="D10" i="40"/>
  <c r="AG14" i="42"/>
  <c r="AI14" i="42" s="1"/>
  <c r="C14" i="40" l="1"/>
  <c r="I14" i="47"/>
  <c r="D8" i="30" s="1"/>
  <c r="AA16" i="42"/>
  <c r="AE16" i="42" s="1"/>
  <c r="AG15" i="42"/>
  <c r="AI15" i="42" s="1"/>
  <c r="P37" i="40"/>
  <c r="C41" i="40"/>
  <c r="D7" i="40"/>
  <c r="N7" i="40"/>
  <c r="O17" i="42"/>
  <c r="S17" i="42" s="1"/>
  <c r="U17" i="42"/>
  <c r="W17" i="42" s="1"/>
  <c r="O18" i="42" l="1"/>
  <c r="S18" i="42" s="1"/>
  <c r="U18" i="42" s="1"/>
  <c r="W18" i="42" s="1"/>
  <c r="AA17" i="42"/>
  <c r="AE17" i="42" s="1"/>
  <c r="AG16" i="42"/>
  <c r="AI16" i="42" s="1"/>
  <c r="D14" i="40"/>
  <c r="E7" i="40" s="1"/>
  <c r="P41" i="40"/>
  <c r="C43" i="40"/>
  <c r="AA18" i="42" l="1"/>
  <c r="AE18" i="42" s="1"/>
  <c r="AG18" i="42" s="1"/>
  <c r="AI18" i="42" s="1"/>
  <c r="AG17" i="42"/>
  <c r="AI17" i="42" s="1"/>
  <c r="P43" i="40"/>
  <c r="C47" i="40"/>
  <c r="E9" i="40"/>
  <c r="E13" i="40"/>
  <c r="E12" i="40"/>
  <c r="E10" i="40"/>
  <c r="E11" i="40"/>
  <c r="E8" i="40"/>
  <c r="E14" i="40" s="1"/>
  <c r="O19" i="42"/>
  <c r="S19" i="42" s="1"/>
  <c r="U19" i="42" s="1"/>
  <c r="W19" i="42" s="1"/>
  <c r="C45" i="40" l="1"/>
  <c r="F9" i="40" s="1"/>
  <c r="G9" i="40" s="1"/>
  <c r="H9" i="40" s="1"/>
  <c r="P47" i="40"/>
  <c r="O20" i="42"/>
  <c r="S20" i="42" s="1"/>
  <c r="U20" i="42" s="1"/>
  <c r="W20" i="42" s="1"/>
  <c r="AA19" i="42"/>
  <c r="AE19" i="42" s="1"/>
  <c r="AG19" i="42" s="1"/>
  <c r="AI19" i="42" s="1"/>
  <c r="F13" i="40" l="1"/>
  <c r="G13" i="40" s="1"/>
  <c r="H13" i="40" s="1"/>
  <c r="F10" i="40"/>
  <c r="G10" i="40" s="1"/>
  <c r="H10" i="40" s="1"/>
  <c r="F12" i="40"/>
  <c r="G12" i="40" s="1"/>
  <c r="H12" i="40" s="1"/>
  <c r="F11" i="40"/>
  <c r="G11" i="40" s="1"/>
  <c r="H11" i="40" s="1"/>
  <c r="O11" i="40" s="1"/>
  <c r="P11" i="40" s="1"/>
  <c r="Q11" i="40" s="1"/>
  <c r="F8" i="40"/>
  <c r="G8" i="40" s="1"/>
  <c r="H8" i="40" s="1"/>
  <c r="O8" i="40" s="1"/>
  <c r="P8" i="40" s="1"/>
  <c r="Q8" i="40" s="1"/>
  <c r="O21" i="42"/>
  <c r="S21" i="42" s="1"/>
  <c r="O10" i="40"/>
  <c r="P10" i="40" s="1"/>
  <c r="Q10" i="40" s="1"/>
  <c r="I10" i="40"/>
  <c r="I9" i="40"/>
  <c r="O9" i="40"/>
  <c r="P9" i="40" s="1"/>
  <c r="Q9" i="40" s="1"/>
  <c r="O13" i="40"/>
  <c r="P13" i="40" s="1"/>
  <c r="Q13" i="40" s="1"/>
  <c r="I13" i="40"/>
  <c r="AA20" i="42"/>
  <c r="AE20" i="42" s="1"/>
  <c r="AG20" i="42" s="1"/>
  <c r="AI20" i="42" s="1"/>
  <c r="O12" i="40"/>
  <c r="P12" i="40" s="1"/>
  <c r="Q12" i="40" s="1"/>
  <c r="I12" i="40"/>
  <c r="C49" i="40"/>
  <c r="P49" i="40" s="1"/>
  <c r="P45" i="40"/>
  <c r="F7" i="40"/>
  <c r="I8" i="40" l="1"/>
  <c r="I11" i="40"/>
  <c r="G7" i="40"/>
  <c r="H7" i="40" s="1"/>
  <c r="F14" i="40"/>
  <c r="G14" i="40" s="1"/>
  <c r="AA21" i="42"/>
  <c r="AE21" i="42" s="1"/>
  <c r="AG21" i="42" s="1"/>
  <c r="AI21" i="42" s="1"/>
  <c r="O22" i="42"/>
  <c r="S22" i="42" s="1"/>
  <c r="U22" i="42" s="1"/>
  <c r="W22" i="42" s="1"/>
  <c r="U21" i="42"/>
  <c r="W21" i="42" s="1"/>
  <c r="O23" i="42" l="1"/>
  <c r="S23" i="42" s="1"/>
  <c r="U23" i="42"/>
  <c r="W23" i="42" s="1"/>
  <c r="AA22" i="42"/>
  <c r="AE22" i="42" s="1"/>
  <c r="H14" i="40"/>
  <c r="I14" i="40" s="1"/>
  <c r="O7" i="40"/>
  <c r="P7" i="40" s="1"/>
  <c r="Q7" i="40" s="1"/>
  <c r="I7" i="40"/>
  <c r="AA23" i="42" l="1"/>
  <c r="AE23" i="42" s="1"/>
  <c r="E8" i="30"/>
  <c r="AG22" i="42"/>
  <c r="AI22" i="42" s="1"/>
  <c r="O24" i="42"/>
  <c r="S24" i="42" s="1"/>
  <c r="U24" i="42" s="1"/>
  <c r="W24" i="42" s="1"/>
  <c r="AA24" i="42" l="1"/>
  <c r="AE24" i="42" s="1"/>
  <c r="AG24" i="42" s="1"/>
  <c r="AI24" i="42" s="1"/>
  <c r="AG23" i="42"/>
  <c r="AI23" i="42" s="1"/>
  <c r="AA25" i="42" l="1"/>
  <c r="AE25" i="42" s="1"/>
  <c r="AA26" i="42" l="1"/>
  <c r="AG25" i="42"/>
  <c r="AI25" i="42" s="1"/>
  <c r="AG26" i="42"/>
  <c r="AE26" i="42"/>
  <c r="AB26" i="42"/>
  <c r="AB26" i="42" a="1"/>
  <c r="AC26" i="42"/>
  <c r="AI26" i="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tc={8E0FE317-429A-4FAE-9E36-CFD9C8BE9CB0}</author>
  </authors>
  <commentList>
    <comment ref="A35" authorId="0" shapeId="0" xr:uid="{8E0FE317-429A-4FAE-9E36-CFD9C8BE9CB0}">
      <text>
        <t>[Threaded comment]
Your version of Excel allows you to read this threaded comment; however, any edits to it will get removed if the file is opened in a newer version of Excel. Learn more: https://go.microsoft.com/fwlink/?linkid=870924
Comment:
    Row 44 from TJ Poor workpapers in PSD surrebuttal worksheet, additional investment added on to BAU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tc={334063F4-1721-4E3A-8241-CAA0DFCC7616}</author>
    <author>tc={DBAD477F-18C6-458A-AE9A-5E76B6566BE0}</author>
    <author>tc={AC530CF5-E680-4801-ADDE-0B47364D329E}</author>
  </authors>
  <commentList>
    <comment ref="H8" authorId="0" shapeId="0" xr:uid="{334063F4-1721-4E3A-8241-CAA0DFCC7616}">
      <text>
        <t>[Threaded comment]
Your version of Excel allows you to read this threaded comment; however, any edits to it will get removed if the file is opened in a newer version of Excel. Learn more: https://go.microsoft.com/fwlink/?linkid=870924
Comment:
    From EEC Filing- updated annually</t>
      </text>
    </comment>
    <comment ref="T8" authorId="1" shapeId="0" xr:uid="{DBAD477F-18C6-458A-AE9A-5E76B6566BE0}">
      <text>
        <t>[Threaded comment]
Your version of Excel allows you to read this threaded comment; however, any edits to it will get removed if the file is opened in a newer version of Excel. Learn more: https://go.microsoft.com/fwlink/?linkid=870924
Comment:
    From EEC Filing- updated annually</t>
      </text>
    </comment>
    <comment ref="AF8" authorId="2" shapeId="0" xr:uid="{AC530CF5-E680-4801-ADDE-0B47364D329E}">
      <text>
        <t>[Threaded comment]
Your version of Excel allows you to read this threaded comment; however, any edits to it will get removed if the file is opened in a newer version of Excel. Learn more: https://go.microsoft.com/fwlink/?linkid=870924
Comment:
    From EEC Filing- updated annually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Poor, Walter</author>
    <author>tc={F78C77F7-542D-4AF1-9839-4DE05E7357F9}</author>
    <author>tc={B6D24799-7278-4843-B99F-324745973DD2}</author>
    <author>tc={38AE12E2-B1B2-4DFA-91D0-6BD60D825638}</author>
    <author>tc={3B83AE2E-4409-4227-BE39-BE7C139A2F53}</author>
  </authors>
  <commentList>
    <comment ref="D71" authorId="0" shapeId="0" xr:uid="{A3BA6D47-DCD4-4647-B323-FBAD54ADE8D2}">
      <text>
        <r>
          <rPr>
            <b/>
            <sz val="9"/>
            <color indexed="81"/>
            <rFont val="Tahoma"/>
            <family val="2"/>
          </rPr>
          <t>Poor, Walter:</t>
        </r>
        <r>
          <rPr>
            <sz val="9"/>
            <color indexed="81"/>
            <rFont val="Tahoma"/>
            <family val="2"/>
          </rPr>
          <t xml:space="preserve">
above and beyond the difference</t>
        </r>
      </text>
    </comment>
    <comment ref="K74" authorId="1" shapeId="0" xr:uid="{F78C77F7-542D-4AF1-9839-4DE05E7357F9}">
      <text>
        <t>[Threaded comment]
Your version of Excel allows you to read this threaded comment; however, any edits to it will get removed if the file is opened in a newer version of Excel. Learn more: https://go.microsoft.com/fwlink/?linkid=870924
Comment:
    adjusted formula here</t>
      </text>
    </comment>
    <comment ref="F215" authorId="2" shapeId="0" xr:uid="{B6D24799-7278-4843-B99F-324745973DD2}">
      <text>
        <t>[Threaded comment]
Your version of Excel allows you to read this threaded comment; however, any edits to it will get removed if the file is opened in a newer version of Excel. Learn more: https://go.microsoft.com/fwlink/?linkid=870924
Comment:
    may want to switch to an AVG consistent w ratebase investment</t>
      </text>
    </comment>
    <comment ref="J230" authorId="3" shapeId="0" xr:uid="{38AE12E2-B1B2-4DFA-91D0-6BD60D825638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calc below would have a 1% increase on overall rates here too</t>
      </text>
    </comment>
    <comment ref="D242" authorId="4" shapeId="0" xr:uid="{3B83AE2E-4409-4227-BE39-BE7C139A2F53}">
      <text>
        <t>[Threaded comment]
Your version of Excel allows you to read this threaded comment; however, any edits to it will get removed if the file is opened in a newer version of Excel. Learn more: https://go.microsoft.com/fwlink/?linkid=870924
Comment:
    5 year average cost/program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Ashley Shaw</author>
  </authors>
  <commentList>
    <comment ref="AB8" authorId="0" shapeId="0" xr:uid="{00000000-0006-0000-0800-000001000000}">
      <text>
        <r>
          <rPr>
            <sz val="9"/>
            <color indexed="81"/>
            <rFont val="Tahoma"/>
            <family val="2"/>
          </rPr>
          <t xml:space="preserve">LIAP became effective July 1, 2014 for the first year of implementation.  Every year thereafter, it will be implemented with base rates (November 1st)
</t>
        </r>
      </text>
    </comment>
    <comment ref="AB15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  <comment ref="AB22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  <comment ref="AB29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  <comment ref="AB36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 xml:space="preserve">LIAP became effective July 1, 2014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<sst xmlns="http://schemas.openxmlformats.org/spreadsheetml/2006/main" count="937" uniqueCount="397">
  <si>
    <t>Attachment: VGS Proposed 2023 EEC rates</t>
  </si>
  <si>
    <t>VGS Proposal</t>
  </si>
  <si>
    <t>Forecasted 2023 Mcf</t>
  </si>
  <si>
    <t>Current GEEC Rates</t>
  </si>
  <si>
    <t>Projected GEEC Revenues at Current Rates</t>
  </si>
  <si>
    <t>Class Share GEEC Revenues at Current Rates</t>
  </si>
  <si>
    <t>GEEC To Be Billed by Rate Class</t>
  </si>
  <si>
    <t>Proposed GEEC Rates per MCf</t>
  </si>
  <si>
    <t>Proposed GEEC Rates per CCf</t>
  </si>
  <si>
    <t>Percent Change GEEC</t>
  </si>
  <si>
    <t>Projected Avg</t>
  </si>
  <si>
    <t>Average Annual</t>
  </si>
  <si>
    <t># customers</t>
  </si>
  <si>
    <t>Mcf/Part</t>
  </si>
  <si>
    <t>EEC 2022 Current</t>
  </si>
  <si>
    <t>EEC 2023 Proposed</t>
  </si>
  <si>
    <t>Annual Variance</t>
  </si>
  <si>
    <t>Monthly Variance</t>
  </si>
  <si>
    <t>Residential</t>
  </si>
  <si>
    <t>Low Income</t>
  </si>
  <si>
    <t>G1 Class</t>
  </si>
  <si>
    <t>G2 Class</t>
  </si>
  <si>
    <t>G3 Class</t>
  </si>
  <si>
    <t>G4 Class</t>
  </si>
  <si>
    <t>Interruptible</t>
  </si>
  <si>
    <t>Totals</t>
  </si>
  <si>
    <t xml:space="preserve">VGS Total Budget 2022 Rule 5.305 D </t>
  </si>
  <si>
    <t>Not included in 2022 projected loan</t>
  </si>
  <si>
    <t>2021 Actual Underspent</t>
  </si>
  <si>
    <t>Not included in 2021 loan</t>
  </si>
  <si>
    <t>Give back per Case 21-1616-PET (credit)</t>
  </si>
  <si>
    <t>Under Collections of funds Rule 5.300 section (D)</t>
  </si>
  <si>
    <t>Estimate of Collections 2022</t>
  </si>
  <si>
    <t>True up actual collections 2021</t>
  </si>
  <si>
    <t>CY2023 Funding requirements 5.305 (B)</t>
  </si>
  <si>
    <t>Total NG EEU FUND not including loan mechanism projections and true up</t>
  </si>
  <si>
    <t>VGS Finance Mechanism Amortization only</t>
  </si>
  <si>
    <t>Loan 1</t>
  </si>
  <si>
    <t>Loan 2</t>
  </si>
  <si>
    <t>Loan 3</t>
  </si>
  <si>
    <t>Total carrying costs and principal</t>
  </si>
  <si>
    <t>Funding including amortization and carrying costs</t>
  </si>
  <si>
    <t>Funding requirements plus estimated amortization of loans and carrying costs</t>
  </si>
  <si>
    <t>Less Loan</t>
  </si>
  <si>
    <t>Projected 2023 Investment</t>
  </si>
  <si>
    <t>Adjusted for GRT and Weatherization</t>
  </si>
  <si>
    <t>Collections minus GRT and Wx</t>
  </si>
  <si>
    <t>Excluding GRT and Wx</t>
  </si>
  <si>
    <t>GRT and Wx</t>
  </si>
  <si>
    <t>Under collections</t>
  </si>
  <si>
    <t>Due to higher load we are collecting more</t>
  </si>
  <si>
    <t>GRT increased to .00525 effective 7/1/19.  DPS/PUC remains at .003. Wx .0075</t>
  </si>
  <si>
    <t>Gross Receipts</t>
  </si>
  <si>
    <t>GRT .00525 effective 7/1/19</t>
  </si>
  <si>
    <t>Weatherization Tax</t>
  </si>
  <si>
    <t>Wx .0075</t>
  </si>
  <si>
    <t>2021</t>
  </si>
  <si>
    <t>2022</t>
  </si>
  <si>
    <t>Year</t>
  </si>
  <si>
    <t>JAN</t>
  </si>
  <si>
    <t>FEB</t>
  </si>
  <si>
    <t>Actual</t>
  </si>
  <si>
    <t>Estimated</t>
  </si>
  <si>
    <t>Projected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</si>
  <si>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</si>
  <si>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</si>
  <si>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</si>
  <si>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</si>
  <si>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</si>
  <si>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</si>
  <si>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</si>
  <si>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</si>
  <si>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</si>
  <si>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</si>
  <si>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Attachment: VGS Proposed 2024 EEC rates</t>
  </si>
  <si>
    <t>Forecasted 2024 Mcf</t>
  </si>
  <si>
    <t>Total NG EEU FUND minus Under collections minus reallocation</t>
  </si>
  <si>
    <t>Loan 4 (2024 est principle only)</t>
  </si>
  <si>
    <t>Total EEC Collection for 2024 for smooth rate path</t>
  </si>
  <si>
    <t>CY 2021 Loan/Reg Asset</t>
  </si>
  <si>
    <t>CY 2022 Loan/Reg Asset</t>
  </si>
  <si>
    <t>CY 2023 Loan/Reg Asset</t>
  </si>
  <si>
    <t>Tota Loan in DRP</t>
  </si>
  <si>
    <t xml:space="preserve">Estimated Amount </t>
  </si>
  <si>
    <t>defaulting to budget (for 3 year period)</t>
  </si>
  <si>
    <t>Estimated Amount Y2</t>
  </si>
  <si>
    <t>Actual Amount</t>
  </si>
  <si>
    <t>Term</t>
  </si>
  <si>
    <t>Beg Bal</t>
  </si>
  <si>
    <t>True Up  of principal</t>
  </si>
  <si>
    <t>1/15th of true up</t>
  </si>
  <si>
    <t>Principal Recovery</t>
  </si>
  <si>
    <t>Ending Bal</t>
  </si>
  <si>
    <t>WACC %</t>
  </si>
  <si>
    <t>WACC $</t>
  </si>
  <si>
    <t>Y2 WACC True up</t>
  </si>
  <si>
    <t>Total Recovery</t>
  </si>
  <si>
    <t>Total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</si>
  <si>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</si>
  <si>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</si>
  <si>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</si>
  <si>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</si>
  <si>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</si>
  <si>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</si>
  <si>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</si>
  <si>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</si>
  <si>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</si>
  <si>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</si>
  <si>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</si>
  <si>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</si>
  <si>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</si>
  <si>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</si>
  <si>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</si>
  <si>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</si>
  <si>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GRT</t>
  </si>
  <si>
    <t>Budget</t>
  </si>
  <si>
    <t>2020</t>
  </si>
  <si>
    <t>Collections</t>
  </si>
  <si>
    <t>PSD Recommendations - VGS Budgets, EEC Collections, Investment Levels</t>
  </si>
  <si>
    <t>Total VGS Budget</t>
  </si>
  <si>
    <t>VGS Investment Level</t>
  </si>
  <si>
    <t>Actual/Forecasted Loan</t>
  </si>
  <si>
    <t>Rate Change Actual/Forecasted</t>
  </si>
  <si>
    <t>Budgeted Rate Change (TJ Forecast)</t>
  </si>
  <si>
    <t>Actual/Forecast Spend (no GRT/Wx tax)</t>
  </si>
  <si>
    <t>By Category</t>
  </si>
  <si>
    <t>RA</t>
  </si>
  <si>
    <t>DSS</t>
  </si>
  <si>
    <t>DPS Evaluation</t>
  </si>
  <si>
    <t>TEPF Clearing House</t>
  </si>
  <si>
    <t>Fiscal Agent</t>
  </si>
  <si>
    <t>Fiscal Agent Audit</t>
  </si>
  <si>
    <t>Total Other Costs</t>
  </si>
  <si>
    <t>Total EEU</t>
  </si>
  <si>
    <t>Invest ment</t>
  </si>
  <si>
    <t>Per TJ DRP file, VGS collections based on load with no EEC change</t>
  </si>
  <si>
    <t>Add'l added on to BAU  (hard keyed by TJ)</t>
  </si>
  <si>
    <t>Per TJ Formula- Investment Level</t>
  </si>
  <si>
    <t>Energy Efficiency DRP Scenarios</t>
  </si>
  <si>
    <t>Business As Usual Information</t>
  </si>
  <si>
    <t>Forecasted Number of Customers</t>
  </si>
  <si>
    <t>R</t>
  </si>
  <si>
    <t>G1</t>
  </si>
  <si>
    <t>G2</t>
  </si>
  <si>
    <t>G3</t>
  </si>
  <si>
    <t>G4</t>
  </si>
  <si>
    <t>Forecasted MCFs by Rate Class</t>
  </si>
  <si>
    <t xml:space="preserve">I </t>
  </si>
  <si>
    <t>Less CNG and SMEEP</t>
  </si>
  <si>
    <t>Net I</t>
  </si>
  <si>
    <t>Total Less CNG/Smeep</t>
  </si>
  <si>
    <t>Forecasted Revenue by Rate Class Including EEC</t>
  </si>
  <si>
    <t>EXCLUDING EEC -- modified to EXCLUDE - modified cells under this yellow bar in this section</t>
  </si>
  <si>
    <t>Current Revenue by rate class by %</t>
  </si>
  <si>
    <t>Res</t>
  </si>
  <si>
    <t>Com</t>
  </si>
  <si>
    <t>Ind</t>
  </si>
  <si>
    <t>EEU Revenue by Rate Class</t>
  </si>
  <si>
    <t>current EEC rate</t>
  </si>
  <si>
    <t xml:space="preserve">excluding EEC </t>
  </si>
  <si>
    <t>Business as usual EEU Revenue w no rate change =</t>
  </si>
  <si>
    <t>Average EEC Charge $/Mcf</t>
  </si>
  <si>
    <t>Current EEC as % or Revenues</t>
  </si>
  <si>
    <t>% increase in budget</t>
  </si>
  <si>
    <t>2% interest carried forward from original, plus DSS</t>
  </si>
  <si>
    <t>DRP Budgets</t>
  </si>
  <si>
    <t>PSD proposal</t>
  </si>
  <si>
    <t>Average EEU current</t>
  </si>
  <si>
    <t xml:space="preserve">Average EEU @ DRP budgets - fully collected </t>
  </si>
  <si>
    <t>Increase in EEU charge - no mitigation</t>
  </si>
  <si>
    <t>Annual Mcf Savings Per Year as a % of total</t>
  </si>
  <si>
    <t>Cumulative Mcf Savings Per Year as a % of total</t>
  </si>
  <si>
    <t xml:space="preserve">SAVINGS ARE VGS PROPOSED, NOT PSD.  NOT USED FOR AMORTIZATION ANALYSIS </t>
  </si>
  <si>
    <r>
      <t>EEU Mcf Savngs per year</t>
    </r>
    <r>
      <rPr>
        <sz val="8"/>
        <color theme="1"/>
        <rFont val="Calibri"/>
        <family val="2"/>
        <scheme val="minor"/>
      </rPr>
      <t xml:space="preserve"> (this came from EEU model through 2037)</t>
    </r>
  </si>
  <si>
    <t>Cumulative Mcf Savings per Year as % of Total</t>
  </si>
  <si>
    <t>VGS original</t>
  </si>
  <si>
    <t xml:space="preserve">DRP Scenario </t>
  </si>
  <si>
    <t>VGS rebuttal</t>
  </si>
  <si>
    <t>Time Period of Dollars Collected</t>
  </si>
  <si>
    <t>Direct total invested</t>
  </si>
  <si>
    <t xml:space="preserve"> WACC</t>
  </si>
  <si>
    <t>Surrebuttal investment:</t>
  </si>
  <si>
    <t>negative means increased collections from EEC</t>
  </si>
  <si>
    <t>From current</t>
  </si>
  <si>
    <t>Additional Invested</t>
  </si>
  <si>
    <t>Dollars Spent/ Year related to Investment</t>
  </si>
  <si>
    <t>Budget related</t>
  </si>
  <si>
    <t xml:space="preserve">Principal Collection </t>
  </si>
  <si>
    <t>NBV  at BEG of Year</t>
  </si>
  <si>
    <t>NBV  at END of Year</t>
  </si>
  <si>
    <t>Dollars Collected From Customers/ Year related to investment</t>
  </si>
  <si>
    <t>Total Carrying Cost plus principle</t>
  </si>
  <si>
    <t>Total Amount SPENT on program</t>
  </si>
  <si>
    <t>Total Amount collected through EEC</t>
  </si>
  <si>
    <t>Now BAU+CC-Additional Invest</t>
  </si>
  <si>
    <t>EEU Charge</t>
  </si>
  <si>
    <t>%  change year over  year</t>
  </si>
  <si>
    <t>% change from base spending</t>
  </si>
  <si>
    <t>orig %  change year over  year</t>
  </si>
  <si>
    <t>EEC Collection DRP</t>
  </si>
  <si>
    <t>orig % change from base spending</t>
  </si>
  <si>
    <t>Total Amount Collected through EEC</t>
  </si>
  <si>
    <t>Average EEU charge</t>
  </si>
  <si>
    <t>Increase in EEU charge</t>
  </si>
  <si>
    <t>Proposed EEC as % of Revenue</t>
  </si>
  <si>
    <t>Incremental Rate Impact - DRP</t>
  </si>
  <si>
    <t>Annual Residential EEC BAU</t>
  </si>
  <si>
    <t>Annual Residential EEC DRP</t>
  </si>
  <si>
    <t>Annual Increase</t>
  </si>
  <si>
    <t>over current</t>
  </si>
  <si>
    <t>Monthly Increase</t>
  </si>
  <si>
    <t>BAU non-RES</t>
  </si>
  <si>
    <t>Annual G1 BAU</t>
  </si>
  <si>
    <t>Annual G2 BAU</t>
  </si>
  <si>
    <t>Annual G3 BAU</t>
  </si>
  <si>
    <t>Annual G4 BAU</t>
  </si>
  <si>
    <t>Annual Ind BAU</t>
  </si>
  <si>
    <t>DRP propose non res</t>
  </si>
  <si>
    <t xml:space="preserve">Annual G1 </t>
  </si>
  <si>
    <t>Annual G2</t>
  </si>
  <si>
    <t xml:space="preserve">Annual G3 </t>
  </si>
  <si>
    <t xml:space="preserve">Annual G4 </t>
  </si>
  <si>
    <t xml:space="preserve">Annual Ind </t>
  </si>
  <si>
    <t>Annual Industrial</t>
  </si>
  <si>
    <t>Annual</t>
  </si>
  <si>
    <t>Increase over Current</t>
  </si>
  <si>
    <t>average gas bill is $235,000 annually</t>
  </si>
  <si>
    <t xml:space="preserve">Monthly </t>
  </si>
  <si>
    <t xml:space="preserve"> G1 </t>
  </si>
  <si>
    <t xml:space="preserve">G3 </t>
  </si>
  <si>
    <t xml:space="preserve">G4 </t>
  </si>
  <si>
    <t xml:space="preserve">Ind </t>
  </si>
  <si>
    <t>Incremental Year over Year  Rate Impact - DRP</t>
  </si>
  <si>
    <t>Collection of $ from Residential Customer</t>
  </si>
  <si>
    <t>Bill Impact to R Customer</t>
  </si>
  <si>
    <t>Assumed  Savings</t>
  </si>
  <si>
    <t>do not use - still under development</t>
  </si>
  <si>
    <r>
      <t xml:space="preserve">DRP Scenario 2 </t>
    </r>
    <r>
      <rPr>
        <sz val="10"/>
        <color theme="4"/>
        <rFont val="Calibri"/>
        <family val="2"/>
        <scheme val="minor"/>
      </rPr>
      <t>(same as DRP Scenario 1 but is over 15 years)</t>
    </r>
  </si>
  <si>
    <t>Investment</t>
  </si>
  <si>
    <t>Time Period of Dollars Spent</t>
  </si>
  <si>
    <t>Pre tax WACC</t>
  </si>
  <si>
    <t>IRR of Cash Flow Stream</t>
  </si>
  <si>
    <t>Bill savings</t>
  </si>
  <si>
    <t>RIR</t>
  </si>
  <si>
    <t>RNC</t>
  </si>
  <si>
    <t>RER</t>
  </si>
  <si>
    <t>CSR</t>
  </si>
  <si>
    <t>CNC</t>
  </si>
  <si>
    <t>CER</t>
  </si>
  <si>
    <t>DSS &amp; Other Costs*</t>
  </si>
  <si>
    <t>Total Spend by Program</t>
  </si>
  <si>
    <t>need an additional 19,000/yr</t>
  </si>
  <si>
    <t>an additional 1% increase in 2026</t>
  </si>
  <si>
    <t>2020 True up (actual)</t>
  </si>
  <si>
    <t>2021 True Up (actual)</t>
  </si>
  <si>
    <t>Projected EEC 2020 Collections</t>
  </si>
  <si>
    <t>Projected EEC 2021 Collections</t>
  </si>
  <si>
    <t>Under Collected</t>
  </si>
  <si>
    <t>Under Collections already estimated in EEC 2021 Calc</t>
  </si>
  <si>
    <t>Final Under Collections (actual for 2020)</t>
  </si>
  <si>
    <t>WxTaxes</t>
  </si>
  <si>
    <t>Gr T</t>
  </si>
  <si>
    <t>Potential Study</t>
  </si>
  <si>
    <t>DPS EMV</t>
  </si>
  <si>
    <t>Other non RA/Non DSS</t>
  </si>
  <si>
    <t>PUC order dated 9/24/2020 approving return of 177840 to ratepayer</t>
  </si>
  <si>
    <t>Case No. 20-2241-PET</t>
  </si>
  <si>
    <t>reallocation given back to ratepayer in 2021 EEC</t>
  </si>
  <si>
    <t>January</t>
  </si>
  <si>
    <t>August</t>
  </si>
  <si>
    <t>Base on Aug 18 FY19 excel file from LH</t>
  </si>
  <si>
    <t>Based on Sept FY20 from Todd L</t>
  </si>
  <si>
    <t>Estimated EEU Revenues</t>
  </si>
  <si>
    <t>Taken from Oct PGA to get one calendar year on most recent rate case</t>
  </si>
  <si>
    <t>Forecasted Revenue</t>
  </si>
  <si>
    <t>October</t>
  </si>
  <si>
    <t>November</t>
  </si>
  <si>
    <t>December</t>
  </si>
  <si>
    <t>February</t>
  </si>
  <si>
    <t>March</t>
  </si>
  <si>
    <t>April</t>
  </si>
  <si>
    <t>May</t>
  </si>
  <si>
    <t>June</t>
  </si>
  <si>
    <t>July</t>
  </si>
  <si>
    <t>September</t>
  </si>
  <si>
    <t>CY 2019 total</t>
  </si>
  <si>
    <t>CY 2020 Total</t>
  </si>
  <si>
    <t>CY 2021 Total</t>
  </si>
  <si>
    <t>CY 2022 Total</t>
  </si>
  <si>
    <t>CY 2023 Total</t>
  </si>
  <si>
    <t xml:space="preserve">    R</t>
  </si>
  <si>
    <t xml:space="preserve">    G1</t>
  </si>
  <si>
    <t xml:space="preserve">    G2</t>
  </si>
  <si>
    <t xml:space="preserve">    G3</t>
  </si>
  <si>
    <t xml:space="preserve">    G4</t>
  </si>
  <si>
    <t>Firm Revenues</t>
  </si>
  <si>
    <t>Total Interruptible</t>
  </si>
  <si>
    <t>Less Exempt Interruptible Customers</t>
  </si>
  <si>
    <t>Net Interruptibles</t>
  </si>
  <si>
    <t>SUB-TOTAL: Firm + Interruptible</t>
  </si>
  <si>
    <t>Projected Ccf</t>
  </si>
  <si>
    <t xml:space="preserve">  MCF  SALES</t>
  </si>
  <si>
    <t>Total Firm</t>
  </si>
  <si>
    <t>Interuptible Sales</t>
  </si>
  <si>
    <t>Net Interruptible</t>
  </si>
  <si>
    <t>Total Mcf Sales</t>
  </si>
  <si>
    <t>Number of Customers</t>
  </si>
  <si>
    <t>avg</t>
  </si>
  <si>
    <t>Total customers</t>
  </si>
  <si>
    <t>Data source</t>
  </si>
  <si>
    <t>old source for 2017 EEC charge factored Nov 2016 was Jan-Dec -February 2017 PGA file</t>
  </si>
  <si>
    <t>Source above is L:\supply\budget\17-18\update\Sept17 FY18.xls</t>
  </si>
  <si>
    <t>L:\EVERYONE\DSM\Case 20-2022 setting 2021 EEC charge\TL-1 NG Projections for EEC rates</t>
  </si>
  <si>
    <t>WX</t>
  </si>
  <si>
    <t>Oct - Dec 21</t>
  </si>
  <si>
    <t>Wx Jan 22</t>
  </si>
  <si>
    <t>Accrual to be remitted to State in April 2023</t>
  </si>
  <si>
    <t>Percent LIAP</t>
  </si>
  <si>
    <t>Percent Rate R</t>
  </si>
  <si>
    <t>Rate R</t>
  </si>
  <si>
    <t>Oct</t>
  </si>
  <si>
    <t>Nov</t>
  </si>
  <si>
    <t>Dec</t>
  </si>
  <si>
    <t>Jan</t>
  </si>
  <si>
    <t>Feb</t>
  </si>
  <si>
    <t>Mar</t>
  </si>
  <si>
    <t>Apr</t>
  </si>
  <si>
    <t>Aug</t>
  </si>
  <si>
    <t>Sept</t>
  </si>
  <si>
    <t># of Customers Enrolled in LIAP annual</t>
  </si>
  <si>
    <t># of Customers Enrolled in LIAP</t>
  </si>
  <si>
    <t>Average MCFUsage (MCF/Bill)</t>
  </si>
  <si>
    <t>Total Mcf LIAP/Month</t>
  </si>
  <si>
    <t>Monthly count</t>
  </si>
  <si>
    <t>LIAP</t>
  </si>
  <si>
    <t>"BILLS RENDERED" DATE</t>
  </si>
  <si>
    <t>Proposed</t>
  </si>
  <si>
    <t>START&gt;</t>
  </si>
  <si>
    <t>Current</t>
  </si>
  <si>
    <t>RATE</t>
  </si>
  <si>
    <t>END&gt;</t>
  </si>
  <si>
    <t>EEC based on EEC 2021 proposal</t>
  </si>
  <si>
    <t xml:space="preserve">R </t>
  </si>
  <si>
    <t>ACCESS</t>
  </si>
  <si>
    <t>TOTAL</t>
  </si>
  <si>
    <t>GAS</t>
  </si>
  <si>
    <t>}</t>
  </si>
  <si>
    <t>/ccf</t>
  </si>
  <si>
    <t>DISTRIBUTION</t>
  </si>
  <si>
    <t>EEU</t>
  </si>
  <si>
    <t>2018 Tax Adj</t>
  </si>
  <si>
    <t xml:space="preserve">Notes: </t>
  </si>
  <si>
    <t>Access charged per day</t>
  </si>
  <si>
    <t>Gas, Distribution &amp; EEU charged per ccf</t>
  </si>
  <si>
    <t>LIAP charged per # of meters per month</t>
  </si>
  <si>
    <t>2018 Tax Adj. for Feb-Oct 2018 bills</t>
  </si>
  <si>
    <t>L:\EVERYONE\TARIFFS</t>
  </si>
  <si>
    <t>Bills rendered on or after</t>
  </si>
  <si>
    <t>2020 Actual inc interest</t>
  </si>
  <si>
    <t>Total budget-loan+cc = EEC</t>
  </si>
  <si>
    <t>EEC=total budget - (projected loan +CC)</t>
  </si>
  <si>
    <t>(8.92%-1%)/(1-0.27715)*0.5+2.01%+0.16%</t>
  </si>
  <si>
    <t>Projected 2022 Underspent</t>
  </si>
  <si>
    <t>Assumes net collections</t>
  </si>
  <si>
    <t>True up of 2021 based on actual loan amount carrying costs and amortization</t>
  </si>
  <si>
    <t>Proposed 2023 EEC</t>
  </si>
  <si>
    <t>2022 True Up (actual Jan to Aug 2022 and estimated Sept 2022 to Dec 2022)</t>
  </si>
  <si>
    <t>RLI</t>
  </si>
  <si>
    <t>In</t>
  </si>
  <si>
    <t>2021 Actual excludes interest</t>
  </si>
  <si>
    <t>2022 Actual (excludes interest)</t>
  </si>
  <si>
    <t>Actuals through August of 2022</t>
  </si>
  <si>
    <t>2023 Projected Investment, amortization principal only</t>
  </si>
  <si>
    <t>2022 Projected Investment with true up from EEC 2022 Estimate</t>
  </si>
  <si>
    <t>Yr1</t>
  </si>
  <si>
    <t>EEC 2023 Current</t>
  </si>
  <si>
    <t>EEC 2024 Proposed</t>
  </si>
  <si>
    <t>2024 est loan (div 15 times .5 partial year)</t>
  </si>
  <si>
    <t>assumed only needed for year</t>
  </si>
  <si>
    <t>GRT and Wx combined</t>
  </si>
  <si>
    <t>Estimated $500K per month Sept-Dec 2022</t>
  </si>
  <si>
    <t>Total NG EEU Fund</t>
  </si>
  <si>
    <t>Reallocation of unspent funds (2018-2020)</t>
  </si>
  <si>
    <t>Half applied to 2022 EEC of the $251,087 to  mitigate rate impact</t>
  </si>
  <si>
    <t>Total EEC Collection for 2023 for smooth rate path</t>
  </si>
  <si>
    <t xml:space="preserve">VGS Total Budget 2024 Rule 5.305 D </t>
  </si>
  <si>
    <t>Projected 2024 Investment Amount</t>
  </si>
  <si>
    <t>Proposed 2024 EEC</t>
  </si>
  <si>
    <t>Per Ccf</t>
  </si>
  <si>
    <t>VGS 2023 Proposed Rates Per Ccf</t>
  </si>
  <si>
    <t>Commercial incentives (under contract and assumed to be paid out prior to end of 2022) not included in estiamted in row 42</t>
  </si>
  <si>
    <t>2024 budget will be reviewed/discussed during DRP 2024-2026 Proceedings</t>
  </si>
  <si>
    <t>This modeling was done to see what impact 2023 might have to 2024 - no budgets have been approved yet and assumed no over/under on collections</t>
  </si>
  <si>
    <t>True up of Loan Amortization by Year</t>
  </si>
  <si>
    <t>Oct-Sep</t>
  </si>
  <si>
    <t>2020-21</t>
  </si>
  <si>
    <t>Forecasts will have to be updated along with over/under projections, reallocations of funds, true up on investment amounts and newly approved PUC approved budgets from DRP 2024-2026 proceedings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</si>
</sst>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0.0%"/>
    <numFmt numFmtId="166" formatCode="_(* #,##0_);_(* \(#,##0\);_(* &quot;-&quot;??_);_(@_)"/>
    <numFmt numFmtId="167" formatCode="0.0000"/>
    <numFmt numFmtId="168" formatCode="&quot;$&quot;#,##0.00"/>
    <numFmt numFmtId="169" formatCode="&quot;$&quot;#,##0.0000"/>
    <numFmt numFmtId="170" formatCode="_(&quot;$&quot;* #,##0_);_(&quot;$&quot;* \(#,##0\);_(&quot;$&quot;* &quot;-&quot;??_);_(@_)"/>
    <numFmt numFmtId="171" formatCode="0.00000"/>
    <numFmt numFmtId="172" formatCode="_(* #,##0.00000_);_(* \(#,##0.00000\);_(* &quot;-&quot;??_);_(@_)"/>
    <numFmt numFmtId="173" formatCode="_(* #,##0.0000_);_(* \(#,##0.0000\);_(* &quot;-&quot;??_);_(@_)"/>
    <numFmt numFmtId="174" formatCode="_(* #,##0.000_);_(* \(#,##0.000\);_(* &quot;-&quot;??_);_(@_)"/>
    <numFmt numFmtId="175" formatCode="mm/dd/yyyy"/>
    <numFmt numFmtId="176" formatCode="0.000%"/>
    <numFmt numFmtId="177" formatCode="_(* #,##0.0_);_(* \(#,##0.0\);_(* &quot;-&quot;??_);_(@_)"/>
    <numFmt numFmtId="178" formatCode="yyyy"/>
    <numFmt numFmtId="179" formatCode="0.000"/>
    <numFmt numFmtId="180" formatCode="&quot;$&quot;#,##0.0"/>
    <numFmt numFmtId="181" formatCode="&quot;$&quot;#,##0.00000"/>
    <numFmt numFmtId="182" formatCode="_(&quot;$&quot;* #,##0.00000_);_(&quot;$&quot;* \(#,##0.00000\);_(&quot;$&quot;* &quot;-&quot;??_);_(@_)"/>
    <numFmt numFmtId="183" formatCode="_(&quot;$&quot;* #,##0.000000_);_(&quot;$&quot;* \(#,##0.000000\);_(&quot;$&quot;* &quot;-&quot;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SWISS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2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sz val="22"/>
      <name val="Arial"/>
      <family val="2"/>
    </font>
    <font>
      <u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Arial"/>
      <family val="2"/>
    </font>
    <font>
      <sz val="28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0" fontId="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4" fillId="0" borderId="0" applyFont="0" applyFill="0" applyBorder="0" applyAlignment="0" applyProtection="0">
      <alignment vertical="top"/>
    </xf>
    <xf numFmtId="37" fontId="4" fillId="0" borderId="0"/>
    <xf numFmtId="37" fontId="4" fillId="0" borderId="0"/>
    <xf numFmtId="37" fontId="4" fillId="0" borderId="0"/>
    <xf numFmtId="0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0" fontId="4" fillId="0" borderId="0"/>
    <xf numFmtId="37" fontId="4" fillId="0" borderId="0"/>
    <xf numFmtId="37" fontId="4" fillId="0" borderId="0"/>
    <xf numFmtId="37" fontId="4" fillId="0" borderId="0"/>
    <xf numFmtId="0" fontId="7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0" fontId="7" fillId="0" borderId="0"/>
    <xf numFmtId="0" fontId="4" fillId="0" borderId="0"/>
    <xf numFmtId="0" fontId="1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0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37" fontId="4" fillId="0" borderId="0"/>
    <xf numFmtId="9" fontId="14" fillId="0" borderId="0" applyFont="0" applyFill="0" applyBorder="0" applyAlignment="0" applyProtection="0">
      <alignment vertical="top"/>
    </xf>
    <xf numFmtId="0" fontId="16" fillId="0" borderId="0"/>
    <xf numFmtId="0" fontId="23" fillId="0" borderId="0"/>
    <xf numFmtId="43" fontId="14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4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43" fontId="7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>
      <alignment vertical="top"/>
    </xf>
    <xf numFmtId="0" fontId="7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349">
    <xf numFmtId="0" fontId="0" fillId="0" borderId="0" xfId="0"/>
    <xf numFmtId="0" fontId="3" fillId="0" borderId="0" xfId="0" applyFont="1"/>
    <xf numFmtId="164" fontId="0" fillId="0" borderId="0" xfId="0" applyNumberFormat="1"/>
    <xf numFmtId="0" fontId="5" fillId="0" borderId="0" xfId="0" applyFont="1"/>
    <xf numFmtId="165" fontId="5" fillId="0" borderId="0" xfId="3" applyNumberFormat="1" applyFont="1" applyFill="1"/>
    <xf numFmtId="3" fontId="5" fillId="0" borderId="0" xfId="0" applyNumberFormat="1" applyFont="1"/>
    <xf numFmtId="164" fontId="5" fillId="0" borderId="0" xfId="0" applyNumberFormat="1" applyFont="1"/>
    <xf numFmtId="166" fontId="0" fillId="0" borderId="0" xfId="1" applyNumberFormat="1" applyFont="1"/>
    <xf numFmtId="166" fontId="0" fillId="0" borderId="0" xfId="0" applyNumberFormat="1"/>
    <xf numFmtId="43" fontId="0" fillId="0" borderId="0" xfId="0" applyNumberFormat="1"/>
    <xf numFmtId="10" fontId="0" fillId="0" borderId="0" xfId="3" applyNumberFormat="1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/>
    <xf numFmtId="0" fontId="8" fillId="0" borderId="0" xfId="0" applyFont="1"/>
    <xf numFmtId="43" fontId="0" fillId="2" borderId="0" xfId="0" applyNumberFormat="1" applyFill="1"/>
    <xf numFmtId="0" fontId="10" fillId="0" borderId="0" xfId="0" applyFont="1"/>
    <xf numFmtId="0" fontId="7" fillId="0" borderId="0" xfId="0" applyFont="1"/>
    <xf numFmtId="44" fontId="0" fillId="0" borderId="0" xfId="0" applyNumberFormat="1"/>
    <xf numFmtId="0" fontId="0" fillId="2" borderId="0" xfId="0" applyFill="1"/>
    <xf numFmtId="0" fontId="5" fillId="0" borderId="9" xfId="0" applyFont="1" applyBorder="1"/>
    <xf numFmtId="166" fontId="5" fillId="0" borderId="0" xfId="4" applyNumberFormat="1" applyFont="1" applyFill="1" applyBorder="1"/>
    <xf numFmtId="0" fontId="5" fillId="0" borderId="7" xfId="0" applyFont="1" applyBorder="1"/>
    <xf numFmtId="0" fontId="0" fillId="0" borderId="7" xfId="0" applyBorder="1"/>
    <xf numFmtId="0" fontId="0" fillId="0" borderId="8" xfId="0" applyBorder="1"/>
    <xf numFmtId="17" fontId="0" fillId="0" borderId="0" xfId="0" applyNumberFormat="1"/>
    <xf numFmtId="170" fontId="0" fillId="0" borderId="0" xfId="0" applyNumberFormat="1"/>
    <xf numFmtId="170" fontId="0" fillId="0" borderId="0" xfId="2" applyNumberFormat="1" applyFont="1"/>
    <xf numFmtId="170" fontId="0" fillId="0" borderId="0" xfId="2" applyNumberFormat="1" applyFont="1" applyFill="1"/>
    <xf numFmtId="0" fontId="0" fillId="0" borderId="6" xfId="0" applyBorder="1"/>
    <xf numFmtId="0" fontId="0" fillId="0" borderId="9" xfId="0" applyBorder="1"/>
    <xf numFmtId="0" fontId="0" fillId="0" borderId="11" xfId="0" applyBorder="1"/>
    <xf numFmtId="165" fontId="5" fillId="0" borderId="0" xfId="3" applyNumberFormat="1" applyFont="1" applyBorder="1"/>
    <xf numFmtId="166" fontId="5" fillId="0" borderId="1" xfId="4" applyNumberFormat="1" applyFont="1" applyFill="1" applyBorder="1"/>
    <xf numFmtId="9" fontId="5" fillId="0" borderId="1" xfId="3" applyFont="1" applyBorder="1"/>
    <xf numFmtId="10" fontId="5" fillId="0" borderId="0" xfId="3" applyNumberFormat="1" applyFont="1" applyBorder="1"/>
    <xf numFmtId="0" fontId="15" fillId="0" borderId="0" xfId="0" applyFont="1"/>
    <xf numFmtId="172" fontId="5" fillId="0" borderId="0" xfId="1" applyNumberFormat="1" applyFont="1" applyFill="1"/>
    <xf numFmtId="0" fontId="7" fillId="0" borderId="0" xfId="30"/>
    <xf numFmtId="0" fontId="7" fillId="0" borderId="2" xfId="30" applyBorder="1"/>
    <xf numFmtId="165" fontId="0" fillId="0" borderId="10" xfId="3" applyNumberFormat="1" applyFont="1" applyBorder="1"/>
    <xf numFmtId="165" fontId="0" fillId="0" borderId="12" xfId="3" applyNumberFormat="1" applyFont="1" applyBorder="1"/>
    <xf numFmtId="171" fontId="0" fillId="0" borderId="0" xfId="0" applyNumberFormat="1"/>
    <xf numFmtId="167" fontId="0" fillId="0" borderId="0" xfId="0" applyNumberFormat="1"/>
    <xf numFmtId="9" fontId="0" fillId="0" borderId="0" xfId="3" applyFont="1"/>
    <xf numFmtId="173" fontId="0" fillId="0" borderId="0" xfId="1" applyNumberFormat="1" applyFont="1" applyBorder="1"/>
    <xf numFmtId="166" fontId="15" fillId="0" borderId="0" xfId="0" applyNumberFormat="1" applyFont="1"/>
    <xf numFmtId="43" fontId="15" fillId="0" borderId="0" xfId="0" applyNumberFormat="1" applyFont="1"/>
    <xf numFmtId="0" fontId="10" fillId="0" borderId="0" xfId="30" applyFont="1" applyAlignment="1">
      <alignment horizontal="center"/>
    </xf>
    <xf numFmtId="0" fontId="17" fillId="0" borderId="0" xfId="30" applyFont="1" applyAlignment="1">
      <alignment horizontal="right"/>
    </xf>
    <xf numFmtId="175" fontId="18" fillId="0" borderId="0" xfId="30" applyNumberFormat="1" applyFont="1" applyAlignment="1">
      <alignment horizontal="right"/>
    </xf>
    <xf numFmtId="175" fontId="18" fillId="0" borderId="2" xfId="30" applyNumberFormat="1" applyFont="1" applyBorder="1" applyAlignment="1">
      <alignment horizontal="right"/>
    </xf>
    <xf numFmtId="0" fontId="18" fillId="0" borderId="17" xfId="30" applyFont="1" applyBorder="1"/>
    <xf numFmtId="169" fontId="7" fillId="0" borderId="17" xfId="30" applyNumberFormat="1" applyBorder="1"/>
    <xf numFmtId="169" fontId="7" fillId="0" borderId="0" xfId="30" applyNumberFormat="1"/>
    <xf numFmtId="0" fontId="10" fillId="0" borderId="0" xfId="30" applyFont="1"/>
    <xf numFmtId="10" fontId="7" fillId="0" borderId="0" xfId="30" applyNumberFormat="1"/>
    <xf numFmtId="0" fontId="10" fillId="7" borderId="0" xfId="30" applyFont="1" applyFill="1"/>
    <xf numFmtId="169" fontId="10" fillId="7" borderId="0" xfId="30" applyNumberFormat="1" applyFont="1" applyFill="1"/>
    <xf numFmtId="0" fontId="18" fillId="0" borderId="0" xfId="30" applyFont="1"/>
    <xf numFmtId="168" fontId="7" fillId="0" borderId="0" xfId="30" applyNumberFormat="1"/>
    <xf numFmtId="169" fontId="7" fillId="6" borderId="0" xfId="30" applyNumberFormat="1" applyFill="1"/>
    <xf numFmtId="0" fontId="4" fillId="0" borderId="0" xfId="30" applyFont="1" applyAlignment="1">
      <alignment wrapText="1"/>
    </xf>
    <xf numFmtId="0" fontId="4" fillId="0" borderId="0" xfId="30" applyFont="1" applyAlignment="1">
      <alignment horizontal="center" vertical="center"/>
    </xf>
    <xf numFmtId="0" fontId="20" fillId="0" borderId="0" xfId="30" applyFont="1"/>
    <xf numFmtId="0" fontId="19" fillId="0" borderId="0" xfId="30" applyFont="1"/>
    <xf numFmtId="174" fontId="0" fillId="0" borderId="0" xfId="4" applyNumberFormat="1" applyFont="1"/>
    <xf numFmtId="0" fontId="13" fillId="0" borderId="0" xfId="30" applyFont="1" applyAlignment="1">
      <alignment horizontal="center"/>
    </xf>
    <xf numFmtId="169" fontId="7" fillId="0" borderId="2" xfId="30" applyNumberFormat="1" applyBorder="1"/>
    <xf numFmtId="169" fontId="20" fillId="0" borderId="0" xfId="30" applyNumberFormat="1" applyFont="1"/>
    <xf numFmtId="0" fontId="10" fillId="0" borderId="0" xfId="30" applyFont="1" applyAlignment="1" applyProtection="1">
      <alignment horizontal="center" vertical="center"/>
      <protection locked="0"/>
    </xf>
    <xf numFmtId="169" fontId="7" fillId="0" borderId="0" xfId="30" applyNumberFormat="1" applyAlignment="1">
      <alignment vertical="center"/>
    </xf>
    <xf numFmtId="169" fontId="10" fillId="0" borderId="0" xfId="30" applyNumberFormat="1" applyFont="1" applyAlignment="1">
      <alignment vertical="center"/>
    </xf>
    <xf numFmtId="0" fontId="10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164" fontId="0" fillId="2" borderId="0" xfId="2" applyNumberFormat="1" applyFont="1" applyFill="1"/>
    <xf numFmtId="164" fontId="0" fillId="2" borderId="0" xfId="0" applyNumberFormat="1" applyFill="1"/>
    <xf numFmtId="166" fontId="0" fillId="2" borderId="0" xfId="1" applyNumberFormat="1" applyFont="1" applyFill="1"/>
    <xf numFmtId="166" fontId="0" fillId="2" borderId="0" xfId="0" applyNumberFormat="1" applyFill="1"/>
    <xf numFmtId="3" fontId="0" fillId="2" borderId="0" xfId="0" applyNumberFormat="1" applyFill="1"/>
    <xf numFmtId="0" fontId="13" fillId="0" borderId="0" xfId="30" applyFont="1" applyAlignment="1">
      <alignment horizontal="center" vertical="center"/>
    </xf>
    <xf numFmtId="169" fontId="10" fillId="0" borderId="0" xfId="30" applyNumberFormat="1" applyFont="1" applyAlignment="1">
      <alignment horizontal="center" vertical="center"/>
    </xf>
    <xf numFmtId="0" fontId="10" fillId="0" borderId="0" xfId="30" applyFont="1" applyAlignment="1">
      <alignment horizontal="center" vertical="center"/>
    </xf>
    <xf numFmtId="2" fontId="0" fillId="2" borderId="0" xfId="0" applyNumberFormat="1" applyFill="1"/>
    <xf numFmtId="173" fontId="0" fillId="0" borderId="0" xfId="1" applyNumberFormat="1" applyFont="1" applyFill="1" applyBorder="1"/>
    <xf numFmtId="173" fontId="0" fillId="0" borderId="0" xfId="1" applyNumberFormat="1" applyFont="1" applyFill="1"/>
    <xf numFmtId="173" fontId="0" fillId="0" borderId="1" xfId="1" applyNumberFormat="1" applyFont="1" applyBorder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1" xfId="0" applyNumberFormat="1" applyBorder="1"/>
    <xf numFmtId="164" fontId="5" fillId="0" borderId="1" xfId="0" applyNumberFormat="1" applyFont="1" applyBorder="1"/>
    <xf numFmtId="164" fontId="0" fillId="0" borderId="0" xfId="2" applyNumberFormat="1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43" fontId="15" fillId="0" borderId="0" xfId="1" applyFont="1"/>
    <xf numFmtId="17" fontId="0" fillId="8" borderId="2" xfId="0" applyNumberFormat="1" applyFill="1" applyBorder="1" applyAlignment="1">
      <alignment horizontal="center"/>
    </xf>
    <xf numFmtId="17" fontId="0" fillId="8" borderId="16" xfId="0" applyNumberFormat="1" applyFill="1" applyBorder="1" applyAlignment="1">
      <alignment horizontal="center"/>
    </xf>
    <xf numFmtId="166" fontId="5" fillId="0" borderId="0" xfId="1" applyNumberFormat="1" applyFont="1" applyFill="1" applyBorder="1"/>
    <xf numFmtId="166" fontId="5" fillId="9" borderId="0" xfId="1" applyNumberFormat="1" applyFont="1" applyFill="1" applyBorder="1"/>
    <xf numFmtId="170" fontId="0" fillId="0" borderId="0" xfId="2" applyNumberFormat="1" applyFont="1" applyFill="1" applyBorder="1"/>
    <xf numFmtId="17" fontId="0" fillId="8" borderId="17" xfId="0" applyNumberFormat="1" applyFill="1" applyBorder="1" applyAlignment="1">
      <alignment horizontal="center"/>
    </xf>
    <xf numFmtId="0" fontId="24" fillId="2" borderId="0" xfId="0" applyFont="1" applyFill="1" applyAlignment="1">
      <alignment horizontal="center"/>
    </xf>
    <xf numFmtId="0" fontId="24" fillId="2" borderId="0" xfId="0" applyFont="1" applyFill="1"/>
    <xf numFmtId="0" fontId="0" fillId="2" borderId="0" xfId="0" applyFill="1" applyAlignment="1">
      <alignment horizontal="center"/>
    </xf>
    <xf numFmtId="175" fontId="18" fillId="0" borderId="0" xfId="0" applyNumberFormat="1" applyFont="1" applyAlignment="1">
      <alignment horizontal="right"/>
    </xf>
    <xf numFmtId="169" fontId="0" fillId="0" borderId="0" xfId="0" applyNumberFormat="1"/>
    <xf numFmtId="169" fontId="10" fillId="7" borderId="0" xfId="0" applyNumberFormat="1" applyFont="1" applyFill="1"/>
    <xf numFmtId="168" fontId="0" fillId="0" borderId="0" xfId="0" applyNumberFormat="1"/>
    <xf numFmtId="0" fontId="19" fillId="0" borderId="0" xfId="0" applyFont="1" applyAlignment="1">
      <alignment vertical="top" wrapText="1"/>
    </xf>
    <xf numFmtId="16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20" fillId="0" borderId="0" xfId="0" applyFont="1"/>
    <xf numFmtId="0" fontId="19" fillId="0" borderId="0" xfId="0" applyFont="1"/>
    <xf numFmtId="169" fontId="20" fillId="0" borderId="0" xfId="0" applyNumberFormat="1" applyFont="1"/>
    <xf numFmtId="0" fontId="10" fillId="0" borderId="0" xfId="0" applyFont="1" applyAlignment="1" applyProtection="1">
      <alignment horizontal="center" vertical="center"/>
      <protection locked="0"/>
    </xf>
    <xf numFmtId="169" fontId="7" fillId="0" borderId="0" xfId="0" applyNumberFormat="1" applyFont="1" applyAlignment="1">
      <alignment vertical="center"/>
    </xf>
    <xf numFmtId="169" fontId="10" fillId="0" borderId="0" xfId="0" applyNumberFormat="1" applyFont="1" applyAlignment="1">
      <alignment vertical="center"/>
    </xf>
    <xf numFmtId="172" fontId="15" fillId="0" borderId="0" xfId="1" applyNumberFormat="1" applyFont="1"/>
    <xf numFmtId="166" fontId="15" fillId="0" borderId="0" xfId="1" applyNumberFormat="1" applyFont="1"/>
    <xf numFmtId="0" fontId="15" fillId="2" borderId="0" xfId="0" applyFont="1" applyFill="1"/>
    <xf numFmtId="44" fontId="0" fillId="0" borderId="0" xfId="2" applyFont="1"/>
    <xf numFmtId="0" fontId="0" fillId="0" borderId="15" xfId="0" applyBorder="1"/>
    <xf numFmtId="0" fontId="2" fillId="0" borderId="15" xfId="0" applyFont="1" applyBorder="1"/>
    <xf numFmtId="164" fontId="0" fillId="0" borderId="15" xfId="0" applyNumberFormat="1" applyBorder="1"/>
    <xf numFmtId="173" fontId="0" fillId="0" borderId="1" xfId="1" applyNumberFormat="1" applyFont="1" applyFill="1" applyBorder="1"/>
    <xf numFmtId="173" fontId="0" fillId="0" borderId="9" xfId="1" applyNumberFormat="1" applyFont="1" applyBorder="1"/>
    <xf numFmtId="173" fontId="0" fillId="0" borderId="11" xfId="1" applyNumberFormat="1" applyFont="1" applyBorder="1"/>
    <xf numFmtId="173" fontId="0" fillId="0" borderId="11" xfId="1" applyNumberFormat="1" applyFont="1" applyFill="1" applyBorder="1"/>
    <xf numFmtId="0" fontId="26" fillId="0" borderId="0" xfId="140" applyAlignment="1">
      <alignment vertical="center"/>
    </xf>
    <xf numFmtId="0" fontId="6" fillId="0" borderId="11" xfId="0" applyFont="1" applyBorder="1"/>
    <xf numFmtId="164" fontId="12" fillId="0" borderId="0" xfId="0" applyNumberFormat="1" applyFont="1"/>
    <xf numFmtId="166" fontId="5" fillId="0" borderId="0" xfId="1" applyNumberFormat="1" applyFont="1" applyFill="1"/>
    <xf numFmtId="0" fontId="0" fillId="0" borderId="0" xfId="0" applyAlignment="1">
      <alignment horizontal="right"/>
    </xf>
    <xf numFmtId="44" fontId="0" fillId="0" borderId="0" xfId="2" applyFont="1" applyFill="1"/>
    <xf numFmtId="165" fontId="0" fillId="0" borderId="0" xfId="3" applyNumberFormat="1" applyFont="1" applyFill="1"/>
    <xf numFmtId="177" fontId="0" fillId="0" borderId="0" xfId="0" applyNumberFormat="1"/>
    <xf numFmtId="178" fontId="27" fillId="0" borderId="2" xfId="11" applyNumberFormat="1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170" fontId="0" fillId="0" borderId="1" xfId="2" applyNumberFormat="1" applyFont="1" applyBorder="1"/>
    <xf numFmtId="170" fontId="5" fillId="0" borderId="0" xfId="2" applyNumberFormat="1" applyFont="1" applyFill="1"/>
    <xf numFmtId="165" fontId="0" fillId="0" borderId="0" xfId="3" applyNumberFormat="1" applyFont="1"/>
    <xf numFmtId="172" fontId="0" fillId="0" borderId="0" xfId="1" applyNumberFormat="1" applyFont="1"/>
    <xf numFmtId="172" fontId="0" fillId="0" borderId="0" xfId="3" applyNumberFormat="1" applyFont="1" applyBorder="1"/>
    <xf numFmtId="164" fontId="0" fillId="3" borderId="0" xfId="0" applyNumberFormat="1" applyFill="1"/>
    <xf numFmtId="164" fontId="5" fillId="3" borderId="0" xfId="0" applyNumberFormat="1" applyFont="1" applyFill="1"/>
    <xf numFmtId="175" fontId="18" fillId="0" borderId="0" xfId="0" applyNumberFormat="1" applyFont="1" applyAlignment="1">
      <alignment horizontal="left"/>
    </xf>
    <xf numFmtId="166" fontId="3" fillId="2" borderId="0" xfId="0" applyNumberFormat="1" applyFont="1" applyFill="1"/>
    <xf numFmtId="164" fontId="0" fillId="12" borderId="0" xfId="0" applyNumberFormat="1" applyFill="1"/>
    <xf numFmtId="164" fontId="0" fillId="4" borderId="0" xfId="0" applyNumberFormat="1" applyFill="1"/>
    <xf numFmtId="0" fontId="2" fillId="0" borderId="0" xfId="0" applyFont="1" applyAlignment="1">
      <alignment horizontal="right"/>
    </xf>
    <xf numFmtId="164" fontId="0" fillId="13" borderId="0" xfId="1" applyNumberFormat="1" applyFont="1" applyFill="1"/>
    <xf numFmtId="10" fontId="2" fillId="0" borderId="0" xfId="3" applyNumberFormat="1" applyFont="1" applyFill="1" applyAlignment="1">
      <alignment horizontal="right"/>
    </xf>
    <xf numFmtId="43" fontId="0" fillId="0" borderId="0" xfId="1" applyFont="1"/>
    <xf numFmtId="166" fontId="8" fillId="0" borderId="0" xfId="0" applyNumberFormat="1" applyFont="1"/>
    <xf numFmtId="6" fontId="0" fillId="0" borderId="0" xfId="0" applyNumberFormat="1"/>
    <xf numFmtId="173" fontId="0" fillId="0" borderId="0" xfId="0" applyNumberFormat="1"/>
    <xf numFmtId="0" fontId="30" fillId="10" borderId="0" xfId="0" applyFont="1" applyFill="1" applyAlignment="1">
      <alignment horizontal="left"/>
    </xf>
    <xf numFmtId="0" fontId="30" fillId="10" borderId="0" xfId="0" applyFont="1" applyFill="1"/>
    <xf numFmtId="165" fontId="30" fillId="10" borderId="0" xfId="3" applyNumberFormat="1" applyFont="1" applyFill="1"/>
    <xf numFmtId="0" fontId="28" fillId="0" borderId="0" xfId="0" applyFont="1"/>
    <xf numFmtId="170" fontId="29" fillId="0" borderId="0" xfId="2" applyNumberFormat="1" applyFont="1" applyFill="1"/>
    <xf numFmtId="166" fontId="1" fillId="0" borderId="0" xfId="1" applyNumberFormat="1" applyFont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179" fontId="0" fillId="0" borderId="0" xfId="0" applyNumberFormat="1"/>
    <xf numFmtId="0" fontId="0" fillId="11" borderId="0" xfId="0" applyFill="1"/>
    <xf numFmtId="170" fontId="0" fillId="0" borderId="2" xfId="2" applyNumberFormat="1" applyFont="1" applyFill="1" applyBorder="1"/>
    <xf numFmtId="170" fontId="28" fillId="0" borderId="0" xfId="2" applyNumberFormat="1" applyFont="1" applyFill="1"/>
    <xf numFmtId="172" fontId="2" fillId="0" borderId="0" xfId="1" applyNumberFormat="1" applyFont="1" applyBorder="1"/>
    <xf numFmtId="0" fontId="32" fillId="0" borderId="0" xfId="0" applyFont="1"/>
    <xf numFmtId="170" fontId="0" fillId="0" borderId="0" xfId="2" applyNumberFormat="1" applyFont="1" applyBorder="1"/>
    <xf numFmtId="0" fontId="0" fillId="11" borderId="0" xfId="0" quotePrefix="1" applyFill="1"/>
    <xf numFmtId="44" fontId="0" fillId="11" borderId="0" xfId="2" applyFont="1" applyFill="1"/>
    <xf numFmtId="0" fontId="0" fillId="2" borderId="0" xfId="0" quotePrefix="1" applyFill="1"/>
    <xf numFmtId="44" fontId="0" fillId="2" borderId="0" xfId="2" applyFont="1" applyFill="1"/>
    <xf numFmtId="0" fontId="2" fillId="0" borderId="0" xfId="0" applyFont="1" applyAlignment="1">
      <alignment horizontal="right" wrapText="1"/>
    </xf>
    <xf numFmtId="0" fontId="0" fillId="0" borderId="0" xfId="0" quotePrefix="1"/>
    <xf numFmtId="0" fontId="0" fillId="0" borderId="0" xfId="0" applyAlignment="1">
      <alignment horizontal="left"/>
    </xf>
    <xf numFmtId="0" fontId="9" fillId="0" borderId="0" xfId="0" applyFont="1"/>
    <xf numFmtId="0" fontId="33" fillId="0" borderId="0" xfId="0" applyFont="1"/>
    <xf numFmtId="3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6" fontId="0" fillId="2" borderId="0" xfId="1" applyNumberFormat="1" applyFont="1" applyFill="1" applyBorder="1" applyAlignment="1">
      <alignment horizontal="left"/>
    </xf>
    <xf numFmtId="166" fontId="2" fillId="2" borderId="0" xfId="0" applyNumberFormat="1" applyFont="1" applyFill="1" applyAlignment="1">
      <alignment horizontal="center"/>
    </xf>
    <xf numFmtId="166" fontId="0" fillId="2" borderId="0" xfId="1" applyNumberFormat="1" applyFont="1" applyFill="1" applyBorder="1" applyAlignment="1">
      <alignment horizontal="center"/>
    </xf>
    <xf numFmtId="43" fontId="10" fillId="0" borderId="0" xfId="0" applyNumberFormat="1" applyFont="1"/>
    <xf numFmtId="0" fontId="34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9" fontId="0" fillId="2" borderId="0" xfId="3" applyFont="1" applyFill="1"/>
    <xf numFmtId="166" fontId="0" fillId="0" borderId="17" xfId="1" applyNumberFormat="1" applyFont="1" applyBorder="1"/>
    <xf numFmtId="0" fontId="2" fillId="0" borderId="0" xfId="0" quotePrefix="1" applyFont="1"/>
    <xf numFmtId="10" fontId="0" fillId="0" borderId="0" xfId="3" applyNumberFormat="1" applyFont="1" applyBorder="1"/>
    <xf numFmtId="9" fontId="0" fillId="0" borderId="0" xfId="3" applyFont="1" applyBorder="1"/>
    <xf numFmtId="164" fontId="0" fillId="13" borderId="0" xfId="0" applyNumberFormat="1" applyFill="1" applyAlignment="1">
      <alignment vertical="top"/>
    </xf>
    <xf numFmtId="164" fontId="0" fillId="2" borderId="0" xfId="0" applyNumberFormat="1" applyFill="1" applyAlignment="1">
      <alignment vertical="top"/>
    </xf>
    <xf numFmtId="166" fontId="0" fillId="13" borderId="0" xfId="1" applyNumberFormat="1" applyFont="1" applyFill="1"/>
    <xf numFmtId="174" fontId="0" fillId="0" borderId="0" xfId="1" applyNumberFormat="1" applyFont="1"/>
    <xf numFmtId="165" fontId="0" fillId="2" borderId="0" xfId="3" applyNumberFormat="1" applyFont="1" applyFill="1"/>
    <xf numFmtId="166" fontId="0" fillId="0" borderId="17" xfId="0" applyNumberFormat="1" applyBorder="1"/>
    <xf numFmtId="180" fontId="0" fillId="0" borderId="0" xfId="3" applyNumberFormat="1" applyFont="1"/>
    <xf numFmtId="180" fontId="0" fillId="0" borderId="0" xfId="0" applyNumberFormat="1"/>
    <xf numFmtId="168" fontId="0" fillId="0" borderId="0" xfId="3" applyNumberFormat="1" applyFont="1"/>
    <xf numFmtId="0" fontId="10" fillId="0" borderId="0" xfId="0" applyFont="1" applyAlignment="1">
      <alignment horizontal="right"/>
    </xf>
    <xf numFmtId="10" fontId="0" fillId="15" borderId="0" xfId="3" applyNumberFormat="1" applyFont="1" applyFill="1"/>
    <xf numFmtId="0" fontId="37" fillId="2" borderId="0" xfId="0" applyFont="1" applyFill="1"/>
    <xf numFmtId="0" fontId="2" fillId="2" borderId="0" xfId="0" applyFont="1" applyFill="1"/>
    <xf numFmtId="0" fontId="0" fillId="14" borderId="0" xfId="0" applyFill="1"/>
    <xf numFmtId="0" fontId="0" fillId="8" borderId="0" xfId="0" applyFill="1"/>
    <xf numFmtId="10" fontId="0" fillId="0" borderId="0" xfId="0" applyNumberFormat="1"/>
    <xf numFmtId="6" fontId="8" fillId="0" borderId="0" xfId="0" applyNumberFormat="1" applyFont="1"/>
    <xf numFmtId="170" fontId="0" fillId="15" borderId="0" xfId="2" applyNumberFormat="1" applyFont="1" applyFill="1"/>
    <xf numFmtId="44" fontId="0" fillId="0" borderId="0" xfId="2" applyFont="1" applyBorder="1" applyAlignment="1">
      <alignment horizontal="right"/>
    </xf>
    <xf numFmtId="166" fontId="2" fillId="0" borderId="0" xfId="0" applyNumberFormat="1" applyFont="1"/>
    <xf numFmtId="165" fontId="0" fillId="16" borderId="0" xfId="3" applyNumberFormat="1" applyFont="1" applyFill="1"/>
    <xf numFmtId="170" fontId="0" fillId="0" borderId="2" xfId="2" applyNumberFormat="1" applyFont="1" applyBorder="1"/>
    <xf numFmtId="170" fontId="5" fillId="0" borderId="0" xfId="2" applyNumberFormat="1" applyFont="1" applyFill="1" applyBorder="1"/>
    <xf numFmtId="176" fontId="36" fillId="2" borderId="0" xfId="0" applyNumberFormat="1" applyFont="1" applyFill="1"/>
    <xf numFmtId="173" fontId="0" fillId="2" borderId="0" xfId="1" applyNumberFormat="1" applyFont="1" applyFill="1"/>
    <xf numFmtId="43" fontId="8" fillId="0" borderId="0" xfId="0" applyNumberFormat="1" applyFont="1"/>
    <xf numFmtId="9" fontId="2" fillId="0" borderId="0" xfId="3" applyFont="1" applyAlignment="1">
      <alignment horizontal="center"/>
    </xf>
    <xf numFmtId="165" fontId="2" fillId="0" borderId="0" xfId="3" applyNumberFormat="1" applyFont="1" applyAlignment="1">
      <alignment horizontal="center"/>
    </xf>
    <xf numFmtId="181" fontId="0" fillId="0" borderId="0" xfId="2" applyNumberFormat="1" applyFont="1" applyFill="1"/>
    <xf numFmtId="182" fontId="0" fillId="0" borderId="0" xfId="2" applyNumberFormat="1" applyFont="1" applyFill="1"/>
    <xf numFmtId="183" fontId="0" fillId="0" borderId="0" xfId="0" applyNumberForma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66" fontId="0" fillId="14" borderId="0" xfId="1" applyNumberFormat="1" applyFont="1" applyFill="1" applyAlignment="1">
      <alignment horizontal="right"/>
    </xf>
    <xf numFmtId="0" fontId="5" fillId="14" borderId="0" xfId="0" applyFont="1" applyFill="1"/>
    <xf numFmtId="0" fontId="0" fillId="16" borderId="0" xfId="0" applyFill="1"/>
    <xf numFmtId="166" fontId="0" fillId="16" borderId="0" xfId="1" applyNumberFormat="1" applyFont="1" applyFill="1"/>
    <xf numFmtId="10" fontId="0" fillId="16" borderId="0" xfId="3" applyNumberFormat="1" applyFont="1" applyFill="1"/>
    <xf numFmtId="166" fontId="0" fillId="16" borderId="0" xfId="0" applyNumberFormat="1" applyFill="1"/>
    <xf numFmtId="10" fontId="0" fillId="16" borderId="0" xfId="0" applyNumberFormat="1" applyFill="1"/>
    <xf numFmtId="166" fontId="0" fillId="0" borderId="0" xfId="1" applyNumberFormat="1" applyFont="1" applyFill="1"/>
    <xf numFmtId="9" fontId="5" fillId="14" borderId="0" xfId="0" applyNumberFormat="1" applyFont="1" applyFill="1"/>
    <xf numFmtId="0" fontId="0" fillId="16" borderId="0" xfId="0" applyFill="1" applyAlignment="1">
      <alignment horizontal="right"/>
    </xf>
    <xf numFmtId="170" fontId="2" fillId="0" borderId="0" xfId="0" applyNumberFormat="1" applyFont="1"/>
    <xf numFmtId="170" fontId="39" fillId="0" borderId="0" xfId="2" applyNumberFormat="1" applyFont="1" applyFill="1"/>
    <xf numFmtId="10" fontId="5" fillId="14" borderId="0" xfId="0" applyNumberFormat="1" applyFont="1" applyFill="1"/>
    <xf numFmtId="10" fontId="5" fillId="14" borderId="0" xfId="3" applyNumberFormat="1" applyFont="1" applyFill="1"/>
    <xf numFmtId="10" fontId="0" fillId="14" borderId="0" xfId="0" applyNumberFormat="1" applyFill="1"/>
    <xf numFmtId="0" fontId="40" fillId="0" borderId="0" xfId="0" applyFont="1"/>
    <xf numFmtId="0" fontId="41" fillId="0" borderId="0" xfId="0" applyFont="1"/>
    <xf numFmtId="0" fontId="0" fillId="0" borderId="13" xfId="0" applyBorder="1"/>
    <xf numFmtId="164" fontId="0" fillId="0" borderId="3" xfId="0" applyNumberFormat="1" applyBorder="1"/>
    <xf numFmtId="164" fontId="0" fillId="0" borderId="14" xfId="0" applyNumberFormat="1" applyBorder="1"/>
    <xf numFmtId="164" fontId="8" fillId="0" borderId="3" xfId="0" applyNumberFormat="1" applyFont="1" applyBorder="1"/>
    <xf numFmtId="0" fontId="8" fillId="0" borderId="13" xfId="0" applyFont="1" applyBorder="1"/>
    <xf numFmtId="165" fontId="0" fillId="0" borderId="3" xfId="3" applyNumberFormat="1" applyFont="1" applyBorder="1"/>
    <xf numFmtId="10" fontId="8" fillId="0" borderId="3" xfId="3" applyNumberFormat="1" applyFont="1" applyBorder="1"/>
    <xf numFmtId="165" fontId="8" fillId="0" borderId="3" xfId="3" applyNumberFormat="1" applyFont="1" applyBorder="1"/>
    <xf numFmtId="176" fontId="8" fillId="0" borderId="3" xfId="3" applyNumberFormat="1" applyFont="1" applyBorder="1"/>
    <xf numFmtId="166" fontId="0" fillId="9" borderId="0" xfId="1" applyNumberFormat="1" applyFont="1" applyFill="1"/>
    <xf numFmtId="164" fontId="5" fillId="0" borderId="15" xfId="0" applyNumberFormat="1" applyFont="1" applyBorder="1"/>
    <xf numFmtId="164" fontId="5" fillId="9" borderId="15" xfId="0" applyNumberFormat="1" applyFont="1" applyFill="1" applyBorder="1"/>
    <xf numFmtId="166" fontId="8" fillId="0" borderId="3" xfId="1" applyNumberFormat="1" applyFont="1" applyBorder="1"/>
    <xf numFmtId="0" fontId="0" fillId="0" borderId="3" xfId="0" applyBorder="1"/>
    <xf numFmtId="0" fontId="0" fillId="0" borderId="14" xfId="0" applyBorder="1"/>
    <xf numFmtId="166" fontId="0" fillId="0" borderId="3" xfId="0" applyNumberFormat="1" applyBorder="1"/>
    <xf numFmtId="170" fontId="0" fillId="0" borderId="0" xfId="0" quotePrefix="1" applyNumberFormat="1"/>
    <xf numFmtId="0" fontId="0" fillId="5" borderId="0" xfId="0" applyFill="1"/>
    <xf numFmtId="166" fontId="0" fillId="0" borderId="0" xfId="1" applyNumberFormat="1" applyFont="1" applyFill="1" applyAlignment="1">
      <alignment horizontal="right"/>
    </xf>
    <xf numFmtId="43" fontId="0" fillId="16" borderId="0" xfId="1" applyFont="1" applyFill="1"/>
    <xf numFmtId="9" fontId="0" fillId="0" borderId="0" xfId="0" applyNumberFormat="1" applyAlignment="1">
      <alignment horizontal="right"/>
    </xf>
    <xf numFmtId="44" fontId="0" fillId="0" borderId="0" xfId="2" applyFont="1" applyFill="1" applyBorder="1"/>
    <xf numFmtId="166" fontId="0" fillId="0" borderId="0" xfId="0" applyNumberFormat="1" applyFill="1"/>
    <xf numFmtId="166" fontId="0" fillId="0" borderId="2" xfId="0" applyNumberFormat="1" applyFill="1" applyBorder="1"/>
    <xf numFmtId="174" fontId="15" fillId="0" borderId="0" xfId="0" applyNumberFormat="1" applyFont="1"/>
    <xf numFmtId="173" fontId="15" fillId="0" borderId="0" xfId="0" applyNumberFormat="1" applyFont="1"/>
    <xf numFmtId="173" fontId="0" fillId="2" borderId="0" xfId="0" applyNumberFormat="1" applyFill="1"/>
    <xf numFmtId="166" fontId="3" fillId="0" borderId="0" xfId="0" applyNumberFormat="1" applyFont="1"/>
    <xf numFmtId="168" fontId="18" fillId="0" borderId="0" xfId="0" applyNumberFormat="1" applyFont="1"/>
    <xf numFmtId="10" fontId="0" fillId="0" borderId="10" xfId="3" applyNumberFormat="1" applyFont="1" applyBorder="1"/>
    <xf numFmtId="10" fontId="0" fillId="0" borderId="12" xfId="3" applyNumberFormat="1" applyFont="1" applyBorder="1"/>
    <xf numFmtId="10" fontId="0" fillId="0" borderId="5" xfId="3" applyNumberFormat="1" applyFont="1" applyBorder="1"/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9" xfId="0" applyFont="1" applyBorder="1" applyAlignment="1">
      <alignment horizontal="center"/>
    </xf>
    <xf numFmtId="172" fontId="2" fillId="0" borderId="9" xfId="1" applyNumberFormat="1" applyFont="1" applyBorder="1"/>
    <xf numFmtId="166" fontId="0" fillId="0" borderId="0" xfId="1" applyNumberFormat="1" applyFont="1" applyBorder="1"/>
    <xf numFmtId="166" fontId="0" fillId="0" borderId="0" xfId="0" applyNumberFormat="1" applyBorder="1"/>
    <xf numFmtId="44" fontId="0" fillId="0" borderId="0" xfId="2" applyFont="1" applyBorder="1"/>
    <xf numFmtId="44" fontId="0" fillId="0" borderId="10" xfId="2" applyFont="1" applyBorder="1"/>
    <xf numFmtId="172" fontId="2" fillId="0" borderId="11" xfId="1" applyNumberFormat="1" applyFont="1" applyBorder="1"/>
    <xf numFmtId="166" fontId="0" fillId="0" borderId="1" xfId="1" applyNumberFormat="1" applyFont="1" applyBorder="1"/>
    <xf numFmtId="166" fontId="0" fillId="0" borderId="1" xfId="0" applyNumberFormat="1" applyBorder="1"/>
    <xf numFmtId="44" fontId="0" fillId="0" borderId="1" xfId="2" applyFont="1" applyFill="1" applyBorder="1"/>
    <xf numFmtId="44" fontId="0" fillId="0" borderId="1" xfId="2" applyFont="1" applyBorder="1"/>
    <xf numFmtId="44" fontId="0" fillId="0" borderId="12" xfId="2" applyFont="1" applyBorder="1"/>
    <xf numFmtId="165" fontId="0" fillId="5" borderId="0" xfId="3" applyNumberFormat="1" applyFont="1" applyFill="1"/>
    <xf numFmtId="0" fontId="6" fillId="0" borderId="2" xfId="0" applyFont="1" applyBorder="1"/>
    <xf numFmtId="0" fontId="6" fillId="0" borderId="0" xfId="0" applyFont="1"/>
    <xf numFmtId="0" fontId="42" fillId="0" borderId="0" xfId="0" applyFont="1"/>
    <xf numFmtId="170" fontId="6" fillId="0" borderId="0" xfId="2" applyNumberFormat="1" applyFont="1" applyFill="1"/>
    <xf numFmtId="170" fontId="2" fillId="0" borderId="0" xfId="2" applyNumberFormat="1" applyFont="1" applyFill="1"/>
    <xf numFmtId="170" fontId="2" fillId="0" borderId="0" xfId="2" applyNumberFormat="1" applyFont="1" applyFill="1" applyBorder="1"/>
    <xf numFmtId="0" fontId="43" fillId="0" borderId="0" xfId="0" applyFont="1"/>
    <xf numFmtId="164" fontId="2" fillId="3" borderId="0" xfId="0" applyNumberFormat="1" applyFont="1" applyFill="1"/>
    <xf numFmtId="0" fontId="5" fillId="0" borderId="0" xfId="0" applyFont="1" applyFill="1" applyBorder="1"/>
    <xf numFmtId="173" fontId="0" fillId="0" borderId="10" xfId="0" applyNumberFormat="1" applyBorder="1"/>
    <xf numFmtId="173" fontId="0" fillId="0" borderId="12" xfId="0" applyNumberFormat="1" applyBorder="1"/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/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0" fillId="2" borderId="5" xfId="3" applyNumberFormat="1" applyFont="1" applyFill="1" applyBorder="1"/>
    <xf numFmtId="0" fontId="5" fillId="2" borderId="0" xfId="0" applyFont="1" applyFill="1"/>
    <xf numFmtId="167" fontId="0" fillId="2" borderId="0" xfId="0" applyNumberFormat="1" applyFill="1"/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2" fillId="11" borderId="4" xfId="0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2" fillId="14" borderId="0" xfId="0" applyFont="1" applyFill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2" fillId="0" borderId="0" xfId="0" applyFont="1" applyAlignment="1">
      <alignment horizontal="right" wrapText="1" indent="1"/>
    </xf>
    <xf numFmtId="0" fontId="2" fillId="0" borderId="0" xfId="0" applyFont="1" applyAlignment="1">
      <alignment horizontal="right" wrapText="1"/>
    </xf>
    <xf numFmtId="0" fontId="13" fillId="0" borderId="17" xfId="30" applyFont="1" applyBorder="1" applyAlignment="1">
      <alignment horizontal="center" vertical="center"/>
    </xf>
    <xf numFmtId="0" fontId="13" fillId="0" borderId="0" xfId="30" applyFont="1" applyAlignment="1">
      <alignment horizontal="center" vertical="center"/>
    </xf>
    <xf numFmtId="0" fontId="19" fillId="0" borderId="0" xfId="30" applyFont="1" applyAlignment="1">
      <alignment horizontal="left" vertical="top" wrapText="1"/>
    </xf>
    <xf numFmtId="0" fontId="10" fillId="0" borderId="0" xfId="3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top" wrapText="1"/>
    </xf>
    <xf numFmtId="169" fontId="10" fillId="0" borderId="0" xfId="0" applyNumberFormat="1" applyFont="1" applyAlignment="1">
      <alignment horizontal="center" vertical="center"/>
    </xf>
    <xf numFmtId="169" fontId="10" fillId="0" borderId="0" xfId="30" applyNumberFormat="1" applyFont="1" applyAlignment="1">
      <alignment horizontal="center" vertical="center"/>
    </xf>
    <xf numFmtId="0" fontId="10" fillId="0" borderId="0" xfId="30" applyFont="1" applyAlignment="1">
      <alignment horizontal="center" vertical="center"/>
    </xf>
    <xf numFmtId="0" fontId="10" fillId="0" borderId="0" xfId="0" applyFont="1" applyAlignment="1">
      <alignment horizontal="center"/>
    </xf>
  </cellXfs>
  <cellStyles count="142">
    <cellStyle name="Comma" xfId="1" builtinId="3"/>
    <cellStyle name="Comma 2" xfId="7" xr:uid="{00000000-0005-0000-0000-000001000000}"/>
    <cellStyle name="Comma 2 2" xfId="107" xr:uid="{00000000-0005-0000-0000-000002000000}"/>
    <cellStyle name="Comma 2 3" xfId="87" xr:uid="{00000000-0005-0000-0000-000003000000}"/>
    <cellStyle name="Comma 21" xfId="4" xr:uid="{00000000-0005-0000-0000-000004000000}"/>
    <cellStyle name="Comma 3" xfId="6" xr:uid="{00000000-0005-0000-0000-000005000000}"/>
    <cellStyle name="Comma 3 2" xfId="88" xr:uid="{00000000-0005-0000-0000-000006000000}"/>
    <cellStyle name="Comma 3 3" xfId="141" xr:uid="{777013A3-64EB-4B85-8628-4EDD6A143799}"/>
    <cellStyle name="Comma 4" xfId="93" xr:uid="{00000000-0005-0000-0000-000007000000}"/>
    <cellStyle name="Comma 5" xfId="98" xr:uid="{00000000-0005-0000-0000-000008000000}"/>
    <cellStyle name="Comma 6" xfId="100" xr:uid="{00000000-0005-0000-0000-000009000000}"/>
    <cellStyle name="Comma 7" xfId="103" xr:uid="{00000000-0005-0000-0000-00000A000000}"/>
    <cellStyle name="Comma 8" xfId="112" xr:uid="{00000000-0005-0000-0000-00000B000000}"/>
    <cellStyle name="Comma 8 2" xfId="119" xr:uid="{00000000-0005-0000-0000-00000C000000}"/>
    <cellStyle name="Comma 9" xfId="116" xr:uid="{00000000-0005-0000-0000-00000D000000}"/>
    <cellStyle name="Currency" xfId="2" builtinId="4"/>
    <cellStyle name="Currency 16 2" xfId="16" xr:uid="{00000000-0005-0000-0000-00000F000000}"/>
    <cellStyle name="Currency 2" xfId="8" xr:uid="{00000000-0005-0000-0000-000010000000}"/>
    <cellStyle name="Currency 2 2" xfId="106" xr:uid="{00000000-0005-0000-0000-000011000000}"/>
    <cellStyle name="Currency 2 3" xfId="89" xr:uid="{00000000-0005-0000-0000-000012000000}"/>
    <cellStyle name="Currency 3" xfId="15" xr:uid="{00000000-0005-0000-0000-000013000000}"/>
    <cellStyle name="Currency 4" xfId="102" xr:uid="{00000000-0005-0000-0000-000014000000}"/>
    <cellStyle name="Currency 5" xfId="105" xr:uid="{00000000-0005-0000-0000-000015000000}"/>
    <cellStyle name="Currency 6" xfId="114" xr:uid="{00000000-0005-0000-0000-000016000000}"/>
    <cellStyle name="Currency 7" xfId="118" xr:uid="{00000000-0005-0000-0000-000017000000}"/>
    <cellStyle name="Currency 7 2" xfId="125" xr:uid="{00000000-0005-0000-0000-000018000000}"/>
    <cellStyle name="Currency 7 3" xfId="128" xr:uid="{00000000-0005-0000-0000-000019000000}"/>
    <cellStyle name="Currency 7 3 2" xfId="131" xr:uid="{00000000-0005-0000-0000-00001A000000}"/>
    <cellStyle name="Currency 7 3 2 2" xfId="134" xr:uid="{00000000-0005-0000-0000-00001B000000}"/>
    <cellStyle name="Currency 7 3 2 2 2" xfId="138" xr:uid="{00000000-0005-0000-0000-00001C000000}"/>
    <cellStyle name="Currency 8" xfId="136" xr:uid="{00000000-0005-0000-0000-00001D000000}"/>
    <cellStyle name="Hyperlink" xfId="140" builtinId="8"/>
    <cellStyle name="Normal" xfId="0" builtinId="0"/>
    <cellStyle name="Normal 10" xfId="17" xr:uid="{00000000-0005-0000-0000-00001F000000}"/>
    <cellStyle name="Normal 10 2" xfId="113" xr:uid="{00000000-0005-0000-0000-000020000000}"/>
    <cellStyle name="Normal 11" xfId="18" xr:uid="{00000000-0005-0000-0000-000021000000}"/>
    <cellStyle name="Normal 11 2" xfId="117" xr:uid="{00000000-0005-0000-0000-000022000000}"/>
    <cellStyle name="Normal 12" xfId="19" xr:uid="{00000000-0005-0000-0000-000023000000}"/>
    <cellStyle name="Normal 12 2" xfId="20" xr:uid="{00000000-0005-0000-0000-000024000000}"/>
    <cellStyle name="Normal 12 3" xfId="120" xr:uid="{00000000-0005-0000-0000-000025000000}"/>
    <cellStyle name="Normal 13" xfId="21" xr:uid="{00000000-0005-0000-0000-000026000000}"/>
    <cellStyle name="Normal 13 2" xfId="121" xr:uid="{00000000-0005-0000-0000-000027000000}"/>
    <cellStyle name="Normal 14" xfId="22" xr:uid="{00000000-0005-0000-0000-000028000000}"/>
    <cellStyle name="Normal 14 2" xfId="122" xr:uid="{00000000-0005-0000-0000-000029000000}"/>
    <cellStyle name="Normal 15" xfId="23" xr:uid="{00000000-0005-0000-0000-00002A000000}"/>
    <cellStyle name="Normal 15 2" xfId="123" xr:uid="{00000000-0005-0000-0000-00002B000000}"/>
    <cellStyle name="Normal 16" xfId="24" xr:uid="{00000000-0005-0000-0000-00002C000000}"/>
    <cellStyle name="Normal 16 2" xfId="124" xr:uid="{00000000-0005-0000-0000-00002D000000}"/>
    <cellStyle name="Normal 17" xfId="25" xr:uid="{00000000-0005-0000-0000-00002E000000}"/>
    <cellStyle name="Normal 17 2" xfId="126" xr:uid="{00000000-0005-0000-0000-00002F000000}"/>
    <cellStyle name="Normal 17 6" xfId="26" xr:uid="{00000000-0005-0000-0000-000030000000}"/>
    <cellStyle name="Normal 18" xfId="27" xr:uid="{00000000-0005-0000-0000-000031000000}"/>
    <cellStyle name="Normal 18 2" xfId="127" xr:uid="{00000000-0005-0000-0000-000032000000}"/>
    <cellStyle name="Normal 19" xfId="28" xr:uid="{00000000-0005-0000-0000-000033000000}"/>
    <cellStyle name="Normal 19 2" xfId="129" xr:uid="{00000000-0005-0000-0000-000034000000}"/>
    <cellStyle name="Normal 2" xfId="5" xr:uid="{00000000-0005-0000-0000-000035000000}"/>
    <cellStyle name="Normal 2 2" xfId="29" xr:uid="{00000000-0005-0000-0000-000036000000}"/>
    <cellStyle name="Normal 2 2 2" xfId="108" xr:uid="{00000000-0005-0000-0000-000037000000}"/>
    <cellStyle name="Normal 2 3" xfId="30" xr:uid="{00000000-0005-0000-0000-000038000000}"/>
    <cellStyle name="Normal 2 4" xfId="90" xr:uid="{00000000-0005-0000-0000-000039000000}"/>
    <cellStyle name="Normal 20" xfId="31" xr:uid="{00000000-0005-0000-0000-00003A000000}"/>
    <cellStyle name="Normal 20 2" xfId="130" xr:uid="{00000000-0005-0000-0000-00003B000000}"/>
    <cellStyle name="Normal 21" xfId="32" xr:uid="{00000000-0005-0000-0000-00003C000000}"/>
    <cellStyle name="Normal 21 2" xfId="132" xr:uid="{00000000-0005-0000-0000-00003D000000}"/>
    <cellStyle name="Normal 22" xfId="33" xr:uid="{00000000-0005-0000-0000-00003E000000}"/>
    <cellStyle name="Normal 22 2" xfId="133" xr:uid="{00000000-0005-0000-0000-00003F000000}"/>
    <cellStyle name="Normal 228" xfId="9" xr:uid="{00000000-0005-0000-0000-000040000000}"/>
    <cellStyle name="Normal 23" xfId="34" xr:uid="{00000000-0005-0000-0000-000041000000}"/>
    <cellStyle name="Normal 23 2" xfId="135" xr:uid="{00000000-0005-0000-0000-000042000000}"/>
    <cellStyle name="Normal 230" xfId="10" xr:uid="{00000000-0005-0000-0000-000043000000}"/>
    <cellStyle name="Normal 24" xfId="35" xr:uid="{00000000-0005-0000-0000-000044000000}"/>
    <cellStyle name="Normal 24 2" xfId="137" xr:uid="{00000000-0005-0000-0000-000045000000}"/>
    <cellStyle name="Normal 240" xfId="11" xr:uid="{00000000-0005-0000-0000-000046000000}"/>
    <cellStyle name="Normal 241" xfId="12" xr:uid="{00000000-0005-0000-0000-000047000000}"/>
    <cellStyle name="Normal 25" xfId="36" xr:uid="{00000000-0005-0000-0000-000048000000}"/>
    <cellStyle name="Normal 25 2" xfId="139" xr:uid="{00000000-0005-0000-0000-000049000000}"/>
    <cellStyle name="Normal 26" xfId="37" xr:uid="{00000000-0005-0000-0000-00004A000000}"/>
    <cellStyle name="Normal 27" xfId="38" xr:uid="{00000000-0005-0000-0000-00004B000000}"/>
    <cellStyle name="Normal 28" xfId="39" xr:uid="{00000000-0005-0000-0000-00004C000000}"/>
    <cellStyle name="Normal 29" xfId="40" xr:uid="{00000000-0005-0000-0000-00004D000000}"/>
    <cellStyle name="Normal 3" xfId="41" xr:uid="{00000000-0005-0000-0000-00004E000000}"/>
    <cellStyle name="Normal 3 2" xfId="42" xr:uid="{00000000-0005-0000-0000-00004F000000}"/>
    <cellStyle name="Normal 3 3" xfId="43" xr:uid="{00000000-0005-0000-0000-000050000000}"/>
    <cellStyle name="Normal 30" xfId="44" xr:uid="{00000000-0005-0000-0000-000051000000}"/>
    <cellStyle name="Normal 31" xfId="45" xr:uid="{00000000-0005-0000-0000-000052000000}"/>
    <cellStyle name="Normal 32" xfId="46" xr:uid="{00000000-0005-0000-0000-000053000000}"/>
    <cellStyle name="Normal 33" xfId="47" xr:uid="{00000000-0005-0000-0000-000054000000}"/>
    <cellStyle name="Normal 34" xfId="48" xr:uid="{00000000-0005-0000-0000-000055000000}"/>
    <cellStyle name="Normal 35" xfId="49" xr:uid="{00000000-0005-0000-0000-000056000000}"/>
    <cellStyle name="Normal 36" xfId="50" xr:uid="{00000000-0005-0000-0000-000057000000}"/>
    <cellStyle name="Normal 37" xfId="51" xr:uid="{00000000-0005-0000-0000-000058000000}"/>
    <cellStyle name="Normal 38" xfId="52" xr:uid="{00000000-0005-0000-0000-000059000000}"/>
    <cellStyle name="Normal 39" xfId="53" xr:uid="{00000000-0005-0000-0000-00005A000000}"/>
    <cellStyle name="Normal 4" xfId="54" xr:uid="{00000000-0005-0000-0000-00005B000000}"/>
    <cellStyle name="Normal 4 2" xfId="96" xr:uid="{00000000-0005-0000-0000-00005C000000}"/>
    <cellStyle name="Normal 40" xfId="55" xr:uid="{00000000-0005-0000-0000-00005D000000}"/>
    <cellStyle name="Normal 41" xfId="56" xr:uid="{00000000-0005-0000-0000-00005E000000}"/>
    <cellStyle name="Normal 42" xfId="57" xr:uid="{00000000-0005-0000-0000-00005F000000}"/>
    <cellStyle name="Normal 43" xfId="58" xr:uid="{00000000-0005-0000-0000-000060000000}"/>
    <cellStyle name="Normal 44" xfId="59" xr:uid="{00000000-0005-0000-0000-000061000000}"/>
    <cellStyle name="Normal 45" xfId="60" xr:uid="{00000000-0005-0000-0000-000062000000}"/>
    <cellStyle name="Normal 46" xfId="61" xr:uid="{00000000-0005-0000-0000-000063000000}"/>
    <cellStyle name="Normal 47" xfId="62" xr:uid="{00000000-0005-0000-0000-000064000000}"/>
    <cellStyle name="Normal 48" xfId="63" xr:uid="{00000000-0005-0000-0000-000065000000}"/>
    <cellStyle name="Normal 49" xfId="64" xr:uid="{00000000-0005-0000-0000-000066000000}"/>
    <cellStyle name="Normal 5" xfId="65" xr:uid="{00000000-0005-0000-0000-000067000000}"/>
    <cellStyle name="Normal 5 2" xfId="97" xr:uid="{00000000-0005-0000-0000-000068000000}"/>
    <cellStyle name="Normal 50" xfId="66" xr:uid="{00000000-0005-0000-0000-000069000000}"/>
    <cellStyle name="Normal 51" xfId="67" xr:uid="{00000000-0005-0000-0000-00006A000000}"/>
    <cellStyle name="Normal 52" xfId="68" xr:uid="{00000000-0005-0000-0000-00006B000000}"/>
    <cellStyle name="Normal 53" xfId="69" xr:uid="{00000000-0005-0000-0000-00006C000000}"/>
    <cellStyle name="Normal 54" xfId="70" xr:uid="{00000000-0005-0000-0000-00006D000000}"/>
    <cellStyle name="Normal 55" xfId="71" xr:uid="{00000000-0005-0000-0000-00006E000000}"/>
    <cellStyle name="Normal 56" xfId="72" xr:uid="{00000000-0005-0000-0000-00006F000000}"/>
    <cellStyle name="Normal 57" xfId="73" xr:uid="{00000000-0005-0000-0000-000070000000}"/>
    <cellStyle name="Normal 58" xfId="74" xr:uid="{00000000-0005-0000-0000-000071000000}"/>
    <cellStyle name="Normal 59" xfId="75" xr:uid="{00000000-0005-0000-0000-000072000000}"/>
    <cellStyle name="Normal 6" xfId="76" xr:uid="{00000000-0005-0000-0000-000073000000}"/>
    <cellStyle name="Normal 6 2" xfId="109" xr:uid="{00000000-0005-0000-0000-000074000000}"/>
    <cellStyle name="Normal 6 3" xfId="95" xr:uid="{00000000-0005-0000-0000-000075000000}"/>
    <cellStyle name="Normal 60" xfId="77" xr:uid="{00000000-0005-0000-0000-000076000000}"/>
    <cellStyle name="Normal 61" xfId="78" xr:uid="{00000000-0005-0000-0000-000077000000}"/>
    <cellStyle name="Normal 62" xfId="79" xr:uid="{00000000-0005-0000-0000-000078000000}"/>
    <cellStyle name="Normal 63" xfId="80" xr:uid="{00000000-0005-0000-0000-000079000000}"/>
    <cellStyle name="Normal 64" xfId="85" xr:uid="{00000000-0005-0000-0000-00007A000000}"/>
    <cellStyle name="Normal 65" xfId="86" xr:uid="{00000000-0005-0000-0000-00007B000000}"/>
    <cellStyle name="Normal 7" xfId="81" xr:uid="{00000000-0005-0000-0000-00007C000000}"/>
    <cellStyle name="Normal 7 2" xfId="99" xr:uid="{00000000-0005-0000-0000-00007D000000}"/>
    <cellStyle name="Normal 8" xfId="82" xr:uid="{00000000-0005-0000-0000-00007E000000}"/>
    <cellStyle name="Normal 8 2" xfId="104" xr:uid="{00000000-0005-0000-0000-00007F000000}"/>
    <cellStyle name="Normal 9" xfId="83" xr:uid="{00000000-0005-0000-0000-000080000000}"/>
    <cellStyle name="Normal 9 2" xfId="111" xr:uid="{00000000-0005-0000-0000-000081000000}"/>
    <cellStyle name="Percent" xfId="3" builtinId="5"/>
    <cellStyle name="Percent 11 2" xfId="84" xr:uid="{00000000-0005-0000-0000-000083000000}"/>
    <cellStyle name="Percent 2" xfId="14" xr:uid="{00000000-0005-0000-0000-000084000000}"/>
    <cellStyle name="Percent 2 2" xfId="110" xr:uid="{00000000-0005-0000-0000-000085000000}"/>
    <cellStyle name="Percent 2 3" xfId="92" xr:uid="{00000000-0005-0000-0000-000086000000}"/>
    <cellStyle name="Percent 3" xfId="13" xr:uid="{00000000-0005-0000-0000-000087000000}"/>
    <cellStyle name="Percent 3 2" xfId="94" xr:uid="{00000000-0005-0000-0000-000088000000}"/>
    <cellStyle name="Percent 4" xfId="101" xr:uid="{00000000-0005-0000-0000-000089000000}"/>
    <cellStyle name="Percent 5" xfId="115" xr:uid="{00000000-0005-0000-0000-00008A000000}"/>
    <cellStyle name="Percent 6" xfId="91" xr:uid="{00000000-0005-0000-0000-00008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 years_PSD Surrebuttal'!$D$135</c:f>
              <c:strCache>
                <c:ptCount val="1"/>
                <c:pt idx="0">
                  <c:v>Annual Industrial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'15 years_PSD Surrebuttal'!$E$2:$Y$2</c:f>
              <c:numCache>
                <c:formatCode>General</c:formatCode>
                <c:ptCount val="2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  <c:pt idx="13">
                  <c:v>2033</c:v>
                </c:pt>
                <c:pt idx="14">
                  <c:v>2034</c:v>
                </c:pt>
                <c:pt idx="15">
                  <c:v>2035</c:v>
                </c:pt>
                <c:pt idx="16">
                  <c:v>2036</c:v>
                </c:pt>
                <c:pt idx="17">
                  <c:v>2037</c:v>
                </c:pt>
                <c:pt idx="18">
                  <c:v>2038</c:v>
                </c:pt>
                <c:pt idx="19">
                  <c:v>2039</c:v>
                </c:pt>
                <c:pt idx="20">
                  <c:v>2040</c:v>
                </c:pt>
              </c:numCache>
            </c:numRef>
          </c:cat>
          <c:val>
            <c:numRef>
              <c:f>'15 years_PSD Surrebuttal'!$E$135:$Y$135</c:f>
              <c:numCache>
                <c:formatCode>"$"#,##0.00</c:formatCode>
                <c:ptCount val="21"/>
                <c:pt idx="0" formatCode="&quot;$&quot;#,##0.0">
                  <c:v>12707.10890909091</c:v>
                </c:pt>
                <c:pt idx="1">
                  <c:v>13061.510361057555</c:v>
                </c:pt>
                <c:pt idx="2">
                  <c:v>13520.290289922586</c:v>
                </c:pt>
                <c:pt idx="3">
                  <c:v>14176.590062006146</c:v>
                </c:pt>
                <c:pt idx="4">
                  <c:v>14852.825799150247</c:v>
                </c:pt>
                <c:pt idx="5">
                  <c:v>15584.986774783079</c:v>
                </c:pt>
                <c:pt idx="6">
                  <c:v>16405.275557144676</c:v>
                </c:pt>
                <c:pt idx="7">
                  <c:v>17309.297728054116</c:v>
                </c:pt>
                <c:pt idx="8">
                  <c:v>18177.056323343018</c:v>
                </c:pt>
                <c:pt idx="9">
                  <c:v>19106.363531633255</c:v>
                </c:pt>
                <c:pt idx="10">
                  <c:v>20065.356496007778</c:v>
                </c:pt>
                <c:pt idx="11">
                  <c:v>21070.85385069203</c:v>
                </c:pt>
                <c:pt idx="12">
                  <c:v>22181.269374728054</c:v>
                </c:pt>
                <c:pt idx="13">
                  <c:v>23297.879127849272</c:v>
                </c:pt>
                <c:pt idx="14">
                  <c:v>24334.608302503158</c:v>
                </c:pt>
                <c:pt idx="15">
                  <c:v>25450.778480427627</c:v>
                </c:pt>
                <c:pt idx="16">
                  <c:v>26501.975043590635</c:v>
                </c:pt>
                <c:pt idx="17">
                  <c:v>27248.581167416964</c:v>
                </c:pt>
                <c:pt idx="18">
                  <c:v>28057.826812592582</c:v>
                </c:pt>
                <c:pt idx="19">
                  <c:v>28507.274801290521</c:v>
                </c:pt>
                <c:pt idx="20">
                  <c:v>27808.777144033626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98-4C5A-AB66-013152E14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0733856"/>
        <c:axId val="620735496"/>
      </c:lineChart>
      <c:catAx>
        <c:axId val="62073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35496"/>
        <c:crosses val="autoZero"/>
        <c:auto val="1"/>
        <c:lblAlgn val="ctr"/>
        <c:lblOffset val="100"/>
        <c:noMultiLvlLbl val="0"/>
      </c:catAx>
      <c:valAx>
        <c:axId val="620735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33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G1 &amp; G2 Tariff</a:t>
            </a:r>
            <a:r>
              <a:rPr lang="en-US" baseline="0"/>
              <a:t> Customers EEC Annually - PSD proposal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 years_PSD Surrebuttal'!$D$131</c:f>
              <c:strCache>
                <c:ptCount val="1"/>
                <c:pt idx="0">
                  <c:v>Annual G1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'15 years_PSD Surrebuttal'!$E$131:$Y$131</c:f>
              <c:numCache>
                <c:formatCode>"$"#,##0.00</c:formatCode>
                <c:ptCount val="21"/>
                <c:pt idx="0" formatCode="&quot;$&quot;#,##0.0">
                  <c:v>69.000755120506696</c:v>
                </c:pt>
                <c:pt idx="1">
                  <c:v>70.24045679943606</c:v>
                </c:pt>
                <c:pt idx="2">
                  <c:v>72.176562681558991</c:v>
                </c:pt>
                <c:pt idx="3">
                  <c:v>75.300007802535063</c:v>
                </c:pt>
                <c:pt idx="4">
                  <c:v>78.636578013720595</c:v>
                </c:pt>
                <c:pt idx="5">
                  <c:v>81.855454254329516</c:v>
                </c:pt>
                <c:pt idx="6">
                  <c:v>85.649066621062929</c:v>
                </c:pt>
                <c:pt idx="7">
                  <c:v>89.830461443615022</c:v>
                </c:pt>
                <c:pt idx="8">
                  <c:v>93.773429006025523</c:v>
                </c:pt>
                <c:pt idx="9">
                  <c:v>97.983547000288155</c:v>
                </c:pt>
                <c:pt idx="10">
                  <c:v>102.29337890885334</c:v>
                </c:pt>
                <c:pt idx="11">
                  <c:v>106.78461005906892</c:v>
                </c:pt>
                <c:pt idx="12">
                  <c:v>111.74782661671179</c:v>
                </c:pt>
                <c:pt idx="13">
                  <c:v>116.67972960483544</c:v>
                </c:pt>
                <c:pt idx="14">
                  <c:v>121.15178330728843</c:v>
                </c:pt>
                <c:pt idx="15">
                  <c:v>125.96008471260512</c:v>
                </c:pt>
                <c:pt idx="16">
                  <c:v>130.38764546471407</c:v>
                </c:pt>
                <c:pt idx="17">
                  <c:v>133.26872489019414</c:v>
                </c:pt>
                <c:pt idx="18">
                  <c:v>136.41566807005421</c:v>
                </c:pt>
                <c:pt idx="19">
                  <c:v>137.78166897540117</c:v>
                </c:pt>
                <c:pt idx="20">
                  <c:v>133.6111485011881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75-4D89-AC5E-CC7BD0BF5265}"/>
            </c:ext>
          </c:extLst>
        </c:ser>
        <c:ser>
          <c:idx val="1"/>
          <c:order val="1"/>
          <c:tx>
            <c:strRef>
              <c:f>'15 years_PSD Surrebuttal'!$D$132</c:f>
              <c:strCache>
                <c:ptCount val="1"/>
                <c:pt idx="0">
                  <c:v>Annual G2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'15 years_PSD Surrebuttal'!$E$132:$Y$132</c:f>
              <c:numCache>
                <c:formatCode>"$"#,##0.00</c:formatCode>
                <c:ptCount val="21"/>
                <c:pt idx="0" formatCode="&quot;$&quot;#,##0.0">
                  <c:v>70.85349584487534</c:v>
                </c:pt>
                <c:pt idx="1">
                  <c:v>72.545510214797616</c:v>
                </c:pt>
                <c:pt idx="2">
                  <c:v>74.966915261720317</c:v>
                </c:pt>
                <c:pt idx="3">
                  <c:v>78.39391666919407</c:v>
                </c:pt>
                <c:pt idx="4">
                  <c:v>82.113923781038622</c:v>
                </c:pt>
                <c:pt idx="5">
                  <c:v>85.880869402085949</c:v>
                </c:pt>
                <c:pt idx="6">
                  <c:v>90.224203835045927</c:v>
                </c:pt>
                <c:pt idx="7">
                  <c:v>95.009644390997465</c:v>
                </c:pt>
                <c:pt idx="8">
                  <c:v>99.577149725269649</c:v>
                </c:pt>
                <c:pt idx="9">
                  <c:v>104.46269907917033</c:v>
                </c:pt>
                <c:pt idx="10">
                  <c:v>109.49047142216415</c:v>
                </c:pt>
                <c:pt idx="11">
                  <c:v>114.75113445481776</c:v>
                </c:pt>
                <c:pt idx="12">
                  <c:v>120.5607167169013</c:v>
                </c:pt>
                <c:pt idx="13">
                  <c:v>126.38034786288156</c:v>
                </c:pt>
                <c:pt idx="14">
                  <c:v>131.7438680739296</c:v>
                </c:pt>
                <c:pt idx="15">
                  <c:v>137.51471329269683</c:v>
                </c:pt>
                <c:pt idx="16">
                  <c:v>142.9116176962925</c:v>
                </c:pt>
                <c:pt idx="17">
                  <c:v>146.64711854902146</c:v>
                </c:pt>
                <c:pt idx="18">
                  <c:v>150.70343844770429</c:v>
                </c:pt>
                <c:pt idx="19">
                  <c:v>152.81411308225185</c:v>
                </c:pt>
                <c:pt idx="20">
                  <c:v>148.77413177457123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75-4D89-AC5E-CC7BD0BF5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0749272"/>
        <c:axId val="620748944"/>
      </c:lineChart>
      <c:catAx>
        <c:axId val="620749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48944"/>
        <c:crosses val="autoZero"/>
        <c:auto val="1"/>
        <c:lblAlgn val="ctr"/>
        <c:lblOffset val="100"/>
        <c:noMultiLvlLbl val="0"/>
      </c:catAx>
      <c:valAx>
        <c:axId val="62074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49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G3 &amp; G4 Tariff Customers EEC Annually</a:t>
            </a:r>
            <a:r>
              <a:rPr lang="en-US" baseline="0"/>
              <a:t> - PSD proposal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 years_PSD Surrebuttal'!$D$133</c:f>
              <c:strCache>
                <c:ptCount val="1"/>
                <c:pt idx="0">
                  <c:v>Annual G3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'15 years_PSD Surrebuttal'!$E$133:$Y$133</c:f>
              <c:numCache>
                <c:formatCode>"$"#,##0.00</c:formatCode>
                <c:ptCount val="21"/>
                <c:pt idx="0" formatCode="&quot;$&quot;#,##0.0">
                  <c:v>506.13893129770992</c:v>
                </c:pt>
                <c:pt idx="1">
                  <c:v>513.7714180581321</c:v>
                </c:pt>
                <c:pt idx="2">
                  <c:v>527.25269345200252</c:v>
                </c:pt>
                <c:pt idx="3">
                  <c:v>548.4316810368432</c:v>
                </c:pt>
                <c:pt idx="4">
                  <c:v>571.59988176880836</c:v>
                </c:pt>
                <c:pt idx="5">
                  <c:v>593.79666288573503</c:v>
                </c:pt>
                <c:pt idx="6">
                  <c:v>619.8788808913788</c:v>
                </c:pt>
                <c:pt idx="7">
                  <c:v>648.59198559583297</c:v>
                </c:pt>
                <c:pt idx="8">
                  <c:v>675.39985932714944</c:v>
                </c:pt>
                <c:pt idx="9">
                  <c:v>703.94192167808558</c:v>
                </c:pt>
                <c:pt idx="10">
                  <c:v>732.99797355786211</c:v>
                </c:pt>
                <c:pt idx="11">
                  <c:v>763.13836335575309</c:v>
                </c:pt>
                <c:pt idx="12">
                  <c:v>796.41679371079249</c:v>
                </c:pt>
                <c:pt idx="13">
                  <c:v>829.22101476281682</c:v>
                </c:pt>
                <c:pt idx="14">
                  <c:v>858.50855275275569</c:v>
                </c:pt>
                <c:pt idx="15">
                  <c:v>889.92528963958898</c:v>
                </c:pt>
                <c:pt idx="16">
                  <c:v>918.39217352030664</c:v>
                </c:pt>
                <c:pt idx="17">
                  <c:v>935.74151189574013</c:v>
                </c:pt>
                <c:pt idx="18">
                  <c:v>954.75527962440606</c:v>
                </c:pt>
                <c:pt idx="19">
                  <c:v>961.13208831786346</c:v>
                </c:pt>
                <c:pt idx="20">
                  <c:v>928.88343695821573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8E-4FE5-BEA5-F15E0719B3C9}"/>
            </c:ext>
          </c:extLst>
        </c:ser>
        <c:ser>
          <c:idx val="1"/>
          <c:order val="1"/>
          <c:tx>
            <c:strRef>
              <c:f>'15 years_PSD Surrebuttal'!$D$134</c:f>
              <c:strCache>
                <c:ptCount val="1"/>
                <c:pt idx="0">
                  <c:v>Annual G4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'15 years_PSD Surrebuttal'!$E$134:$Y$134</c:f>
              <c:numCache>
                <c:formatCode>"$"#,##0.00</c:formatCode>
                <c:ptCount val="21"/>
                <c:pt idx="0" formatCode="&quot;$&quot;#,##0.0">
                  <c:v>745.97980315805614</c:v>
                </c:pt>
                <c:pt idx="1">
                  <c:v>762.23120307879412</c:v>
                </c:pt>
                <c:pt idx="2">
                  <c:v>785.62554481959432</c:v>
                </c:pt>
                <c:pt idx="3">
                  <c:v>820.38956126508913</c:v>
                </c:pt>
                <c:pt idx="4">
                  <c:v>856.30840853766108</c:v>
                </c:pt>
                <c:pt idx="5">
                  <c:v>894.00763373523546</c:v>
                </c:pt>
                <c:pt idx="6">
                  <c:v>937.19231422456335</c:v>
                </c:pt>
                <c:pt idx="7">
                  <c:v>984.76803346424924</c:v>
                </c:pt>
                <c:pt idx="8">
                  <c:v>1029.8790691271945</c:v>
                </c:pt>
                <c:pt idx="9">
                  <c:v>1078.0719624824815</c:v>
                </c:pt>
                <c:pt idx="10">
                  <c:v>1127.5153289694438</c:v>
                </c:pt>
                <c:pt idx="11">
                  <c:v>1179.1233841166086</c:v>
                </c:pt>
                <c:pt idx="12">
                  <c:v>1236.1202040824062</c:v>
                </c:pt>
                <c:pt idx="13">
                  <c:v>1292.9552761688426</c:v>
                </c:pt>
                <c:pt idx="14">
                  <c:v>1344.8686234719908</c:v>
                </c:pt>
                <c:pt idx="15">
                  <c:v>1400.6850846146924</c:v>
                </c:pt>
                <c:pt idx="16">
                  <c:v>1452.4363719664045</c:v>
                </c:pt>
                <c:pt idx="17">
                  <c:v>1487.0914821407564</c:v>
                </c:pt>
                <c:pt idx="18">
                  <c:v>1524.8185940167216</c:v>
                </c:pt>
                <c:pt idx="19">
                  <c:v>1542.7146753366001</c:v>
                </c:pt>
                <c:pt idx="20">
                  <c:v>1498.5558267463668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8E-4FE5-BEA5-F15E0719B3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0701384"/>
        <c:axId val="620704992"/>
      </c:lineChart>
      <c:catAx>
        <c:axId val="620701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04992"/>
        <c:crosses val="autoZero"/>
        <c:auto val="1"/>
        <c:lblAlgn val="ctr"/>
        <c:lblOffset val="100"/>
        <c:noMultiLvlLbl val="0"/>
      </c:catAx>
      <c:valAx>
        <c:axId val="620704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01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Figure 4: Residential Customer</a:t>
            </a:r>
            <a:r>
              <a:rPr lang="en-US" baseline="0"/>
              <a:t> Average Annual EEC Increase Above Current Levels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 years_PSD Surrebuttal'!$E$72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'15 years_PSD Surrebuttal'!$F$2:$Y$2</c:f>
              <c:numCache>
                <c:formatCode>General</c:formatCode>
                <c:ptCount val="2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</c:numCache>
            </c:numRef>
          </c:cat>
          <c:val>
            <c:numRef>
              <c:f>'15 years_PSD Surrebuttal'!$F$122:$Y$122</c:f>
              <c:numCache>
                <c:formatCode>_("$"* #,##0.00_);_("$"* \(#,##0.00\);_("$"* "-"??_);_(@_)</c:formatCode>
                <c:ptCount val="20"/>
                <c:pt idx="0">
                  <c:v>0.72081095731993372</c:v>
                </c:pt>
                <c:pt idx="1">
                  <c:v>1.8678716963637783</c:v>
                </c:pt>
                <c:pt idx="2">
                  <c:v>3.7561149734956771</c:v>
                </c:pt>
                <c:pt idx="3">
                  <c:v>5.5907562376184501</c:v>
                </c:pt>
                <c:pt idx="4">
                  <c:v>7.6765767446902657</c:v>
                </c:pt>
                <c:pt idx="5">
                  <c:v>9.9280707479437211</c:v>
                </c:pt>
                <c:pt idx="6">
                  <c:v>12.409014897472069</c:v>
                </c:pt>
                <c:pt idx="7">
                  <c:v>14.755070643522934</c:v>
                </c:pt>
                <c:pt idx="8">
                  <c:v>17.260678774078933</c:v>
                </c:pt>
                <c:pt idx="9">
                  <c:v>19.828458259246432</c:v>
                </c:pt>
                <c:pt idx="10">
                  <c:v>22.506594508831022</c:v>
                </c:pt>
                <c:pt idx="11">
                  <c:v>25.465295654705933</c:v>
                </c:pt>
                <c:pt idx="12">
                  <c:v>28.4106649629204</c:v>
                </c:pt>
                <c:pt idx="13">
                  <c:v>31.091554163462725</c:v>
                </c:pt>
                <c:pt idx="14">
                  <c:v>33.974052819975817</c:v>
                </c:pt>
                <c:pt idx="15">
                  <c:v>36.637843037436959</c:v>
                </c:pt>
                <c:pt idx="16">
                  <c:v>38.397511536783433</c:v>
                </c:pt>
                <c:pt idx="17">
                  <c:v>40.316216307510906</c:v>
                </c:pt>
                <c:pt idx="18">
                  <c:v>41.189883266067419</c:v>
                </c:pt>
                <c:pt idx="19">
                  <c:v>38.803841662240679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F6-43D8-8862-FD21E938348A}"/>
            </c:ext>
          </c:extLst>
        </c:ser>
        <c:ser>
          <c:idx val="1"/>
          <c:order val="1"/>
          <c:tx>
            <c:v>VGS Rebuttal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'15 years_PSD Surrebuttal'!$F$2:$Y$2</c:f>
              <c:numCache>
                <c:formatCode>General</c:formatCode>
                <c:ptCount val="2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</c:numCache>
            </c:numRef>
          </c:cat>
          <c:val>
            <c:numLit>
              <c:formatCode>General</c:formatCode>
              <c:ptCount val="20"/>
              <c:pt idx="0">
                <c:v>2.083978665619135</c:v>
              </c:pt>
              <c:pt idx="1">
                <c:v>4.1846045270942085</c:v>
              </c:pt>
              <c:pt idx="2">
                <c:v>7.7385744901766387</c:v>
              </c:pt>
              <c:pt idx="3">
                <c:v>12.192606387167537</c:v>
              </c:pt>
              <c:pt idx="4">
                <c:v>17.490706559038244</c:v>
              </c:pt>
              <c:pt idx="5">
                <c:v>22.118130738280122</c:v>
              </c:pt>
              <c:pt idx="6">
                <c:v>25.421756915047716</c:v>
              </c:pt>
              <c:pt idx="7">
                <c:v>27.828862654319032</c:v>
              </c:pt>
              <c:pt idx="8">
                <c:v>29.697299863770262</c:v>
              </c:pt>
              <c:pt idx="9">
                <c:v>30.909705131462722</c:v>
              </c:pt>
              <c:pt idx="10">
                <c:v>46.596944208600839</c:v>
              </c:pt>
              <c:pt idx="11">
                <c:v>46.664745969059844</c:v>
              </c:pt>
              <c:pt idx="12">
                <c:v>45.946358928541095</c:v>
              </c:pt>
              <c:pt idx="13">
                <c:v>46.050863734562817</c:v>
              </c:pt>
              <c:pt idx="14">
                <c:v>46.464177278610258</c:v>
              </c:pt>
              <c:pt idx="15">
                <c:v>44.81351098913624</c:v>
              </c:pt>
              <c:pt idx="16">
                <c:v>45.035534531621472</c:v>
              </c:pt>
              <c:pt idx="17">
                <c:v>43.797948876134107</c:v>
              </c:pt>
              <c:pt idx="18">
                <c:v>40.340025390255839</c:v>
              </c:pt>
              <c:pt idx="19">
                <c:v>39.095239559860026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0F6-43D8-8862-FD21E9383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1458520"/>
        <c:axId val="681461800"/>
      </c:lineChart>
      <c:catAx>
        <c:axId val="68145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461800"/>
        <c:crosses val="autoZero"/>
        <c:auto val="1"/>
        <c:lblAlgn val="ctr"/>
        <c:lblOffset val="100"/>
        <c:noMultiLvlLbl val="0"/>
      </c:catAx>
      <c:valAx>
        <c:axId val="68146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458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Figure 5: Industrial Customer</a:t>
            </a:r>
            <a:r>
              <a:rPr lang="en-US" baseline="0"/>
              <a:t> Average Annual EEC Increase Above Current Levels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 years_PSD Surrebuttal'!$E$72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'15 years_PSD Surrebuttal'!$F$2:$Y$2</c:f>
              <c:numCache>
                <c:formatCode>General</c:formatCode>
                <c:ptCount val="2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</c:numCache>
            </c:numRef>
          </c:cat>
          <c:val>
            <c:numRef>
              <c:f>'15 years_PSD Surrebuttal'!$F$142:$Y$142</c:f>
              <c:numCache>
                <c:formatCode>"$"#,##0.00</c:formatCode>
                <c:ptCount val="20"/>
                <c:pt idx="0">
                  <c:v>354.40145196664525</c:v>
                </c:pt>
                <c:pt idx="1">
                  <c:v>813.18138083167651</c:v>
                </c:pt>
                <c:pt idx="2">
                  <c:v>1469.4811529152357</c:v>
                </c:pt>
                <c:pt idx="3">
                  <c:v>2145.7168900593369</c:v>
                </c:pt>
                <c:pt idx="4">
                  <c:v>2877.8778656921695</c:v>
                </c:pt>
                <c:pt idx="5">
                  <c:v>3698.166648053766</c:v>
                </c:pt>
                <c:pt idx="6">
                  <c:v>4602.1888189632064</c:v>
                </c:pt>
                <c:pt idx="7">
                  <c:v>5469.9474142521085</c:v>
                </c:pt>
                <c:pt idx="8">
                  <c:v>6399.2546225423448</c:v>
                </c:pt>
                <c:pt idx="9">
                  <c:v>7358.2475869168684</c:v>
                </c:pt>
                <c:pt idx="10">
                  <c:v>8363.7449416011204</c:v>
                </c:pt>
                <c:pt idx="11">
                  <c:v>9474.1604656371437</c:v>
                </c:pt>
                <c:pt idx="12">
                  <c:v>10590.770218758362</c:v>
                </c:pt>
                <c:pt idx="13">
                  <c:v>11627.499393412249</c:v>
                </c:pt>
                <c:pt idx="14">
                  <c:v>12743.669571336717</c:v>
                </c:pt>
                <c:pt idx="15">
                  <c:v>13794.866134499725</c:v>
                </c:pt>
                <c:pt idx="16">
                  <c:v>14541.472258326054</c:v>
                </c:pt>
                <c:pt idx="17">
                  <c:v>15350.717903501672</c:v>
                </c:pt>
                <c:pt idx="18">
                  <c:v>15800.165892199611</c:v>
                </c:pt>
                <c:pt idx="19">
                  <c:v>15101.668234942716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74-40C5-AB9B-76A2254CDEE1}"/>
            </c:ext>
          </c:extLst>
        </c:ser>
        <c:ser>
          <c:idx val="1"/>
          <c:order val="1"/>
          <c:tx>
            <c:v>VGS Rebuttal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'15 years_PSD Surrebuttal'!$F$2:$Y$2</c:f>
              <c:numCache>
                <c:formatCode>General</c:formatCode>
                <c:ptCount val="2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</c:numCache>
            </c:numRef>
          </c:cat>
          <c:val>
            <c:numLit>
              <c:formatCode>General</c:formatCode>
              <c:ptCount val="20"/>
              <c:pt idx="0">
                <c:v>792.84033513074974</c:v>
              </c:pt>
              <c:pt idx="1">
                <c:v>1563.3025624033362</c:v>
              </c:pt>
              <c:pt idx="2">
                <c:v>2763.0365599187389</c:v>
              </c:pt>
              <c:pt idx="3">
                <c:v>4301.7441515147457</c:v>
              </c:pt>
              <c:pt idx="4">
                <c:v>6093.4866003300976</c:v>
              </c:pt>
              <c:pt idx="5">
                <c:v>7712.4591857602554</c:v>
              </c:pt>
              <c:pt idx="6">
                <c:v>8909.0512440739385</c:v>
              </c:pt>
              <c:pt idx="7">
                <c:v>9818.8542566487613</c:v>
              </c:pt>
              <c:pt idx="8">
                <c:v>10557.065746267983</c:v>
              </c:pt>
              <c:pt idx="9">
                <c:v>11081.584947056612</c:v>
              </c:pt>
              <c:pt idx="10">
                <c:v>16498.970185183425</c:v>
              </c:pt>
              <c:pt idx="11">
                <c:v>16669.233487318968</c:v>
              </c:pt>
              <c:pt idx="12">
                <c:v>16572.395337766065</c:v>
              </c:pt>
              <c:pt idx="13">
                <c:v>16756.054225891552</c:v>
              </c:pt>
              <c:pt idx="14">
                <c:v>17047.341148340551</c:v>
              </c:pt>
              <c:pt idx="15">
                <c:v>16626.168663581746</c:v>
              </c:pt>
              <c:pt idx="16">
                <c:v>16851.910295508947</c:v>
              </c:pt>
              <c:pt idx="17">
                <c:v>16568.712831446173</c:v>
              </c:pt>
              <c:pt idx="18">
                <c:v>15501.357413887132</c:v>
              </c:pt>
              <c:pt idx="19">
                <c:v>15204.643212426598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774-40C5-AB9B-76A2254CD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1458520"/>
        <c:axId val="681461800"/>
      </c:lineChart>
      <c:catAx>
        <c:axId val="681458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461800"/>
        <c:crosses val="autoZero"/>
        <c:auto val="1"/>
        <c:lblAlgn val="ctr"/>
        <c:lblOffset val="100"/>
        <c:noMultiLvlLbl val="0"/>
      </c:catAx>
      <c:valAx>
        <c:axId val="68146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458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127</xdr:row>
      <xdr:rowOff>28575</xdr:rowOff>
    </xdr:from>
    <xdr:to>
      <xdr:col>18</xdr:col>
      <xdr:colOff>647700</xdr:colOff>
      <xdr:row>141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FB31AA-8190-41CA-B348-71B53321A6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323850</xdr:colOff>
      <xdr:row>144</xdr:row>
      <xdr:rowOff>76200</xdr:rowOff>
    </xdr:from>
    <xdr:to>
      <xdr:col>12</xdr:col>
      <xdr:colOff>76200</xdr:colOff>
      <xdr:row>157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918AD44-E6E8-4D1A-996A-8339FF5734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462492</xdr:colOff>
      <xdr:row>130</xdr:row>
      <xdr:rowOff>176742</xdr:rowOff>
    </xdr:from>
    <xdr:to>
      <xdr:col>12</xdr:col>
      <xdr:colOff>215900</xdr:colOff>
      <xdr:row>145</xdr:row>
      <xdr:rowOff>73025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F5C9A29-150D-4A3D-A54D-26C96D350A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556815</xdr:colOff>
      <xdr:row>118</xdr:row>
      <xdr:rowOff>125412</xdr:rowOff>
    </xdr:from>
    <xdr:to>
      <xdr:col>13</xdr:col>
      <xdr:colOff>98027</xdr:colOff>
      <xdr:row>134</xdr:row>
      <xdr:rowOff>11112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9F8C2CA-5B6A-42B7-BD42-E48E23F37D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120</xdr:row>
      <xdr:rowOff>0</xdr:rowOff>
    </xdr:from>
    <xdr:to>
      <xdr:col>19</xdr:col>
      <xdr:colOff>422275</xdr:colOff>
      <xdr:row>135</xdr:row>
      <xdr:rowOff>64294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7F443C6-E6E6-4DDE-896E-ED746BFCB6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3</xdr:row>
      <xdr:rowOff>95250</xdr:rowOff>
    </xdr:from>
    <xdr:to>
      <xdr:col>13</xdr:col>
      <xdr:colOff>222637</xdr:colOff>
      <xdr:row>22</xdr:row>
      <xdr:rowOff>31927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DDC53B-40E7-45AB-AF34-A0C5F6706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950" y="647700"/>
          <a:ext cx="7531487" cy="343552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13</xdr:col>
      <xdr:colOff>114682</xdr:colOff>
      <xdr:row>45</xdr:row>
      <xdr:rowOff>63702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F7E7A41-C966-4279-90FA-71DA1F386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4419600"/>
          <a:ext cx="7429882" cy="39308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SM\CESCRE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rmontgas-my.sharepoint.com/EVERYONE/DSM/GDS%20Potential%20Data%20request/#1) and #4) Revised Sales Forecast load and custom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rmontgas-my.sharepoint.com/Users/karen/AppData/Local/Microsoft/Windows/INetCache/IE/S16VVTEM/Exhibit-1-Appendix-C-2019-2021-Plan-Data-Tables-10-31-18-Statewide-G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rmontgas-my.sharepoint.com/Users/karen/AppData/Local/Microsoft/Windows/INetCache/Content.Outlook/RUR8G27T/RATE%20HISTOR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Inputs"/>
      <sheetName val="F"/>
      <sheetName val="G"/>
      <sheetName val="Measure Database"/>
      <sheetName val="Sheet1"/>
      <sheetName val="Outputs"/>
      <sheetName val="J"/>
      <sheetName val="K"/>
      <sheetName val="L"/>
      <sheetName val="M"/>
      <sheetName val="results"/>
      <sheetName val="Module1"/>
      <sheetName val="Measure Screening"/>
      <sheetName val="J: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5">
          <cell r="A35" t="str">
            <v>pd</v>
          </cell>
          <cell r="B35">
            <v>1</v>
          </cell>
          <cell r="C35" t="str">
            <v>peak day offset is 0</v>
          </cell>
        </row>
        <row r="36">
          <cell r="A36" t="str">
            <v>pp</v>
          </cell>
          <cell r="B36">
            <v>2</v>
          </cell>
          <cell r="C36" t="str">
            <v>peak period offset is 1</v>
          </cell>
        </row>
        <row r="37">
          <cell r="A37" t="str">
            <v>op</v>
          </cell>
          <cell r="B37">
            <v>4</v>
          </cell>
          <cell r="C37" t="str">
            <v>off-peak offset is 2</v>
          </cell>
        </row>
        <row r="38">
          <cell r="A38" t="str">
            <v>sp</v>
          </cell>
          <cell r="B38">
            <v>3</v>
          </cell>
          <cell r="C38" t="str">
            <v>shoulder period offset</v>
          </cell>
        </row>
        <row r="39">
          <cell r="A39" t="str">
            <v>meas_name</v>
          </cell>
          <cell r="B39" t="str">
            <v>m1</v>
          </cell>
          <cell r="C39" t="str">
            <v>name of measure considered</v>
          </cell>
        </row>
        <row r="40">
          <cell r="A40" t="str">
            <v>percent_imp</v>
          </cell>
          <cell r="B40">
            <v>0</v>
          </cell>
          <cell r="C40" t="str">
            <v>percent implementation in a given year</v>
          </cell>
        </row>
        <row r="41">
          <cell r="A41" t="str">
            <v>meas_life</v>
          </cell>
          <cell r="B41" t="e">
            <v>#REF!</v>
          </cell>
          <cell r="C41" t="str">
            <v>measure lifetime</v>
          </cell>
        </row>
        <row r="42">
          <cell r="A42" t="str">
            <v>pd_sav</v>
          </cell>
          <cell r="B42">
            <v>80.975849999999994</v>
          </cell>
          <cell r="C42" t="str">
            <v>measure savings in peak day</v>
          </cell>
        </row>
        <row r="43">
          <cell r="A43" t="str">
            <v>pp_sav</v>
          </cell>
          <cell r="B43">
            <v>591.90589999999997</v>
          </cell>
          <cell r="C43" t="str">
            <v>measure savings in peak period</v>
          </cell>
        </row>
        <row r="44">
          <cell r="A44" t="str">
            <v>sp_sav</v>
          </cell>
          <cell r="B44">
            <v>4908.7250000000004</v>
          </cell>
          <cell r="C44" t="str">
            <v>measure savings in shoulder period</v>
          </cell>
        </row>
        <row r="45">
          <cell r="A45" t="str">
            <v>op_sav</v>
          </cell>
          <cell r="B45">
            <v>1545.078</v>
          </cell>
          <cell r="C45" t="str">
            <v>measure savings in off-peak period</v>
          </cell>
        </row>
        <row r="46">
          <cell r="A46" t="str">
            <v>cur_pvpd</v>
          </cell>
          <cell r="B46" t="e">
            <v>#REF!</v>
          </cell>
        </row>
        <row r="47">
          <cell r="A47" t="str">
            <v>cur_pvpp</v>
          </cell>
          <cell r="B47" t="e">
            <v>#REF!</v>
          </cell>
        </row>
      </sheetData>
      <sheetData sheetId="11" refreshError="1"/>
      <sheetData sheetId="12" refreshError="1"/>
      <sheetData sheetId="13" refreshError="1">
        <row r="3">
          <cell r="H3">
            <v>0.04</v>
          </cell>
        </row>
        <row r="4">
          <cell r="H4">
            <v>9.8400000000000001E-2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mer and Load Forecast"/>
      <sheetName val="Use per DD"/>
      <sheetName val="degree days"/>
      <sheetName val="Addison"/>
    </sheetNames>
    <sheetDataSet>
      <sheetData sheetId="0" refreshError="1"/>
      <sheetData sheetId="1"/>
      <sheetData sheetId="2" refreshError="1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"/>
      <sheetName val="Master Sector"/>
      <sheetName val="Overview"/>
      <sheetName val="Ref"/>
      <sheetName val="FundingG"/>
      <sheetName val="Budget"/>
      <sheetName val="Budget, Hist"/>
      <sheetName val="PPA"/>
      <sheetName val="Cost-Effectiveness"/>
      <sheetName val="TRC Costs, Hist"/>
      <sheetName val="Benefits"/>
      <sheetName val="Benefits, Hist"/>
      <sheetName val="Savings"/>
      <sheetName val="Savings, Hist"/>
      <sheetName val="PI"/>
      <sheetName val="LI Allocation"/>
      <sheetName val="Compet Proc"/>
      <sheetName val="Compet Proc, Hist"/>
      <sheetName val="Master Sum"/>
      <sheetName val="GH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tes"/>
      <sheetName val="Bills"/>
      <sheetName val="Change history"/>
      <sheetName val="PGA History"/>
      <sheetName val="Change Sum"/>
      <sheetName val="January"/>
      <sheetName val="Sheet1"/>
      <sheetName val="Graph of Rate History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drea McNeil" id="{BDFA6D57-7F8D-46C1-950F-2982F245A6DC}" userId="S::akean@vermontgas.com::2bfa78b5-a755-4ec8-874d-37b18a7f1f7f" providerId="AD"/>
  <person displayName="Karen Horne" id="{66ECD156-2DB0-4D97-907F-32BBE926CFA4}" userId="S::karen@vermontgas.com::affc8e81-9689-4c12-a6fc-ce2b4717ea8f" providerId="AD"/>
  <person displayName="Andrea McNeil" id="{7C970C2D-F475-4186-A8DA-B4C9C13B3F58}" userId="S::amcneil@vermontgas.com::9344cca2-5cc3-4a23-91cd-213ce340b8bf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5" dT="2020-10-29T00:21:32.21" personId="{66ECD156-2DB0-4D97-907F-32BBE926CFA4}" id="{8E0FE317-429A-4FAE-9E36-CFD9C8BE9CB0}">
    <text>Row 44 from TJ Poor workpapers in PSD surrebuttal worksheet, additional investment added on to BAU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8" dT="2022-09-27T12:45:38.26" personId="{7C970C2D-F475-4186-A8DA-B4C9C13B3F58}" id="{334063F4-1721-4E3A-8241-CAA0DFCC7616}">
    <text>From EEC Filing- updated annually</text>
  </threadedComment>
  <threadedComment ref="T8" dT="2022-09-27T12:45:38.26" personId="{7C970C2D-F475-4186-A8DA-B4C9C13B3F58}" id="{DBAD477F-18C6-458A-AE9A-5E76B6566BE0}">
    <text>From EEC Filing- updated annually</text>
  </threadedComment>
  <threadedComment ref="AF8" dT="2022-09-27T12:45:38.26" personId="{7C970C2D-F475-4186-A8DA-B4C9C13B3F58}" id="{AC530CF5-E680-4801-ADDE-0B47364D329E}">
    <text>From EEC Filing- updated annually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K74" dT="2020-01-20T17:36:51.26" personId="{BDFA6D57-7F8D-46C1-950F-2982F245A6DC}" id="{F78C77F7-542D-4AF1-9839-4DE05E7357F9}">
    <text>adjusted formula here</text>
  </threadedComment>
  <threadedComment ref="F215" dT="2019-12-11T17:19:07.81" personId="{BDFA6D57-7F8D-46C1-950F-2982F245A6DC}" id="{B6D24799-7278-4843-B99F-324745973DD2}">
    <text>may want to switch to an AVG consistent w ratebase investment</text>
  </threadedComment>
  <threadedComment ref="J230" dT="2019-12-11T21:35:00.18" personId="{BDFA6D57-7F8D-46C1-950F-2982F245A6DC}" id="{38AE12E2-B1B2-4DFA-91D0-6BD60D825638}">
    <text>See calc below would have a 1% increase on overall rates here too</text>
  </threadedComment>
  <threadedComment ref="D242" dT="2019-12-11T21:39:04.11" personId="{BDFA6D57-7F8D-46C1-950F-2982F245A6DC}" id="{3B83AE2E-4409-4227-BE39-BE7C139A2F53}">
    <text>5 year average cost/program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vermontgas-my.sharepoint.com/personal/TARIFFS" TargetMode="External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219AA-08A7-46B7-8950-465A06166AEA}">
  <sheetPr>
    <tabColor theme="9"/>
    <pageSetUpPr fitToPage="1"/>
  </sheetPr>
  <dimension ref="A1:AB54"/>
  <sheetViews>
    <sheetView zoomScale="90" zoomScaleNormal="90" workbookViewId="0">
      <selection activeCell="B2" sqref="B2:B5"/>
    </sheetView>
  </sheetViews>
  <sheetFormatPr defaultRowHeight="14.5"/>
  <cols>
    <col min="1" max="1" width="29.54296875" customWidth="1"/>
    <col min="2" max="2" width="15.81640625" customWidth="1"/>
    <col min="3" max="3" width="14.26953125" customWidth="1"/>
    <col min="4" max="4" width="16.1796875" customWidth="1"/>
    <col min="5" max="5" width="12.453125" customWidth="1"/>
    <col min="6" max="6" width="13.6328125" customWidth="1"/>
    <col min="7" max="7" width="11.36328125" customWidth="1"/>
    <col min="8" max="8" width="11.54296875" customWidth="1"/>
    <col min="9" max="9" width="7.453125" customWidth="1"/>
    <col min="10" max="10" width="18.1796875" customWidth="1"/>
    <col min="11" max="11" width="12.7265625" customWidth="1"/>
    <col min="12" max="12" width="15.54296875" hidden="1" customWidth="1"/>
    <col min="13" max="13" width="14.54296875" hidden="1" customWidth="1"/>
    <col min="14" max="14" width="15.26953125" customWidth="1"/>
    <col min="15" max="15" width="22" customWidth="1"/>
    <col min="16" max="16" width="20.81640625" customWidth="1"/>
    <col min="17" max="17" width="18.81640625" customWidth="1"/>
    <col min="18" max="18" width="13.54296875" customWidth="1"/>
    <col min="19" max="19" width="13.453125" customWidth="1"/>
    <col min="20" max="20" width="13.26953125" bestFit="1" customWidth="1"/>
    <col min="21" max="21" width="14.54296875" customWidth="1"/>
    <col min="22" max="22" width="13.54296875" bestFit="1" customWidth="1"/>
    <col min="24" max="24" width="13.54296875" bestFit="1" customWidth="1"/>
    <col min="25" max="25" width="10.1796875" bestFit="1" customWidth="1"/>
  </cols>
  <sheetData>
    <row r="1" spans="1:28" ht="25.5" customHeight="1" thickBot="1">
      <c r="A1" s="89" t="s">
        <v>0</v>
      </c>
      <c r="B1" s="90"/>
      <c r="C1" s="90"/>
      <c r="H1" s="330" t="s">
        <v>1</v>
      </c>
      <c r="I1" s="331"/>
      <c r="J1" s="332"/>
      <c r="K1" s="332"/>
    </row>
    <row r="2" spans="1:28" ht="14.5" customHeight="1">
      <c r="A2" s="30"/>
      <c r="B2" s="315" t="s">
        <v>2</v>
      </c>
      <c r="C2" s="315" t="s">
        <v>3</v>
      </c>
      <c r="D2" s="324" t="s">
        <v>4</v>
      </c>
      <c r="E2" s="315" t="s">
        <v>5</v>
      </c>
      <c r="F2" s="315" t="s">
        <v>6</v>
      </c>
      <c r="G2" s="315" t="s">
        <v>7</v>
      </c>
      <c r="H2" s="318" t="s">
        <v>8</v>
      </c>
      <c r="I2" s="321" t="s">
        <v>9</v>
      </c>
      <c r="J2" s="316"/>
    </row>
    <row r="3" spans="1:28" ht="14.5" customHeight="1">
      <c r="A3" s="31"/>
      <c r="B3" s="316"/>
      <c r="C3" s="316"/>
      <c r="D3" s="325"/>
      <c r="E3" s="316"/>
      <c r="F3" s="316"/>
      <c r="G3" s="316"/>
      <c r="H3" s="319"/>
      <c r="I3" s="322"/>
      <c r="J3" s="316"/>
      <c r="L3" s="9"/>
      <c r="S3" t="s">
        <v>389</v>
      </c>
    </row>
    <row r="4" spans="1:28" ht="15" thickBot="1">
      <c r="A4" s="31"/>
      <c r="B4" s="316"/>
      <c r="C4" s="316"/>
      <c r="D4" s="325"/>
      <c r="E4" s="316"/>
      <c r="F4" s="316"/>
      <c r="G4" s="316"/>
      <c r="H4" s="319"/>
      <c r="I4" s="322"/>
      <c r="J4" s="316"/>
    </row>
    <row r="5" spans="1:28" ht="15" thickBot="1">
      <c r="A5" s="32"/>
      <c r="B5" s="317"/>
      <c r="C5" s="317"/>
      <c r="D5" s="326"/>
      <c r="E5" s="317"/>
      <c r="F5" s="317"/>
      <c r="G5" s="317"/>
      <c r="H5" s="320"/>
      <c r="I5" s="323"/>
      <c r="J5" s="316"/>
      <c r="K5" s="30"/>
      <c r="L5" s="280" t="s">
        <v>10</v>
      </c>
      <c r="M5" s="280" t="s">
        <v>10</v>
      </c>
      <c r="N5" s="327" t="s">
        <v>11</v>
      </c>
      <c r="O5" s="327"/>
      <c r="P5" s="327" t="s">
        <v>365</v>
      </c>
      <c r="Q5" s="328"/>
      <c r="S5" s="306"/>
      <c r="T5" s="307">
        <v>2022</v>
      </c>
      <c r="U5" s="308">
        <v>2023</v>
      </c>
      <c r="Z5" s="329"/>
      <c r="AA5" s="329"/>
    </row>
    <row r="6" spans="1:28" ht="15" thickBot="1">
      <c r="A6" s="30"/>
      <c r="B6" s="22"/>
      <c r="C6" s="23"/>
      <c r="D6" s="24"/>
      <c r="E6" s="24"/>
      <c r="F6" s="23"/>
      <c r="G6" s="24"/>
      <c r="H6" s="30"/>
      <c r="I6" s="25"/>
      <c r="K6" s="31"/>
      <c r="L6" s="281" t="s">
        <v>12</v>
      </c>
      <c r="M6" s="281" t="s">
        <v>13</v>
      </c>
      <c r="N6" s="13" t="s">
        <v>14</v>
      </c>
      <c r="O6" s="13" t="s">
        <v>15</v>
      </c>
      <c r="P6" s="13" t="s">
        <v>16</v>
      </c>
      <c r="Q6" s="282" t="s">
        <v>17</v>
      </c>
      <c r="S6" s="309"/>
      <c r="T6" s="310" t="s">
        <v>388</v>
      </c>
      <c r="U6" s="311" t="s">
        <v>388</v>
      </c>
    </row>
    <row r="7" spans="1:28">
      <c r="A7" s="21" t="s">
        <v>18</v>
      </c>
      <c r="B7" s="22">
        <f>'VGS forecast'!BV20-'AVG Liap customers'!C24</f>
        <v>3778154.4018385541</v>
      </c>
      <c r="C7" s="46">
        <f>'VGS rates'!BQ7</f>
        <v>5.1400000000000001E-2</v>
      </c>
      <c r="D7" s="2">
        <f>C7*B7*10</f>
        <v>1941971.3625450167</v>
      </c>
      <c r="E7" s="33">
        <f>D7/$D$14</f>
        <v>0.52204918039647552</v>
      </c>
      <c r="F7" s="6">
        <f t="shared" ref="F7:F13" si="0">E7*$C$42</f>
        <v>1910304.7060162965</v>
      </c>
      <c r="G7" s="46">
        <f>ROUND(F7/B7,4)</f>
        <v>0.50560000000000005</v>
      </c>
      <c r="H7" s="128">
        <f>G7/10</f>
        <v>5.0560000000000008E-2</v>
      </c>
      <c r="I7" s="41">
        <f>H7/C7-1</f>
        <v>-1.6342412451361699E-2</v>
      </c>
      <c r="J7" s="174"/>
      <c r="K7" s="283" t="str">
        <f t="shared" ref="K7:K13" si="1">A7</f>
        <v>Residential</v>
      </c>
      <c r="L7" s="284">
        <f>'VGS forecast'!BU33-2043</f>
        <v>46587.75</v>
      </c>
      <c r="M7" s="285">
        <f t="shared" ref="M7:M13" si="2">B7/L7</f>
        <v>81.097593290909174</v>
      </c>
      <c r="N7" s="269">
        <f>M7*10*C7</f>
        <v>41.68416295152732</v>
      </c>
      <c r="O7" s="269">
        <f>$M7*10*$H7</f>
        <v>41.002943167883686</v>
      </c>
      <c r="P7" s="286">
        <f>O7-N7</f>
        <v>-0.681219783643634</v>
      </c>
      <c r="Q7" s="287">
        <f>P7/12</f>
        <v>-5.6768315303636165E-2</v>
      </c>
      <c r="R7" s="9"/>
      <c r="S7" s="283" t="str">
        <f t="shared" ref="S7:S13" si="3">K7</f>
        <v>Residential</v>
      </c>
      <c r="T7" s="46">
        <f t="shared" ref="T7:T13" si="4">C7</f>
        <v>5.1400000000000001E-2</v>
      </c>
      <c r="U7" s="304">
        <f>H7</f>
        <v>5.0560000000000008E-2</v>
      </c>
      <c r="V7" s="136"/>
      <c r="W7" s="136"/>
      <c r="X7" s="136"/>
      <c r="Y7" s="136"/>
      <c r="Z7" s="136"/>
      <c r="AA7" s="136"/>
      <c r="AB7" s="9"/>
    </row>
    <row r="8" spans="1:28">
      <c r="A8" s="21" t="s">
        <v>19</v>
      </c>
      <c r="B8" s="22">
        <f>'AVG Liap customers'!C24</f>
        <v>189266.59816144611</v>
      </c>
      <c r="C8" s="46">
        <f>C7*0.8</f>
        <v>4.1120000000000004E-2</v>
      </c>
      <c r="D8" s="2">
        <f>C8*B8*10</f>
        <v>77826.425163986642</v>
      </c>
      <c r="E8" s="36">
        <f>D8/$D$14</f>
        <v>2.092163780252709E-2</v>
      </c>
      <c r="F8" s="6">
        <f t="shared" si="0"/>
        <v>76557.352549395495</v>
      </c>
      <c r="G8" s="46">
        <f>ROUND(F8/B8,4)</f>
        <v>0.40450000000000003</v>
      </c>
      <c r="H8" s="128">
        <f>G8/10</f>
        <v>4.045E-2</v>
      </c>
      <c r="I8" s="41">
        <f>H8/C8-1</f>
        <v>-1.6293774319066201E-2</v>
      </c>
      <c r="J8" s="174"/>
      <c r="K8" s="283" t="str">
        <f t="shared" si="1"/>
        <v>Low Income</v>
      </c>
      <c r="L8" s="284">
        <v>2043</v>
      </c>
      <c r="M8" s="285">
        <f t="shared" si="2"/>
        <v>92.641506686953548</v>
      </c>
      <c r="N8" s="269">
        <f t="shared" ref="N8:N13" si="5">M8*10*C8</f>
        <v>38.094187549675304</v>
      </c>
      <c r="O8" s="269">
        <f t="shared" ref="O8:O13" si="6">$M8*10*$H8</f>
        <v>37.473489454872713</v>
      </c>
      <c r="P8" s="286">
        <f t="shared" ref="P8:P13" si="7">O8-N8</f>
        <v>-0.62069809480259153</v>
      </c>
      <c r="Q8" s="287">
        <f t="shared" ref="Q8:Q13" si="8">P8/12</f>
        <v>-5.1724841233549292E-2</v>
      </c>
      <c r="R8" s="9"/>
      <c r="S8" s="283" t="str">
        <f t="shared" si="3"/>
        <v>Low Income</v>
      </c>
      <c r="T8" s="46">
        <f t="shared" si="4"/>
        <v>4.1120000000000004E-2</v>
      </c>
      <c r="U8" s="304">
        <f t="shared" ref="U8:U12" si="9">H8</f>
        <v>4.045E-2</v>
      </c>
      <c r="V8" s="136"/>
      <c r="W8" s="136"/>
      <c r="X8" s="136"/>
      <c r="Y8" s="136"/>
      <c r="Z8" s="136"/>
      <c r="AA8" s="136"/>
      <c r="AB8" s="9"/>
    </row>
    <row r="9" spans="1:28">
      <c r="A9" s="21" t="s">
        <v>20</v>
      </c>
      <c r="B9" s="22">
        <f>'VGS forecast'!BV21</f>
        <v>618771</v>
      </c>
      <c r="C9" s="46">
        <f>'VGS rates'!BQ14</f>
        <v>4.8599999999999997E-2</v>
      </c>
      <c r="D9" s="2">
        <f t="shared" ref="D9:D13" si="10">C9*B9*10</f>
        <v>300722.70600000001</v>
      </c>
      <c r="E9" s="33">
        <f t="shared" ref="E9:E12" si="11">D9/$D$14</f>
        <v>8.0841584598944388E-2</v>
      </c>
      <c r="F9" s="6">
        <f t="shared" si="0"/>
        <v>295818.98660178535</v>
      </c>
      <c r="G9" s="46">
        <f t="shared" ref="G9:G12" si="12">ROUND(F9/B9,4)</f>
        <v>0.47810000000000002</v>
      </c>
      <c r="H9" s="128">
        <f t="shared" ref="H9:H13" si="13">G9/10</f>
        <v>4.7810000000000005E-2</v>
      </c>
      <c r="I9" s="41">
        <f t="shared" ref="I9:I13" si="14">H9/C9-1</f>
        <v>-1.6255144032921609E-2</v>
      </c>
      <c r="J9" s="174"/>
      <c r="K9" s="283" t="str">
        <f t="shared" si="1"/>
        <v>G1 Class</v>
      </c>
      <c r="L9" s="284">
        <f>'VGS forecast'!BU34</f>
        <v>4034.0833333333335</v>
      </c>
      <c r="M9" s="285">
        <f t="shared" si="2"/>
        <v>153.38577537234812</v>
      </c>
      <c r="N9" s="269">
        <f t="shared" si="5"/>
        <v>74.545486830961181</v>
      </c>
      <c r="O9" s="269">
        <f t="shared" si="6"/>
        <v>73.333739205519649</v>
      </c>
      <c r="P9" s="286">
        <f t="shared" si="7"/>
        <v>-1.2117476254415323</v>
      </c>
      <c r="Q9" s="287">
        <f t="shared" si="8"/>
        <v>-0.10097896878679435</v>
      </c>
      <c r="R9" s="9"/>
      <c r="S9" s="283" t="str">
        <f t="shared" si="3"/>
        <v>G1 Class</v>
      </c>
      <c r="T9" s="46">
        <f t="shared" si="4"/>
        <v>4.8599999999999997E-2</v>
      </c>
      <c r="U9" s="304">
        <f t="shared" si="9"/>
        <v>4.7810000000000005E-2</v>
      </c>
      <c r="V9" s="136"/>
      <c r="W9" s="136"/>
      <c r="X9" s="136"/>
      <c r="Y9" s="136"/>
      <c r="Z9" s="136"/>
      <c r="AA9" s="136"/>
      <c r="AB9" s="9"/>
    </row>
    <row r="10" spans="1:28">
      <c r="A10" s="21" t="s">
        <v>21</v>
      </c>
      <c r="B10" s="22">
        <f>'VGS forecast'!BV22</f>
        <v>201626</v>
      </c>
      <c r="C10" s="46">
        <f>'VGS rates'!BQ21</f>
        <v>3.7699999999999997E-2</v>
      </c>
      <c r="D10" s="2">
        <f t="shared" si="10"/>
        <v>76013.001999999993</v>
      </c>
      <c r="E10" s="33">
        <f t="shared" si="11"/>
        <v>2.0434145507465366E-2</v>
      </c>
      <c r="F10" s="6">
        <f t="shared" si="0"/>
        <v>74773.499877323789</v>
      </c>
      <c r="G10" s="46">
        <f t="shared" si="12"/>
        <v>0.37090000000000001</v>
      </c>
      <c r="H10" s="128">
        <f t="shared" si="13"/>
        <v>3.7089999999999998E-2</v>
      </c>
      <c r="I10" s="41">
        <f>H10/C10-1</f>
        <v>-1.6180371352785161E-2</v>
      </c>
      <c r="J10" s="174"/>
      <c r="K10" s="283" t="str">
        <f t="shared" si="1"/>
        <v>G2 Class</v>
      </c>
      <c r="L10" s="284">
        <f>'VGS forecast'!BU35</f>
        <v>1063.4166666666667</v>
      </c>
      <c r="M10" s="285">
        <f t="shared" si="2"/>
        <v>189.60206880338529</v>
      </c>
      <c r="N10" s="269">
        <f t="shared" si="5"/>
        <v>71.479979938876241</v>
      </c>
      <c r="O10" s="269">
        <f t="shared" si="6"/>
        <v>70.323407319175601</v>
      </c>
      <c r="P10" s="286">
        <f t="shared" si="7"/>
        <v>-1.1565726197006398</v>
      </c>
      <c r="Q10" s="287">
        <f t="shared" si="8"/>
        <v>-9.6381051641719992E-2</v>
      </c>
      <c r="R10" s="9"/>
      <c r="S10" s="283" t="str">
        <f t="shared" si="3"/>
        <v>G2 Class</v>
      </c>
      <c r="T10" s="46">
        <f t="shared" si="4"/>
        <v>3.7699999999999997E-2</v>
      </c>
      <c r="U10" s="304">
        <f t="shared" si="9"/>
        <v>3.7089999999999998E-2</v>
      </c>
      <c r="V10" s="136"/>
      <c r="W10" s="136"/>
      <c r="X10" s="136"/>
      <c r="Y10" s="136"/>
      <c r="Z10" s="136"/>
      <c r="AA10" s="136"/>
      <c r="AB10" s="9"/>
    </row>
    <row r="11" spans="1:28">
      <c r="A11" s="21" t="s">
        <v>22</v>
      </c>
      <c r="B11" s="22">
        <f>'VGS forecast'!BV23</f>
        <v>754508</v>
      </c>
      <c r="C11" s="86">
        <f>'VGS rates'!BQ28</f>
        <v>3.7900000000000003E-2</v>
      </c>
      <c r="D11" s="2">
        <f t="shared" si="10"/>
        <v>285958.53200000001</v>
      </c>
      <c r="E11" s="33">
        <f t="shared" si="11"/>
        <v>7.6872615187454266E-2</v>
      </c>
      <c r="F11" s="6">
        <f t="shared" si="0"/>
        <v>281295.56384869124</v>
      </c>
      <c r="G11" s="46">
        <f t="shared" si="12"/>
        <v>0.37280000000000002</v>
      </c>
      <c r="H11" s="128">
        <f t="shared" si="13"/>
        <v>3.7280000000000001E-2</v>
      </c>
      <c r="I11" s="41">
        <f t="shared" si="14"/>
        <v>-1.6358839050132024E-2</v>
      </c>
      <c r="J11" s="174"/>
      <c r="K11" s="283" t="str">
        <f t="shared" si="1"/>
        <v>G3 Class</v>
      </c>
      <c r="L11" s="284">
        <f>'VGS forecast'!BU36</f>
        <v>520.91666666666663</v>
      </c>
      <c r="M11" s="285">
        <f t="shared" si="2"/>
        <v>1448.4236122220445</v>
      </c>
      <c r="N11" s="269">
        <f t="shared" si="5"/>
        <v>548.95254903215493</v>
      </c>
      <c r="O11" s="269">
        <f t="shared" si="6"/>
        <v>539.97232263637818</v>
      </c>
      <c r="P11" s="286">
        <f t="shared" si="7"/>
        <v>-8.9802263957767536</v>
      </c>
      <c r="Q11" s="287">
        <f t="shared" si="8"/>
        <v>-0.74835219964806277</v>
      </c>
      <c r="R11" s="9"/>
      <c r="S11" s="283" t="str">
        <f t="shared" si="3"/>
        <v>G3 Class</v>
      </c>
      <c r="T11" s="46">
        <f t="shared" si="4"/>
        <v>3.7900000000000003E-2</v>
      </c>
      <c r="U11" s="304">
        <f t="shared" si="9"/>
        <v>3.7280000000000001E-2</v>
      </c>
      <c r="V11" s="136"/>
      <c r="W11" s="136"/>
      <c r="X11" s="136"/>
      <c r="Y11" s="136"/>
      <c r="Z11" s="136"/>
      <c r="AA11" s="136"/>
      <c r="AB11" s="9"/>
    </row>
    <row r="12" spans="1:28">
      <c r="A12" s="21" t="s">
        <v>23</v>
      </c>
      <c r="B12" s="22">
        <f>'VGS forecast'!BV24</f>
        <v>1579257</v>
      </c>
      <c r="C12" s="86">
        <f>'VGS rates'!BQ35</f>
        <v>2.92E-2</v>
      </c>
      <c r="D12" s="2">
        <f t="shared" si="10"/>
        <v>461143.04399999999</v>
      </c>
      <c r="E12" s="33">
        <f t="shared" si="11"/>
        <v>0.12396647695681726</v>
      </c>
      <c r="F12" s="6">
        <f t="shared" si="0"/>
        <v>453623.43857913575</v>
      </c>
      <c r="G12" s="46">
        <f t="shared" si="12"/>
        <v>0.28720000000000001</v>
      </c>
      <c r="H12" s="128">
        <f>G12/10</f>
        <v>2.8720000000000002E-2</v>
      </c>
      <c r="I12" s="41">
        <f t="shared" si="14"/>
        <v>-1.6438356164383494E-2</v>
      </c>
      <c r="J12" s="174"/>
      <c r="K12" s="283" t="str">
        <f t="shared" si="1"/>
        <v>G4 Class</v>
      </c>
      <c r="L12" s="284">
        <f>'VGS forecast'!BU37</f>
        <v>561.66666666666663</v>
      </c>
      <c r="M12" s="285">
        <f t="shared" si="2"/>
        <v>2811.7335311572701</v>
      </c>
      <c r="N12" s="269">
        <f t="shared" si="5"/>
        <v>821.02619109792283</v>
      </c>
      <c r="O12" s="269">
        <f t="shared" si="6"/>
        <v>807.52987014836799</v>
      </c>
      <c r="P12" s="286">
        <f t="shared" si="7"/>
        <v>-13.496320949554843</v>
      </c>
      <c r="Q12" s="287">
        <f t="shared" si="8"/>
        <v>-1.1246934124629036</v>
      </c>
      <c r="R12" s="9"/>
      <c r="S12" s="283" t="str">
        <f t="shared" si="3"/>
        <v>G4 Class</v>
      </c>
      <c r="T12" s="46">
        <f t="shared" si="4"/>
        <v>2.92E-2</v>
      </c>
      <c r="U12" s="304">
        <f t="shared" si="9"/>
        <v>2.8720000000000002E-2</v>
      </c>
      <c r="V12" s="136"/>
      <c r="W12" s="136"/>
      <c r="X12" s="136"/>
      <c r="Y12" s="136"/>
      <c r="Z12" s="136"/>
      <c r="AA12" s="136"/>
      <c r="AB12" s="9"/>
    </row>
    <row r="13" spans="1:28" ht="15" thickBot="1">
      <c r="A13" s="132" t="s">
        <v>24</v>
      </c>
      <c r="B13" s="34">
        <f>'VGS forecast'!BV28</f>
        <v>2731119</v>
      </c>
      <c r="C13" s="127">
        <v>2.1100000000000001E-2</v>
      </c>
      <c r="D13" s="91">
        <f t="shared" si="10"/>
        <v>576266.10899999994</v>
      </c>
      <c r="E13" s="35">
        <f>D13/$D$14</f>
        <v>0.1549143595503161</v>
      </c>
      <c r="F13" s="92">
        <f t="shared" si="0"/>
        <v>566869.25521790818</v>
      </c>
      <c r="G13" s="88">
        <f>ROUND(F13/B13,4)</f>
        <v>0.20760000000000001</v>
      </c>
      <c r="H13" s="129">
        <f t="shared" si="13"/>
        <v>2.0760000000000001E-2</v>
      </c>
      <c r="I13" s="42">
        <f t="shared" si="14"/>
        <v>-1.6113744075829439E-2</v>
      </c>
      <c r="J13" s="174"/>
      <c r="K13" s="288" t="str">
        <f t="shared" si="1"/>
        <v>Interruptible</v>
      </c>
      <c r="L13" s="289">
        <f>'VGS forecast'!BU41</f>
        <v>41.916666666666664</v>
      </c>
      <c r="M13" s="290">
        <f t="shared" si="2"/>
        <v>65155.920477137181</v>
      </c>
      <c r="N13" s="291">
        <f t="shared" si="5"/>
        <v>13747.899220675945</v>
      </c>
      <c r="O13" s="291">
        <f t="shared" si="6"/>
        <v>13526.369091053679</v>
      </c>
      <c r="P13" s="292">
        <f t="shared" si="7"/>
        <v>-221.53012962226603</v>
      </c>
      <c r="Q13" s="293">
        <f t="shared" si="8"/>
        <v>-18.460844135188836</v>
      </c>
      <c r="R13" s="138"/>
      <c r="S13" s="288" t="str">
        <f t="shared" si="3"/>
        <v>Interruptible</v>
      </c>
      <c r="T13" s="88">
        <f t="shared" si="4"/>
        <v>2.1100000000000001E-2</v>
      </c>
      <c r="U13" s="305">
        <f>H13</f>
        <v>2.0760000000000001E-2</v>
      </c>
      <c r="V13" s="29"/>
      <c r="W13" s="29"/>
      <c r="X13" s="29"/>
      <c r="Y13" s="29"/>
      <c r="Z13" s="136"/>
      <c r="AA13" s="136"/>
      <c r="AB13" s="9"/>
    </row>
    <row r="14" spans="1:28" ht="15" thickBot="1">
      <c r="A14" s="3" t="s">
        <v>25</v>
      </c>
      <c r="B14" s="5">
        <f>SUM(B7:B13)</f>
        <v>9852702</v>
      </c>
      <c r="C14" s="87">
        <f>(B7*C7+B8*C8+B9*C9+B10*C10+B11*C11+B12*C12+B13*C13)/B14</f>
        <v>3.7755137430412526E-2</v>
      </c>
      <c r="D14" s="2">
        <f>SUM(D7:D13)</f>
        <v>3719901.1807090035</v>
      </c>
      <c r="E14" s="4">
        <f>SUM(E7:E13)</f>
        <v>1</v>
      </c>
      <c r="F14" s="148">
        <f>SUM(F7:F13)</f>
        <v>3659242.8026905358</v>
      </c>
      <c r="G14" s="222">
        <f>ROUND(F14/B14,4)</f>
        <v>0.37140000000000001</v>
      </c>
      <c r="H14" s="130">
        <f>(B7*H7+B8*H8+B9*H9+B10*H10+B11*H11+B12*H12+B13*H13)/B14</f>
        <v>3.7139397905527623E-2</v>
      </c>
      <c r="I14" s="279">
        <f>H14/C14-1</f>
        <v>-1.6308761318106435E-2</v>
      </c>
      <c r="J14" s="29"/>
      <c r="K14" s="146"/>
      <c r="L14" s="134"/>
      <c r="M14" s="38"/>
      <c r="N14" s="38"/>
      <c r="O14" s="38"/>
    </row>
    <row r="15" spans="1:28">
      <c r="D15" s="9"/>
      <c r="G15" s="44"/>
      <c r="H15" s="44"/>
      <c r="I15" s="44"/>
    </row>
    <row r="16" spans="1:28">
      <c r="A16" s="3" t="s">
        <v>26</v>
      </c>
      <c r="C16" s="8">
        <f>'PSD Budget Inves Totals 21-23'!D4</f>
        <v>5765226</v>
      </c>
      <c r="D16" s="9"/>
      <c r="E16" s="27"/>
      <c r="G16" s="7"/>
      <c r="H16" s="44"/>
      <c r="I16" s="44"/>
    </row>
    <row r="17" spans="1:20">
      <c r="A17" s="3" t="s">
        <v>362</v>
      </c>
      <c r="B17" s="27"/>
      <c r="C17" s="270">
        <f>'PSD Budget Inves Totals 21-23'!C4-'PSD Budget Inves Totals 21-23'!C12</f>
        <v>164792</v>
      </c>
      <c r="D17" t="s">
        <v>27</v>
      </c>
      <c r="E17" s="8"/>
      <c r="G17" s="44"/>
      <c r="H17" s="44"/>
      <c r="I17" s="44"/>
    </row>
    <row r="18" spans="1:20">
      <c r="A18" s="3" t="s">
        <v>28</v>
      </c>
      <c r="B18" s="27"/>
      <c r="C18" s="271">
        <f>'PSD Budget Inves Totals 21-23'!B4-'PSD Budget Inves Totals 21-23'!B12</f>
        <v>654469.86999999965</v>
      </c>
      <c r="D18" t="s">
        <v>29</v>
      </c>
      <c r="H18" s="44"/>
      <c r="I18" s="44"/>
    </row>
    <row r="19" spans="1:20">
      <c r="A19" s="295" t="s">
        <v>381</v>
      </c>
      <c r="B19" s="27"/>
      <c r="C19" s="298">
        <f>SUM(C16:C18)</f>
        <v>6584487.8699999992</v>
      </c>
      <c r="E19" s="28"/>
      <c r="F19" s="28"/>
      <c r="G19" s="28"/>
      <c r="H19" s="27"/>
      <c r="R19" s="9"/>
    </row>
    <row r="20" spans="1:20">
      <c r="A20" s="3"/>
      <c r="B20" s="27"/>
      <c r="C20" s="143"/>
      <c r="G20" s="28"/>
      <c r="H20" s="27"/>
      <c r="R20" s="9"/>
    </row>
    <row r="21" spans="1:20">
      <c r="A21" s="295" t="s">
        <v>382</v>
      </c>
      <c r="B21" s="27"/>
      <c r="C21" s="143"/>
      <c r="G21" s="28"/>
      <c r="H21" s="27"/>
      <c r="R21" s="9"/>
    </row>
    <row r="22" spans="1:20">
      <c r="A22" s="3" t="s">
        <v>30</v>
      </c>
      <c r="B22" s="29"/>
      <c r="C22" s="299">
        <f>251387*0.5</f>
        <v>125693.5</v>
      </c>
      <c r="D22" t="s">
        <v>383</v>
      </c>
      <c r="H22" s="27"/>
      <c r="R22" s="9"/>
    </row>
    <row r="23" spans="1:20">
      <c r="A23" s="3"/>
      <c r="B23" s="27"/>
      <c r="C23" s="220"/>
      <c r="G23" s="28"/>
      <c r="H23" s="27"/>
      <c r="R23" s="9"/>
    </row>
    <row r="24" spans="1:20">
      <c r="A24" s="297" t="s">
        <v>31</v>
      </c>
      <c r="B24" s="27"/>
      <c r="G24" s="28"/>
      <c r="H24" s="27"/>
      <c r="R24" s="9"/>
    </row>
    <row r="25" spans="1:20">
      <c r="A25" s="3" t="s">
        <v>32</v>
      </c>
      <c r="B25" s="27"/>
      <c r="C25" s="28">
        <f>'Over Under True Up'!I42</f>
        <v>-23507.83893106645</v>
      </c>
      <c r="D25" t="s">
        <v>371</v>
      </c>
      <c r="H25" s="44"/>
      <c r="I25" s="44"/>
      <c r="R25" s="9"/>
    </row>
    <row r="26" spans="1:20">
      <c r="A26" s="3" t="s">
        <v>33</v>
      </c>
      <c r="B26" s="27"/>
      <c r="C26" s="219">
        <f>'Over Under True Up'!F49</f>
        <v>-32622.100000000559</v>
      </c>
      <c r="F26" s="27"/>
      <c r="H26" s="44"/>
      <c r="I26" s="44"/>
      <c r="R26" s="9"/>
    </row>
    <row r="27" spans="1:20">
      <c r="A27" s="3"/>
      <c r="B27" s="27"/>
      <c r="C27" s="300">
        <f>SUM(C25:C26)</f>
        <v>-56129.938931067009</v>
      </c>
      <c r="E27" s="27"/>
      <c r="F27" s="27"/>
      <c r="H27" s="44"/>
      <c r="I27" s="28"/>
      <c r="J27" s="27"/>
      <c r="R27" s="9"/>
    </row>
    <row r="28" spans="1:20">
      <c r="E28" s="27"/>
      <c r="G28" s="44"/>
      <c r="H28" s="28"/>
      <c r="I28" s="27"/>
    </row>
    <row r="29" spans="1:20">
      <c r="A29" s="296" t="s">
        <v>34</v>
      </c>
      <c r="C29" s="241">
        <f>C16+C17+C18-C22+C27</f>
        <v>6402664.4310689326</v>
      </c>
      <c r="D29" s="27" t="s">
        <v>35</v>
      </c>
      <c r="E29" s="27"/>
      <c r="G29" s="44"/>
      <c r="H29" s="28"/>
      <c r="I29" s="27"/>
    </row>
    <row r="30" spans="1:20">
      <c r="D30" s="27"/>
      <c r="E30" s="27"/>
      <c r="G30" s="44"/>
      <c r="H30" s="44"/>
      <c r="I30" s="27"/>
    </row>
    <row r="31" spans="1:20">
      <c r="A31" s="3"/>
      <c r="B31" s="27"/>
      <c r="C31" s="29"/>
      <c r="D31" s="27"/>
      <c r="E31" s="27"/>
      <c r="F31" s="29"/>
      <c r="G31" s="28"/>
      <c r="H31" s="44"/>
    </row>
    <row r="32" spans="1:20">
      <c r="A32" s="297" t="s">
        <v>36</v>
      </c>
      <c r="B32" s="27"/>
      <c r="C32" s="29"/>
      <c r="D32" s="27"/>
      <c r="E32" s="27"/>
      <c r="F32" s="29"/>
      <c r="G32" s="44"/>
      <c r="H32" s="44"/>
      <c r="N32" s="26"/>
      <c r="O32" s="26"/>
      <c r="P32" s="26"/>
      <c r="Q32" s="26"/>
      <c r="R32" s="26"/>
      <c r="S32" s="26"/>
      <c r="T32" s="26"/>
    </row>
    <row r="33" spans="1:24">
      <c r="A33" s="3" t="s">
        <v>37</v>
      </c>
      <c r="B33" s="27"/>
      <c r="C33" s="29">
        <f>'Loan Amortization'!K11</f>
        <v>70705.201339527557</v>
      </c>
      <c r="D33" s="28" t="s">
        <v>364</v>
      </c>
      <c r="E33" s="28"/>
      <c r="F33" s="29"/>
      <c r="G33" s="28"/>
      <c r="H33" s="28"/>
      <c r="I33" s="28"/>
      <c r="J33" s="27"/>
      <c r="K33" s="27"/>
      <c r="N33" s="26"/>
      <c r="O33" s="26"/>
      <c r="P33" s="26"/>
      <c r="Q33" s="26"/>
      <c r="R33" s="26"/>
      <c r="S33" s="26"/>
      <c r="T33" s="26"/>
    </row>
    <row r="34" spans="1:24">
      <c r="A34" s="3" t="s">
        <v>38</v>
      </c>
      <c r="B34" s="27"/>
      <c r="C34" s="29">
        <f>'Loan Amortization'!W11</f>
        <v>240722.72454777203</v>
      </c>
      <c r="D34" s="28" t="s">
        <v>373</v>
      </c>
      <c r="E34" s="28"/>
      <c r="F34" s="29"/>
      <c r="G34" s="28"/>
      <c r="H34" s="28"/>
      <c r="I34" s="28"/>
      <c r="K34" s="27"/>
      <c r="N34" s="26"/>
      <c r="O34" s="26"/>
      <c r="P34" s="26"/>
      <c r="Q34" s="26"/>
      <c r="R34" s="26"/>
      <c r="S34" s="26"/>
      <c r="T34" s="26"/>
    </row>
    <row r="35" spans="1:24">
      <c r="A35" s="3" t="s">
        <v>39</v>
      </c>
      <c r="B35" s="27"/>
      <c r="C35" s="170">
        <f>'Loan Amortization'!AI11</f>
        <v>163237.1</v>
      </c>
      <c r="D35" s="28" t="s">
        <v>372</v>
      </c>
      <c r="E35" s="28"/>
      <c r="F35" s="29"/>
      <c r="G35" s="28"/>
      <c r="H35" s="28"/>
      <c r="I35" s="28"/>
      <c r="J35" s="19"/>
      <c r="K35" s="27"/>
    </row>
    <row r="36" spans="1:24">
      <c r="A36" s="3" t="s">
        <v>40</v>
      </c>
      <c r="B36" s="27"/>
      <c r="C36" s="299">
        <f>SUM(C33:C35)</f>
        <v>474665.02588729956</v>
      </c>
      <c r="D36" s="241"/>
      <c r="E36" s="242"/>
      <c r="F36" s="29"/>
      <c r="G36" s="28"/>
      <c r="H36" s="28"/>
      <c r="I36" s="28"/>
      <c r="K36" s="264"/>
      <c r="N36" s="180"/>
      <c r="O36" s="180"/>
      <c r="P36" s="180"/>
      <c r="Q36" s="180"/>
      <c r="R36" s="180"/>
      <c r="S36" s="180"/>
      <c r="T36" s="180"/>
    </row>
    <row r="37" spans="1:24">
      <c r="A37" s="3"/>
      <c r="B37" s="27"/>
      <c r="C37" s="29"/>
      <c r="D37" s="27"/>
      <c r="E37" s="27"/>
      <c r="F37" s="29"/>
      <c r="G37" s="28"/>
      <c r="H37" s="28"/>
      <c r="I37" s="28"/>
      <c r="J37" s="19"/>
      <c r="K37" s="10"/>
      <c r="N37" s="10"/>
      <c r="O37" s="10"/>
      <c r="P37" s="10"/>
      <c r="Q37" s="10"/>
      <c r="R37" s="10"/>
      <c r="S37" s="10"/>
      <c r="T37" s="10"/>
    </row>
    <row r="38" spans="1:24">
      <c r="A38" s="296" t="s">
        <v>41</v>
      </c>
      <c r="B38" s="27"/>
      <c r="C38" s="299">
        <f>C29+C36</f>
        <v>6877329.456956232</v>
      </c>
      <c r="D38" s="27" t="s">
        <v>42</v>
      </c>
      <c r="E38" s="27"/>
      <c r="F38" s="29"/>
      <c r="G38" s="44"/>
      <c r="H38" s="44"/>
      <c r="J38" s="19"/>
      <c r="V38" s="27"/>
    </row>
    <row r="39" spans="1:24">
      <c r="A39" s="3"/>
      <c r="B39" s="27"/>
      <c r="C39" s="29"/>
      <c r="D39" s="27"/>
      <c r="E39" s="27"/>
      <c r="F39" s="29"/>
      <c r="G39" s="44"/>
      <c r="H39" s="44"/>
      <c r="J39" s="19"/>
      <c r="V39" s="27"/>
    </row>
    <row r="40" spans="1:24">
      <c r="A40" s="3" t="s">
        <v>44</v>
      </c>
      <c r="B40" s="27"/>
      <c r="C40" s="29">
        <f>-'Loan Amortization'!AB3</f>
        <v>-3264742</v>
      </c>
      <c r="D40" s="27"/>
      <c r="E40" s="27"/>
      <c r="F40" s="29"/>
      <c r="G40" s="44"/>
      <c r="H40" s="44"/>
      <c r="V40" s="27"/>
    </row>
    <row r="41" spans="1:24">
      <c r="A41" s="3"/>
      <c r="B41" s="27"/>
      <c r="C41" s="29"/>
      <c r="D41" s="27"/>
      <c r="E41" s="27"/>
      <c r="F41" s="29"/>
      <c r="G41" s="44"/>
      <c r="H41" s="44"/>
      <c r="V41" s="27"/>
    </row>
    <row r="42" spans="1:24">
      <c r="A42" s="301" t="s">
        <v>384</v>
      </c>
      <c r="B42" s="93"/>
      <c r="C42" s="302">
        <f>C44/(1-C48)</f>
        <v>3659242.8026905362</v>
      </c>
      <c r="D42" t="s">
        <v>45</v>
      </c>
      <c r="E42" s="43"/>
      <c r="F42" s="29"/>
      <c r="G42" s="28"/>
      <c r="H42" s="44"/>
      <c r="K42" s="2"/>
      <c r="V42" s="27"/>
    </row>
    <row r="43" spans="1:24">
      <c r="A43" s="3"/>
      <c r="B43" s="27"/>
      <c r="C43" s="29"/>
      <c r="D43" s="27"/>
      <c r="E43" s="27"/>
      <c r="F43" s="29"/>
      <c r="G43" s="28"/>
      <c r="H43" s="44"/>
      <c r="I43" s="28"/>
      <c r="J43" s="28"/>
      <c r="K43" s="2"/>
      <c r="V43" s="27"/>
    </row>
    <row r="44" spans="1:24">
      <c r="A44" s="3" t="s">
        <v>46</v>
      </c>
      <c r="B44" s="93"/>
      <c r="C44" s="29">
        <f>C38+C40</f>
        <v>3612587.456956232</v>
      </c>
      <c r="D44" s="29" t="s">
        <v>47</v>
      </c>
      <c r="E44" s="27"/>
      <c r="F44" s="29"/>
      <c r="G44" s="28"/>
      <c r="H44" s="44"/>
      <c r="I44" s="28"/>
      <c r="J44" s="28"/>
      <c r="K44" s="2"/>
    </row>
    <row r="45" spans="1:24">
      <c r="C45" s="28"/>
      <c r="D45" s="29"/>
      <c r="E45" s="27"/>
      <c r="F45" s="29"/>
      <c r="G45" s="28"/>
      <c r="H45" s="44"/>
      <c r="I45" s="28"/>
      <c r="J45" s="28"/>
      <c r="K45" s="2"/>
      <c r="X45" s="156"/>
    </row>
    <row r="46" spans="1:24">
      <c r="A46" t="s">
        <v>48</v>
      </c>
      <c r="C46" s="29">
        <f>C42-C44</f>
        <v>46655.345734304283</v>
      </c>
      <c r="D46" s="29"/>
      <c r="E46" s="27"/>
      <c r="F46" s="29"/>
      <c r="G46" s="28"/>
      <c r="H46" s="44"/>
      <c r="V46" s="156"/>
      <c r="X46" s="156"/>
    </row>
    <row r="47" spans="1:24">
      <c r="A47" s="3"/>
      <c r="B47" s="27"/>
      <c r="C47" s="29"/>
      <c r="D47" s="27"/>
      <c r="E47" s="27"/>
      <c r="F47" s="29"/>
      <c r="G47" s="28"/>
      <c r="H47" s="44"/>
      <c r="V47" s="9"/>
      <c r="X47" s="9"/>
    </row>
    <row r="48" spans="1:24">
      <c r="A48" t="s">
        <v>379</v>
      </c>
      <c r="C48" s="228">
        <f>C50+C51</f>
        <v>1.2750000000000001E-2</v>
      </c>
      <c r="D48" t="s">
        <v>51</v>
      </c>
      <c r="E48" s="228"/>
      <c r="K48" s="27"/>
      <c r="P48" s="28"/>
      <c r="R48" s="27"/>
    </row>
    <row r="49" spans="1:20">
      <c r="B49" s="2"/>
      <c r="C49" s="2"/>
      <c r="K49" s="27"/>
      <c r="L49" s="44"/>
      <c r="P49" s="28"/>
      <c r="R49" s="27"/>
      <c r="S49" s="44"/>
    </row>
    <row r="50" spans="1:20">
      <c r="A50" s="3" t="s">
        <v>52</v>
      </c>
      <c r="C50" s="227">
        <v>5.2500000000000003E-3</v>
      </c>
      <c r="D50" s="29" t="s">
        <v>53</v>
      </c>
    </row>
    <row r="51" spans="1:20">
      <c r="A51" s="3" t="s">
        <v>54</v>
      </c>
      <c r="C51" s="226">
        <v>7.4999999999999997E-3</v>
      </c>
      <c r="D51" s="29" t="s">
        <v>55</v>
      </c>
      <c r="K51" s="27"/>
      <c r="R51" s="27"/>
    </row>
    <row r="52" spans="1:20">
      <c r="B52" s="133"/>
      <c r="C52" s="2"/>
      <c r="D52" s="2"/>
    </row>
    <row r="53" spans="1:20" ht="13.5" customHeight="1">
      <c r="B53" s="133"/>
      <c r="C53" s="2"/>
      <c r="D53" s="2"/>
      <c r="G53" s="26"/>
      <c r="K53" s="27"/>
      <c r="L53" s="8"/>
      <c r="M53" s="45"/>
      <c r="P53" s="265"/>
      <c r="R53" s="27"/>
      <c r="S53" s="8"/>
      <c r="T53" s="45"/>
    </row>
    <row r="54" spans="1:20" ht="13.5" customHeight="1">
      <c r="K54" s="19"/>
      <c r="L54" s="8"/>
      <c r="M54" s="45"/>
    </row>
  </sheetData>
  <mergeCells count="14">
    <mergeCell ref="N5:O5"/>
    <mergeCell ref="P5:Q5"/>
    <mergeCell ref="Z5:AA5"/>
    <mergeCell ref="H1:I1"/>
    <mergeCell ref="J1:K1"/>
    <mergeCell ref="G2:G5"/>
    <mergeCell ref="H2:H5"/>
    <mergeCell ref="I2:I5"/>
    <mergeCell ref="J2:J5"/>
    <mergeCell ref="B2:B5"/>
    <mergeCell ref="C2:C5"/>
    <mergeCell ref="D2:D5"/>
    <mergeCell ref="E2:E5"/>
    <mergeCell ref="F2:F5"/>
  </mergeCells>
  <pageMargins left="0.7" right="0.7" top="0.75" bottom="0.75" header="0.3" footer="0.3"/>
  <pageSetup scale="2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BF2F-5C9F-4A14-A9C5-08BCF0E3DA8B}">
  <sheetPr>
    <tabColor theme="9"/>
  </sheetPr>
  <dimension ref="A1:AB65"/>
  <sheetViews>
    <sheetView zoomScaleNormal="55" workbookViewId="0">
      <selection activeCell="E8" sqref="E8"/>
    </sheetView>
  </sheetViews>
  <sheetFormatPr defaultRowHeight="14.5"/>
  <cols>
    <col min="1" max="1" width="29.54296875" customWidth="1"/>
    <col min="2" max="2" width="15.81640625" customWidth="1"/>
    <col min="3" max="3" width="13.453125" customWidth="1"/>
    <col min="4" max="4" width="14.1796875" customWidth="1"/>
    <col min="5" max="6" width="12.54296875" customWidth="1"/>
    <col min="7" max="7" width="17" customWidth="1"/>
    <col min="8" max="8" width="11.453125" customWidth="1"/>
    <col min="9" max="9" width="9.1796875" customWidth="1"/>
    <col min="10" max="10" width="12" customWidth="1"/>
    <col min="11" max="11" width="12.7265625" customWidth="1"/>
    <col min="12" max="12" width="15.54296875" hidden="1" customWidth="1"/>
    <col min="13" max="13" width="14.54296875" hidden="1" customWidth="1"/>
    <col min="14" max="14" width="15.26953125" customWidth="1"/>
    <col min="15" max="15" width="19.1796875" customWidth="1"/>
    <col min="16" max="16" width="15.26953125" customWidth="1"/>
    <col min="17" max="17" width="15.1796875" customWidth="1"/>
    <col min="18" max="18" width="9.1796875" bestFit="1" customWidth="1"/>
    <col min="19" max="19" width="9.54296875" customWidth="1"/>
    <col min="20" max="20" width="13.26953125" bestFit="1" customWidth="1"/>
    <col min="24" max="25" width="10.1796875" bestFit="1" customWidth="1"/>
  </cols>
  <sheetData>
    <row r="1" spans="1:28" ht="25.5" customHeight="1" thickBot="1">
      <c r="A1" s="89" t="s">
        <v>74</v>
      </c>
      <c r="B1" s="90"/>
      <c r="C1" s="90"/>
      <c r="H1" s="330" t="s">
        <v>1</v>
      </c>
      <c r="I1" s="331"/>
      <c r="J1" s="332"/>
      <c r="K1" s="332"/>
    </row>
    <row r="2" spans="1:28" ht="14.5" customHeight="1">
      <c r="A2" s="30"/>
      <c r="B2" s="315" t="s">
        <v>75</v>
      </c>
      <c r="C2" s="315" t="s">
        <v>3</v>
      </c>
      <c r="D2" s="324" t="s">
        <v>4</v>
      </c>
      <c r="E2" s="315" t="s">
        <v>5</v>
      </c>
      <c r="F2" s="315" t="s">
        <v>6</v>
      </c>
      <c r="G2" s="315" t="s">
        <v>7</v>
      </c>
      <c r="H2" s="318" t="s">
        <v>8</v>
      </c>
      <c r="I2" s="321" t="s">
        <v>9</v>
      </c>
      <c r="J2" s="316"/>
    </row>
    <row r="3" spans="1:28" ht="14.5" customHeight="1">
      <c r="A3" s="31"/>
      <c r="B3" s="316"/>
      <c r="C3" s="316"/>
      <c r="D3" s="325"/>
      <c r="E3" s="316"/>
      <c r="F3" s="316"/>
      <c r="G3" s="316"/>
      <c r="H3" s="319"/>
      <c r="I3" s="322"/>
      <c r="J3" s="316"/>
      <c r="L3" s="9"/>
    </row>
    <row r="4" spans="1:28">
      <c r="A4" s="31"/>
      <c r="B4" s="316"/>
      <c r="C4" s="316"/>
      <c r="D4" s="325"/>
      <c r="E4" s="316"/>
      <c r="F4" s="316"/>
      <c r="G4" s="316"/>
      <c r="H4" s="319"/>
      <c r="I4" s="322"/>
      <c r="J4" s="316"/>
    </row>
    <row r="5" spans="1:28" ht="15" thickBot="1">
      <c r="A5" s="32"/>
      <c r="B5" s="317"/>
      <c r="C5" s="317"/>
      <c r="D5" s="326"/>
      <c r="E5" s="317"/>
      <c r="F5" s="317"/>
      <c r="G5" s="317"/>
      <c r="H5" s="320"/>
      <c r="I5" s="323"/>
      <c r="J5" s="316"/>
      <c r="L5" s="94" t="s">
        <v>10</v>
      </c>
      <c r="M5" s="94" t="s">
        <v>10</v>
      </c>
      <c r="N5" s="329" t="s">
        <v>11</v>
      </c>
      <c r="O5" s="329"/>
      <c r="P5" s="329" t="s">
        <v>387</v>
      </c>
      <c r="Q5" s="329"/>
      <c r="U5" s="329"/>
      <c r="V5" s="329"/>
      <c r="Z5" s="329"/>
      <c r="AA5" s="329"/>
    </row>
    <row r="6" spans="1:28">
      <c r="A6" s="30"/>
      <c r="B6" s="22"/>
      <c r="C6" s="23"/>
      <c r="D6" s="24"/>
      <c r="E6" s="24"/>
      <c r="F6" s="23"/>
      <c r="G6" s="24"/>
      <c r="H6" s="30"/>
      <c r="I6" s="25"/>
      <c r="L6" s="94" t="s">
        <v>12</v>
      </c>
      <c r="M6" s="94" t="s">
        <v>13</v>
      </c>
      <c r="N6" s="12" t="s">
        <v>375</v>
      </c>
      <c r="O6" s="12" t="s">
        <v>376</v>
      </c>
      <c r="P6" s="12" t="s">
        <v>16</v>
      </c>
      <c r="Q6" s="12" t="s">
        <v>17</v>
      </c>
    </row>
    <row r="7" spans="1:28">
      <c r="A7" s="21" t="s">
        <v>18</v>
      </c>
      <c r="B7" s="22">
        <f>'15 years_PSD Surrebuttal'!H14-'AVG Liap customers'!C24</f>
        <v>3818083.4018385541</v>
      </c>
      <c r="C7" s="46">
        <f>'Prop EEC 2023 Rates'!H7</f>
        <v>5.0560000000000008E-2</v>
      </c>
      <c r="D7" s="2">
        <f>C7*B7*10</f>
        <v>1930422.9679695731</v>
      </c>
      <c r="E7" s="33">
        <f>D7/$D$14</f>
        <v>0.52554124137878677</v>
      </c>
      <c r="F7" s="6">
        <f t="shared" ref="F7:F13" si="0">E7*$C$45</f>
        <v>2003800.24885348</v>
      </c>
      <c r="G7" s="46">
        <f>ROUND(F7/B7,4)</f>
        <v>0.52480000000000004</v>
      </c>
      <c r="H7" s="128">
        <f>G7/10</f>
        <v>5.2480000000000006E-2</v>
      </c>
      <c r="I7" s="277">
        <f>H7/C7-1</f>
        <v>3.7974683544303778E-2</v>
      </c>
      <c r="J7" s="174"/>
      <c r="K7" s="172" t="str">
        <f t="shared" ref="K7:K13" si="1">A7</f>
        <v>Residential</v>
      </c>
      <c r="L7" s="7">
        <f>'VGS forecast'!BU33-2043</f>
        <v>46587.75</v>
      </c>
      <c r="M7" s="8">
        <f t="shared" ref="M7:M13" si="2">B7/L7</f>
        <v>81.954664087416845</v>
      </c>
      <c r="N7" s="136">
        <f>M7*10*C7</f>
        <v>41.436278162597965</v>
      </c>
      <c r="O7" s="136">
        <f>$M7*10*$H7</f>
        <v>43.00980771307637</v>
      </c>
      <c r="P7" s="123">
        <f>O7-N7</f>
        <v>1.5735295504784048</v>
      </c>
      <c r="Q7" s="123">
        <f>P7/12</f>
        <v>0.13112746253986707</v>
      </c>
      <c r="R7" s="9"/>
      <c r="S7" s="136"/>
      <c r="T7" s="136"/>
      <c r="U7" s="136"/>
      <c r="V7" s="136"/>
      <c r="W7" s="137"/>
      <c r="X7" s="136"/>
      <c r="Y7" s="136"/>
      <c r="Z7" s="136"/>
      <c r="AA7" s="136"/>
      <c r="AB7" s="9"/>
    </row>
    <row r="8" spans="1:28">
      <c r="A8" s="21" t="s">
        <v>19</v>
      </c>
      <c r="B8" s="22">
        <f>'AVG Liap customers'!C24</f>
        <v>189266.59816144611</v>
      </c>
      <c r="C8" s="46">
        <f>'Prop EEC 2023 Rates'!H8</f>
        <v>4.045E-2</v>
      </c>
      <c r="D8" s="2">
        <f>C8*B8*10</f>
        <v>76558.338956304957</v>
      </c>
      <c r="E8" s="36">
        <f>D8/$D$14</f>
        <v>2.0842356913787306E-2</v>
      </c>
      <c r="F8" s="6">
        <f t="shared" si="0"/>
        <v>79468.396925367982</v>
      </c>
      <c r="G8" s="46">
        <f>ROUND(F8/B8,4)</f>
        <v>0.4199</v>
      </c>
      <c r="H8" s="128">
        <f>G8/10</f>
        <v>4.199E-2</v>
      </c>
      <c r="I8" s="277">
        <f>H8/C8-1</f>
        <v>3.8071693448702204E-2</v>
      </c>
      <c r="J8" s="174"/>
      <c r="K8" s="172" t="str">
        <f t="shared" si="1"/>
        <v>Low Income</v>
      </c>
      <c r="L8" s="7">
        <v>2043</v>
      </c>
      <c r="M8" s="8">
        <f t="shared" si="2"/>
        <v>92.641506686953548</v>
      </c>
      <c r="N8" s="136">
        <f t="shared" ref="N8:N13" si="3">M8*10*C8</f>
        <v>37.473489454872713</v>
      </c>
      <c r="O8" s="136">
        <f t="shared" ref="O8:O13" si="4">$M8*10*$H8</f>
        <v>38.900168657851793</v>
      </c>
      <c r="P8" s="123">
        <f t="shared" ref="P8:P13" si="5">O8-N8</f>
        <v>1.4266792029790807</v>
      </c>
      <c r="Q8" s="123">
        <f t="shared" ref="Q8:Q13" si="6">P8/12</f>
        <v>0.11888993358159006</v>
      </c>
      <c r="R8" s="9"/>
      <c r="S8" s="136"/>
      <c r="T8" s="136"/>
      <c r="U8" s="136"/>
      <c r="V8" s="136"/>
      <c r="W8" s="137"/>
      <c r="X8" s="136"/>
      <c r="Y8" s="136"/>
      <c r="Z8" s="136"/>
      <c r="AA8" s="136"/>
      <c r="AB8" s="9"/>
    </row>
    <row r="9" spans="1:28">
      <c r="A9" s="21" t="s">
        <v>20</v>
      </c>
      <c r="B9" s="22">
        <v>639276</v>
      </c>
      <c r="C9" s="46">
        <f>'Prop EEC 2023 Rates'!H9</f>
        <v>4.7810000000000005E-2</v>
      </c>
      <c r="D9" s="2">
        <f t="shared" ref="D9:D13" si="7">C9*B9*10</f>
        <v>305637.85560000001</v>
      </c>
      <c r="E9" s="33">
        <f t="shared" ref="E9:E12" si="8">D9/$D$14</f>
        <v>8.320730778152767E-2</v>
      </c>
      <c r="F9" s="6">
        <f t="shared" si="0"/>
        <v>317255.45192538196</v>
      </c>
      <c r="G9" s="46">
        <f t="shared" ref="G9:G12" si="9">ROUND(F9/B9,4)</f>
        <v>0.49630000000000002</v>
      </c>
      <c r="H9" s="128">
        <f t="shared" ref="H9:H13" si="10">G9/10</f>
        <v>4.9630000000000001E-2</v>
      </c>
      <c r="I9" s="277">
        <f t="shared" ref="I9:I12" si="11">H9/C9-1</f>
        <v>3.8067349926793392E-2</v>
      </c>
      <c r="J9" s="174"/>
      <c r="K9" s="172" t="str">
        <f t="shared" si="1"/>
        <v>G1 Class</v>
      </c>
      <c r="L9" s="7">
        <f>'VGS forecast'!BU34</f>
        <v>4034.0833333333335</v>
      </c>
      <c r="M9" s="8">
        <f t="shared" si="2"/>
        <v>158.46871449523849</v>
      </c>
      <c r="N9" s="136">
        <f t="shared" si="3"/>
        <v>75.763892400173532</v>
      </c>
      <c r="O9" s="136">
        <f t="shared" si="4"/>
        <v>78.648023003986864</v>
      </c>
      <c r="P9" s="123">
        <f t="shared" si="5"/>
        <v>2.8841306038133325</v>
      </c>
      <c r="Q9" s="123">
        <f t="shared" si="6"/>
        <v>0.24034421698444439</v>
      </c>
      <c r="R9" s="9"/>
      <c r="S9" s="136"/>
      <c r="T9" s="136"/>
      <c r="U9" s="136"/>
      <c r="V9" s="136"/>
      <c r="W9" s="137"/>
      <c r="X9" s="136"/>
      <c r="Y9" s="136"/>
      <c r="Z9" s="136"/>
      <c r="AA9" s="136"/>
      <c r="AB9" s="9"/>
    </row>
    <row r="10" spans="1:28">
      <c r="A10" s="21" t="s">
        <v>21</v>
      </c>
      <c r="B10" s="22">
        <v>199494</v>
      </c>
      <c r="C10" s="46">
        <f>'Prop EEC 2023 Rates'!H10</f>
        <v>3.7089999999999998E-2</v>
      </c>
      <c r="D10" s="2">
        <f t="shared" si="7"/>
        <v>73992.324599999993</v>
      </c>
      <c r="E10" s="33">
        <f t="shared" si="8"/>
        <v>2.0143781320467097E-2</v>
      </c>
      <c r="F10" s="6">
        <f t="shared" si="0"/>
        <v>76804.845832659194</v>
      </c>
      <c r="G10" s="46">
        <f t="shared" si="9"/>
        <v>0.38500000000000001</v>
      </c>
      <c r="H10" s="128">
        <f t="shared" si="10"/>
        <v>3.85E-2</v>
      </c>
      <c r="I10" s="277">
        <f>H10/C10-1</f>
        <v>3.8015637638177502E-2</v>
      </c>
      <c r="J10" s="174"/>
      <c r="K10" s="172" t="str">
        <f t="shared" si="1"/>
        <v>G2 Class</v>
      </c>
      <c r="L10" s="7">
        <f>'VGS forecast'!BU35</f>
        <v>1063.4166666666667</v>
      </c>
      <c r="M10" s="8">
        <f t="shared" si="2"/>
        <v>187.59721024998041</v>
      </c>
      <c r="N10" s="136">
        <f t="shared" si="3"/>
        <v>69.579805281717725</v>
      </c>
      <c r="O10" s="136">
        <f t="shared" si="4"/>
        <v>72.224925946242465</v>
      </c>
      <c r="P10" s="123">
        <f t="shared" si="5"/>
        <v>2.6451206645247396</v>
      </c>
      <c r="Q10" s="123">
        <f t="shared" si="6"/>
        <v>0.22042672204372829</v>
      </c>
      <c r="R10" s="9"/>
      <c r="S10" s="136"/>
      <c r="T10" s="136"/>
      <c r="U10" s="136"/>
      <c r="V10" s="136"/>
      <c r="W10" s="137"/>
      <c r="X10" s="136"/>
      <c r="Y10" s="136"/>
      <c r="Z10" s="136"/>
      <c r="AA10" s="136"/>
      <c r="AB10" s="9"/>
    </row>
    <row r="11" spans="1:28">
      <c r="A11" s="21" t="s">
        <v>22</v>
      </c>
      <c r="B11" s="22">
        <v>707709</v>
      </c>
      <c r="C11" s="46">
        <f>'Prop EEC 2023 Rates'!H11</f>
        <v>3.7280000000000001E-2</v>
      </c>
      <c r="D11" s="2">
        <f t="shared" si="7"/>
        <v>263833.91519999999</v>
      </c>
      <c r="E11" s="33">
        <f t="shared" si="8"/>
        <v>7.1826540407293277E-2</v>
      </c>
      <c r="F11" s="6">
        <f t="shared" si="0"/>
        <v>273862.50252182077</v>
      </c>
      <c r="G11" s="46">
        <f t="shared" si="9"/>
        <v>0.38700000000000001</v>
      </c>
      <c r="H11" s="128">
        <f t="shared" si="10"/>
        <v>3.8699999999999998E-2</v>
      </c>
      <c r="I11" s="277">
        <f t="shared" si="11"/>
        <v>3.8090128755364772E-2</v>
      </c>
      <c r="J11" s="174"/>
      <c r="K11" s="172" t="str">
        <f t="shared" si="1"/>
        <v>G3 Class</v>
      </c>
      <c r="L11" s="7">
        <f>'VGS forecast'!BU36</f>
        <v>520.91666666666663</v>
      </c>
      <c r="M11" s="8">
        <f t="shared" si="2"/>
        <v>1358.5839065749481</v>
      </c>
      <c r="N11" s="136">
        <f t="shared" si="3"/>
        <v>506.48008037114062</v>
      </c>
      <c r="O11" s="136">
        <f t="shared" si="4"/>
        <v>525.77197184450483</v>
      </c>
      <c r="P11" s="123">
        <f t="shared" si="5"/>
        <v>19.291891473364217</v>
      </c>
      <c r="Q11" s="123">
        <f t="shared" si="6"/>
        <v>1.6076576227803514</v>
      </c>
      <c r="R11" s="9"/>
      <c r="S11" s="136"/>
      <c r="T11" s="136"/>
      <c r="U11" s="136"/>
      <c r="V11" s="136"/>
      <c r="W11" s="137"/>
      <c r="X11" s="136"/>
      <c r="Y11" s="136"/>
      <c r="Z11" s="136"/>
      <c r="AA11" s="136"/>
      <c r="AB11" s="9"/>
    </row>
    <row r="12" spans="1:28">
      <c r="A12" s="21" t="s">
        <v>23</v>
      </c>
      <c r="B12" s="22">
        <v>1508413</v>
      </c>
      <c r="C12" s="46">
        <f>'Prop EEC 2023 Rates'!H12</f>
        <v>2.8720000000000002E-2</v>
      </c>
      <c r="D12" s="2">
        <f t="shared" si="7"/>
        <v>433216.21360000002</v>
      </c>
      <c r="E12" s="33">
        <f t="shared" si="8"/>
        <v>0.11793943112903855</v>
      </c>
      <c r="F12" s="6">
        <f t="shared" si="0"/>
        <v>449683.18913657108</v>
      </c>
      <c r="G12" s="46">
        <f t="shared" si="9"/>
        <v>0.29809999999999998</v>
      </c>
      <c r="H12" s="128">
        <f>G12/10</f>
        <v>2.9809999999999996E-2</v>
      </c>
      <c r="I12" s="277">
        <f t="shared" si="11"/>
        <v>3.7952646239554078E-2</v>
      </c>
      <c r="J12" s="174"/>
      <c r="K12" s="172" t="str">
        <f t="shared" si="1"/>
        <v>G4 Class</v>
      </c>
      <c r="L12" s="7">
        <f>'VGS forecast'!BU37</f>
        <v>561.66666666666663</v>
      </c>
      <c r="M12" s="8">
        <f t="shared" si="2"/>
        <v>2685.6017804154303</v>
      </c>
      <c r="N12" s="136">
        <f t="shared" si="3"/>
        <v>771.30483133531163</v>
      </c>
      <c r="O12" s="136">
        <f t="shared" si="4"/>
        <v>800.57789074183972</v>
      </c>
      <c r="P12" s="123">
        <f t="shared" si="5"/>
        <v>29.273059406528091</v>
      </c>
      <c r="Q12" s="123">
        <f t="shared" si="6"/>
        <v>2.4394216172106744</v>
      </c>
      <c r="R12" s="9"/>
      <c r="S12" s="136"/>
      <c r="T12" s="136"/>
      <c r="U12" s="136"/>
      <c r="V12" s="136"/>
      <c r="W12" s="137"/>
      <c r="X12" s="136"/>
      <c r="Y12" s="136"/>
      <c r="Z12" s="136"/>
      <c r="AA12" s="136"/>
      <c r="AB12" s="9"/>
    </row>
    <row r="13" spans="1:28" ht="15" thickBot="1">
      <c r="A13" s="132" t="s">
        <v>24</v>
      </c>
      <c r="B13" s="34">
        <v>2839825</v>
      </c>
      <c r="C13" s="88">
        <f>'Prop EEC 2023 Rates'!H13</f>
        <v>2.0760000000000001E-2</v>
      </c>
      <c r="D13" s="91">
        <f t="shared" si="7"/>
        <v>589547.67000000004</v>
      </c>
      <c r="E13" s="35">
        <f>D13/$D$14</f>
        <v>0.16049934106909924</v>
      </c>
      <c r="F13" s="92">
        <f t="shared" si="0"/>
        <v>611956.95837556431</v>
      </c>
      <c r="G13" s="88">
        <f>ROUND(F13/B13,4)</f>
        <v>0.2155</v>
      </c>
      <c r="H13" s="129">
        <f t="shared" si="10"/>
        <v>2.155E-2</v>
      </c>
      <c r="I13" s="278">
        <f>H13/C13-1</f>
        <v>3.8053949903660733E-2</v>
      </c>
      <c r="J13" s="174"/>
      <c r="K13" s="172" t="str">
        <f t="shared" si="1"/>
        <v>Interruptible</v>
      </c>
      <c r="L13" s="7">
        <f>'VGS forecast'!BU41</f>
        <v>41.916666666666664</v>
      </c>
      <c r="M13" s="8">
        <f t="shared" si="2"/>
        <v>67749.304174950303</v>
      </c>
      <c r="N13" s="136">
        <f t="shared" si="3"/>
        <v>14064.755546719683</v>
      </c>
      <c r="O13" s="136">
        <f t="shared" si="4"/>
        <v>14599.975049701789</v>
      </c>
      <c r="P13" s="123">
        <f t="shared" si="5"/>
        <v>535.21950298210504</v>
      </c>
      <c r="Q13" s="123">
        <f t="shared" si="6"/>
        <v>44.601625248508753</v>
      </c>
      <c r="R13" s="138"/>
      <c r="S13" s="29"/>
      <c r="T13" s="29"/>
      <c r="U13" s="136"/>
      <c r="V13" s="136"/>
      <c r="W13" s="137"/>
      <c r="X13" s="29"/>
      <c r="Y13" s="29"/>
      <c r="Z13" s="136"/>
      <c r="AA13" s="136"/>
      <c r="AB13" s="9"/>
    </row>
    <row r="14" spans="1:28" ht="15" thickBot="1">
      <c r="A14" s="3" t="s">
        <v>25</v>
      </c>
      <c r="B14" s="5">
        <f>SUM(B7:B13)</f>
        <v>9902067</v>
      </c>
      <c r="C14" s="46">
        <f>'Prop EEC 2023 Rates'!H14</f>
        <v>3.7139397905527623E-2</v>
      </c>
      <c r="D14" s="2">
        <f>SUM(D7:D13)</f>
        <v>3673209.2859258782</v>
      </c>
      <c r="E14" s="4">
        <f>SUM(E7:E13)</f>
        <v>1</v>
      </c>
      <c r="F14" s="148">
        <f>SUM(F7:F13)</f>
        <v>3812831.5935708457</v>
      </c>
      <c r="G14" s="222">
        <f>ROUND(F14/B14,4)</f>
        <v>0.3851</v>
      </c>
      <c r="H14" s="130">
        <f>(B7*H7+B8*H8+B9*H9+B10*H10+B11*H11+B12*H12+B13*H13)/B14</f>
        <v>3.8505139062913474E-2</v>
      </c>
      <c r="I14" s="312">
        <f>H14/C14-1</f>
        <v>3.6773379063923528E-2</v>
      </c>
      <c r="J14" s="29"/>
      <c r="K14" s="146"/>
      <c r="L14" s="134"/>
      <c r="M14" s="38"/>
      <c r="N14" s="38"/>
      <c r="O14" s="38"/>
    </row>
    <row r="15" spans="1:28">
      <c r="D15" s="9"/>
      <c r="G15" s="44"/>
      <c r="H15" s="44"/>
      <c r="I15" s="44"/>
    </row>
    <row r="16" spans="1:28" s="20" customFormat="1">
      <c r="A16" s="313" t="s">
        <v>392</v>
      </c>
      <c r="C16" s="79"/>
      <c r="D16" s="16"/>
      <c r="G16" s="314"/>
      <c r="H16" s="314"/>
      <c r="I16" s="314"/>
    </row>
    <row r="17" spans="1:18" s="20" customFormat="1">
      <c r="A17" s="313" t="s">
        <v>396</v>
      </c>
      <c r="C17" s="79"/>
      <c r="D17" s="16"/>
      <c r="G17" s="314"/>
      <c r="H17" s="314"/>
      <c r="I17" s="314"/>
    </row>
    <row r="18" spans="1:18">
      <c r="A18" s="303"/>
      <c r="B18" s="94"/>
      <c r="G18" s="44"/>
      <c r="H18" s="44"/>
    </row>
    <row r="19" spans="1:18">
      <c r="A19" s="3" t="s">
        <v>385</v>
      </c>
      <c r="B19" s="27"/>
      <c r="C19" s="143">
        <f>'PSD Budget Inves Totals 21-23'!E4</f>
        <v>6267878.2599999998</v>
      </c>
      <c r="D19" s="28" t="s">
        <v>391</v>
      </c>
      <c r="E19" s="28"/>
      <c r="F19" s="28"/>
      <c r="G19" s="27"/>
      <c r="P19" s="9"/>
      <c r="R19" s="9"/>
    </row>
    <row r="20" spans="1:18">
      <c r="A20" s="3"/>
      <c r="C20" s="8"/>
      <c r="D20" s="28"/>
      <c r="E20" s="28"/>
      <c r="F20" s="28"/>
      <c r="G20" s="27"/>
      <c r="P20" s="9"/>
      <c r="R20" s="9"/>
    </row>
    <row r="21" spans="1:18">
      <c r="A21" s="3"/>
      <c r="B21" s="94"/>
      <c r="C21" s="8"/>
      <c r="D21" s="28"/>
      <c r="E21" s="28"/>
      <c r="F21" s="28"/>
      <c r="G21" s="27"/>
      <c r="P21" s="9"/>
      <c r="R21" s="9"/>
    </row>
    <row r="22" spans="1:18">
      <c r="A22" s="3"/>
      <c r="B22" s="27"/>
      <c r="C22" s="143"/>
      <c r="D22" s="28"/>
      <c r="E22" s="28"/>
      <c r="F22" s="28"/>
      <c r="G22" s="27"/>
      <c r="P22" s="9"/>
      <c r="R22" s="9"/>
    </row>
    <row r="23" spans="1:18">
      <c r="A23" s="3"/>
      <c r="B23" s="27"/>
      <c r="C23" s="143"/>
      <c r="D23" s="28"/>
      <c r="E23" s="28"/>
      <c r="F23" s="28"/>
      <c r="G23" s="27"/>
      <c r="P23" s="9"/>
      <c r="R23" s="9"/>
    </row>
    <row r="24" spans="1:18">
      <c r="A24" s="3" t="s">
        <v>30</v>
      </c>
      <c r="B24" s="29"/>
      <c r="C24" s="29"/>
      <c r="D24" s="28"/>
      <c r="E24" s="28"/>
      <c r="F24" s="28"/>
      <c r="G24" s="27"/>
      <c r="P24" s="9"/>
      <c r="R24" s="9"/>
    </row>
    <row r="25" spans="1:18">
      <c r="A25" s="3"/>
      <c r="B25" s="27"/>
      <c r="C25" s="220"/>
      <c r="D25" s="28"/>
      <c r="E25" s="28"/>
      <c r="F25" s="28"/>
      <c r="G25" s="27"/>
      <c r="P25" s="9"/>
      <c r="R25" s="9"/>
    </row>
    <row r="26" spans="1:18">
      <c r="A26" s="173" t="s">
        <v>31</v>
      </c>
      <c r="B26" s="27"/>
      <c r="D26" s="28"/>
      <c r="E26" s="28"/>
      <c r="F26" s="28"/>
      <c r="G26" s="27"/>
      <c r="P26" s="9"/>
      <c r="R26" s="9"/>
    </row>
    <row r="27" spans="1:18">
      <c r="A27" s="3" t="s">
        <v>32</v>
      </c>
      <c r="B27" s="27"/>
      <c r="C27" s="28"/>
      <c r="E27" s="27"/>
      <c r="G27" s="44"/>
      <c r="H27" s="44"/>
      <c r="P27" s="9"/>
      <c r="R27" s="9"/>
    </row>
    <row r="28" spans="1:18">
      <c r="A28" s="3" t="s">
        <v>33</v>
      </c>
      <c r="B28" s="27"/>
      <c r="C28" s="28"/>
      <c r="D28" t="s">
        <v>363</v>
      </c>
      <c r="E28" s="27"/>
      <c r="G28" s="44"/>
      <c r="H28" s="44"/>
      <c r="O28">
        <v>0</v>
      </c>
      <c r="P28" s="9">
        <f t="shared" ref="P28:P51" si="12">C28-O28</f>
        <v>0</v>
      </c>
      <c r="R28" s="9"/>
    </row>
    <row r="29" spans="1:18">
      <c r="A29" s="3"/>
      <c r="B29" s="27"/>
      <c r="C29" s="101">
        <f>SUM(C27:C28)</f>
        <v>0</v>
      </c>
      <c r="E29" s="27"/>
      <c r="G29" s="44"/>
      <c r="H29" s="28"/>
      <c r="I29" s="27"/>
      <c r="O29">
        <v>0</v>
      </c>
      <c r="P29" s="9">
        <f t="shared" si="12"/>
        <v>0</v>
      </c>
      <c r="R29" s="9"/>
    </row>
    <row r="30" spans="1:18">
      <c r="E30" s="27"/>
      <c r="G30" s="44"/>
      <c r="H30" s="28"/>
      <c r="I30" s="27"/>
      <c r="P30" s="9">
        <f t="shared" si="12"/>
        <v>0</v>
      </c>
      <c r="R30" s="9"/>
    </row>
    <row r="31" spans="1:18">
      <c r="A31" s="3" t="s">
        <v>34</v>
      </c>
      <c r="C31" s="27">
        <f>C19+C20+C21+C24+C29</f>
        <v>6267878.2599999998</v>
      </c>
      <c r="D31" s="27" t="s">
        <v>76</v>
      </c>
      <c r="E31" s="27"/>
      <c r="G31" s="44"/>
      <c r="H31" s="28"/>
      <c r="I31" s="27"/>
      <c r="O31">
        <v>6267878.2599999998</v>
      </c>
      <c r="P31" s="9">
        <f t="shared" si="12"/>
        <v>0</v>
      </c>
      <c r="R31" s="9"/>
    </row>
    <row r="32" spans="1:18">
      <c r="D32" s="27"/>
      <c r="E32" s="27"/>
      <c r="G32" s="44"/>
      <c r="H32" s="44"/>
      <c r="P32" s="9">
        <f t="shared" si="12"/>
        <v>0</v>
      </c>
      <c r="R32" s="9"/>
    </row>
    <row r="33" spans="1:20">
      <c r="A33" s="3"/>
      <c r="B33" s="27"/>
      <c r="C33" s="29"/>
      <c r="D33" s="27"/>
      <c r="E33" s="27"/>
      <c r="F33" s="29"/>
      <c r="G33" s="28"/>
      <c r="H33" s="44"/>
      <c r="P33" s="9">
        <f t="shared" si="12"/>
        <v>0</v>
      </c>
      <c r="R33" s="9"/>
    </row>
    <row r="34" spans="1:20">
      <c r="A34" s="173" t="s">
        <v>36</v>
      </c>
      <c r="B34" s="27"/>
      <c r="C34" s="29"/>
      <c r="D34" s="27"/>
      <c r="E34" s="27"/>
      <c r="F34" s="29"/>
      <c r="G34" s="44"/>
      <c r="H34" s="44"/>
      <c r="N34" s="26"/>
      <c r="P34" s="9">
        <f t="shared" si="12"/>
        <v>0</v>
      </c>
      <c r="R34" s="9"/>
    </row>
    <row r="35" spans="1:20">
      <c r="A35" s="3" t="s">
        <v>37</v>
      </c>
      <c r="B35" s="27"/>
      <c r="C35" s="29">
        <f>'Loan Amortization'!K12</f>
        <v>80482.722873576116</v>
      </c>
      <c r="D35" s="28"/>
      <c r="E35" s="28"/>
      <c r="F35" s="29"/>
      <c r="G35" s="28"/>
      <c r="H35" s="28"/>
      <c r="J35" s="7"/>
      <c r="K35" s="27"/>
      <c r="N35" s="26"/>
      <c r="O35">
        <v>80482.722873576116</v>
      </c>
      <c r="P35" s="9">
        <f t="shared" si="12"/>
        <v>0</v>
      </c>
      <c r="Q35" s="9"/>
      <c r="R35" s="9"/>
    </row>
    <row r="36" spans="1:20">
      <c r="A36" s="3" t="s">
        <v>38</v>
      </c>
      <c r="B36" s="27"/>
      <c r="C36" s="29">
        <f>'Loan Amortization'!W12</f>
        <v>256245.59186522104</v>
      </c>
      <c r="D36" s="28"/>
      <c r="E36" s="28"/>
      <c r="F36" s="29"/>
      <c r="G36" s="28"/>
      <c r="H36" s="28"/>
      <c r="J36" s="7"/>
      <c r="K36" s="27"/>
      <c r="N36" s="26"/>
      <c r="O36">
        <v>326669.66401952587</v>
      </c>
      <c r="P36" s="9">
        <f t="shared" si="12"/>
        <v>-70424.072154304828</v>
      </c>
      <c r="R36" s="9"/>
    </row>
    <row r="37" spans="1:20">
      <c r="A37" s="3" t="s">
        <v>39</v>
      </c>
      <c r="B37" s="27"/>
      <c r="C37" s="29">
        <f>'Loan Amortization'!AI12</f>
        <v>444458.25824735325</v>
      </c>
      <c r="D37" s="28"/>
      <c r="E37" s="28"/>
      <c r="F37" s="29"/>
      <c r="G37" s="28"/>
      <c r="H37" s="28"/>
      <c r="J37" s="7"/>
      <c r="K37" s="27"/>
      <c r="O37">
        <v>353228.97974398627</v>
      </c>
      <c r="P37" s="9">
        <f t="shared" si="12"/>
        <v>91229.278503366979</v>
      </c>
      <c r="R37" s="9"/>
    </row>
    <row r="38" spans="1:20">
      <c r="A38" s="3" t="s">
        <v>77</v>
      </c>
      <c r="B38" s="27"/>
      <c r="C38" s="29">
        <f>'PSD Budget Inves Totals 21-23'!E5/15*0.5</f>
        <v>113270.58076666665</v>
      </c>
      <c r="D38" s="28" t="s">
        <v>377</v>
      </c>
      <c r="E38" s="28"/>
      <c r="F38" s="29"/>
      <c r="G38" s="28"/>
      <c r="H38" s="28"/>
      <c r="J38" s="7"/>
      <c r="K38" s="27"/>
      <c r="O38" s="14">
        <v>113270.58076666665</v>
      </c>
      <c r="P38" s="9">
        <f t="shared" si="12"/>
        <v>0</v>
      </c>
      <c r="R38" s="9"/>
    </row>
    <row r="39" spans="1:20">
      <c r="A39" s="3"/>
      <c r="B39" s="27"/>
      <c r="C39" s="29"/>
      <c r="D39" s="27"/>
      <c r="E39" s="164"/>
      <c r="F39" s="29"/>
      <c r="G39" s="28"/>
      <c r="H39" s="44"/>
      <c r="J39" s="7"/>
      <c r="K39" s="27"/>
      <c r="P39" s="9">
        <f t="shared" si="12"/>
        <v>0</v>
      </c>
      <c r="R39" s="9"/>
    </row>
    <row r="40" spans="1:20">
      <c r="A40" s="3"/>
      <c r="B40" s="27"/>
      <c r="C40" s="170"/>
      <c r="D40" s="27"/>
      <c r="E40" s="171"/>
      <c r="F40" s="29"/>
      <c r="G40" s="44"/>
      <c r="H40" s="44"/>
      <c r="J40" s="7"/>
      <c r="K40" s="27"/>
      <c r="P40" s="9">
        <f t="shared" si="12"/>
        <v>0</v>
      </c>
      <c r="T40" s="27"/>
    </row>
    <row r="41" spans="1:20">
      <c r="A41" s="3" t="s">
        <v>40</v>
      </c>
      <c r="B41" s="27"/>
      <c r="C41" s="29">
        <f>SUM(C35:C38)</f>
        <v>894457.15375281707</v>
      </c>
      <c r="D41" s="27"/>
      <c r="E41" s="27"/>
      <c r="F41" s="29"/>
      <c r="G41" s="44"/>
      <c r="H41" s="44"/>
      <c r="J41" s="7"/>
      <c r="K41" s="27"/>
      <c r="O41" s="14">
        <v>873651.94740375492</v>
      </c>
      <c r="P41" s="9">
        <f t="shared" si="12"/>
        <v>20805.206349062151</v>
      </c>
      <c r="T41" s="27"/>
    </row>
    <row r="42" spans="1:20">
      <c r="A42" s="3"/>
      <c r="B42" s="27"/>
      <c r="C42" s="29"/>
      <c r="D42" s="27"/>
      <c r="E42" s="27"/>
      <c r="F42" s="29"/>
      <c r="G42" s="44"/>
      <c r="H42" s="44"/>
      <c r="P42" s="9">
        <f t="shared" si="12"/>
        <v>0</v>
      </c>
      <c r="T42" s="27"/>
    </row>
    <row r="43" spans="1:20">
      <c r="A43" s="3" t="s">
        <v>41</v>
      </c>
      <c r="B43" s="27"/>
      <c r="C43" s="29">
        <f>C31+C41</f>
        <v>7162335.4137528166</v>
      </c>
      <c r="D43" s="27" t="s">
        <v>42</v>
      </c>
      <c r="E43" s="27"/>
      <c r="F43" s="29"/>
      <c r="G43" s="28"/>
      <c r="H43" s="44"/>
      <c r="O43">
        <v>7141530.2074037548</v>
      </c>
      <c r="P43" s="9">
        <f t="shared" si="12"/>
        <v>20805.206349061802</v>
      </c>
      <c r="R43" s="9"/>
      <c r="T43" s="27"/>
    </row>
    <row r="44" spans="1:20">
      <c r="A44" s="3" t="s">
        <v>43</v>
      </c>
      <c r="B44" s="27"/>
      <c r="C44" s="29">
        <f>-'PSD Budget Inves Totals 21-23'!E5</f>
        <v>-3398117.4229999995</v>
      </c>
      <c r="D44" s="27" t="s">
        <v>386</v>
      </c>
      <c r="E44" s="27"/>
      <c r="F44" s="29"/>
      <c r="G44" s="28"/>
      <c r="H44" s="44"/>
      <c r="K44" s="27"/>
      <c r="O44">
        <v>-3398117.4229999995</v>
      </c>
      <c r="P44" s="9">
        <f t="shared" si="12"/>
        <v>0</v>
      </c>
      <c r="R44" s="9"/>
    </row>
    <row r="45" spans="1:20">
      <c r="A45" s="163" t="s">
        <v>78</v>
      </c>
      <c r="B45" s="93"/>
      <c r="C45" s="147">
        <f>C47/(1-C54)</f>
        <v>3812831.5935708457</v>
      </c>
      <c r="D45" t="s">
        <v>45</v>
      </c>
      <c r="E45" s="43"/>
      <c r="F45" s="29"/>
      <c r="G45" s="28"/>
      <c r="H45" s="44"/>
      <c r="O45">
        <v>3791757.6950151995</v>
      </c>
      <c r="P45" s="9">
        <f t="shared" si="12"/>
        <v>21073.898555646185</v>
      </c>
      <c r="R45" s="9"/>
    </row>
    <row r="46" spans="1:20">
      <c r="A46" s="3"/>
      <c r="B46" s="27"/>
      <c r="C46" s="29"/>
      <c r="D46" s="27"/>
      <c r="E46" s="27"/>
      <c r="F46" s="29"/>
      <c r="G46" s="28"/>
      <c r="H46" s="44"/>
      <c r="P46" s="9">
        <f t="shared" si="12"/>
        <v>0</v>
      </c>
      <c r="R46" s="9"/>
      <c r="T46" s="94"/>
    </row>
    <row r="47" spans="1:20">
      <c r="A47" s="3" t="s">
        <v>46</v>
      </c>
      <c r="B47" s="93"/>
      <c r="C47" s="29">
        <f>C43+C44</f>
        <v>3764217.9907528171</v>
      </c>
      <c r="D47" s="29" t="s">
        <v>47</v>
      </c>
      <c r="E47" s="27"/>
      <c r="F47" s="29"/>
      <c r="G47" s="28"/>
      <c r="H47" s="44"/>
      <c r="O47">
        <v>3743412.7844037553</v>
      </c>
      <c r="P47" s="9">
        <f>C47-O47</f>
        <v>20805.206349061802</v>
      </c>
      <c r="R47" s="9"/>
      <c r="T47" s="8"/>
    </row>
    <row r="48" spans="1:20">
      <c r="C48" s="28"/>
      <c r="D48" s="29"/>
      <c r="E48" s="27"/>
      <c r="F48" s="29"/>
      <c r="G48" s="28"/>
      <c r="H48" s="44"/>
      <c r="P48" s="9">
        <f t="shared" si="12"/>
        <v>0</v>
      </c>
      <c r="R48" s="9"/>
      <c r="T48" s="27"/>
    </row>
    <row r="49" spans="1:20">
      <c r="A49" t="s">
        <v>48</v>
      </c>
      <c r="C49" s="29">
        <f>C45-C47</f>
        <v>48613.602818028536</v>
      </c>
      <c r="D49" s="29"/>
      <c r="E49" s="27"/>
      <c r="F49" s="29"/>
      <c r="G49" s="44"/>
      <c r="H49" s="44"/>
      <c r="O49">
        <v>48344.910611444153</v>
      </c>
      <c r="P49" s="9">
        <f t="shared" si="12"/>
        <v>268.6922065843828</v>
      </c>
      <c r="R49" s="9"/>
      <c r="T49" s="27"/>
    </row>
    <row r="50" spans="1:20">
      <c r="A50" s="3"/>
      <c r="B50" s="27"/>
      <c r="C50" s="29"/>
      <c r="D50" s="27"/>
      <c r="E50" s="27"/>
      <c r="F50" s="29"/>
      <c r="G50" s="44"/>
      <c r="H50" s="44"/>
      <c r="O50" s="14"/>
      <c r="P50" s="9">
        <f t="shared" si="12"/>
        <v>0</v>
      </c>
      <c r="R50" s="9"/>
    </row>
    <row r="51" spans="1:20">
      <c r="A51" s="3"/>
      <c r="B51" s="27"/>
      <c r="C51" s="27"/>
      <c r="E51" s="27"/>
      <c r="K51" s="27"/>
      <c r="L51" t="s">
        <v>49</v>
      </c>
      <c r="O51">
        <v>3349772.5123885553</v>
      </c>
      <c r="P51" s="9">
        <f t="shared" si="12"/>
        <v>-3349772.5123885553</v>
      </c>
    </row>
    <row r="52" spans="1:20">
      <c r="A52" s="3"/>
      <c r="B52" s="19"/>
      <c r="C52" s="29"/>
      <c r="D52" s="144"/>
      <c r="E52" s="145"/>
      <c r="K52" s="27"/>
      <c r="L52" s="44" t="s">
        <v>50</v>
      </c>
      <c r="P52" s="223"/>
    </row>
    <row r="53" spans="1:20">
      <c r="C53" s="19"/>
      <c r="P53" s="223"/>
    </row>
    <row r="54" spans="1:20">
      <c r="A54" t="s">
        <v>48</v>
      </c>
      <c r="C54" s="228">
        <f>C57+C58</f>
        <v>1.2750000000000001E-2</v>
      </c>
      <c r="D54" t="s">
        <v>51</v>
      </c>
      <c r="P54" s="223"/>
    </row>
    <row r="55" spans="1:20">
      <c r="B55" s="2"/>
      <c r="C55" s="2"/>
      <c r="D55" s="2"/>
      <c r="P55" s="223"/>
    </row>
    <row r="56" spans="1:20">
      <c r="B56" s="133"/>
      <c r="C56" s="2"/>
      <c r="D56" s="2"/>
      <c r="P56" s="223"/>
    </row>
    <row r="57" spans="1:20" ht="13.5" customHeight="1">
      <c r="A57" s="3" t="s">
        <v>52</v>
      </c>
      <c r="C57" s="227">
        <v>5.2500000000000003E-3</v>
      </c>
      <c r="D57" s="29" t="s">
        <v>53</v>
      </c>
      <c r="G57" s="26"/>
      <c r="H57" s="8"/>
      <c r="K57" s="27"/>
      <c r="L57" s="8"/>
      <c r="M57" s="45"/>
    </row>
    <row r="58" spans="1:20" ht="13.5" customHeight="1">
      <c r="A58" s="3" t="s">
        <v>54</v>
      </c>
      <c r="C58" s="226">
        <v>7.4999999999999997E-3</v>
      </c>
      <c r="D58" s="29" t="s">
        <v>55</v>
      </c>
      <c r="G58" s="26"/>
      <c r="H58" s="8"/>
      <c r="K58" s="19"/>
      <c r="L58" s="8"/>
      <c r="M58" s="45"/>
    </row>
    <row r="59" spans="1:20">
      <c r="B59" s="133"/>
      <c r="C59" s="2"/>
      <c r="D59" s="2"/>
    </row>
    <row r="60" spans="1:20">
      <c r="B60" s="133"/>
      <c r="C60" s="2"/>
      <c r="D60" s="2"/>
    </row>
    <row r="61" spans="1:20">
      <c r="B61" s="2"/>
      <c r="C61" s="2"/>
      <c r="D61" s="2"/>
    </row>
    <row r="65" spans="4:4">
      <c r="D65" s="29"/>
    </row>
  </sheetData>
  <mergeCells count="15">
    <mergeCell ref="N5:O5"/>
    <mergeCell ref="P5:Q5"/>
    <mergeCell ref="U5:V5"/>
    <mergeCell ref="Z5:AA5"/>
    <mergeCell ref="H1:I1"/>
    <mergeCell ref="J1:K1"/>
    <mergeCell ref="G2:G5"/>
    <mergeCell ref="H2:H5"/>
    <mergeCell ref="I2:I5"/>
    <mergeCell ref="J2:J5"/>
    <mergeCell ref="B2:B5"/>
    <mergeCell ref="C2:C5"/>
    <mergeCell ref="D2:D5"/>
    <mergeCell ref="E2:E5"/>
    <mergeCell ref="F2:F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2E1B-09EE-4DA0-9352-A5FD0EA30B8C}">
  <dimension ref="A2:U46"/>
  <sheetViews>
    <sheetView workbookViewId="0">
      <selection activeCell="E8" sqref="E8"/>
    </sheetView>
  </sheetViews>
  <sheetFormatPr defaultColWidth="10.54296875" defaultRowHeight="14.5"/>
  <cols>
    <col min="1" max="1" width="44.1796875" customWidth="1"/>
    <col min="2" max="3" width="15.26953125" bestFit="1" customWidth="1"/>
    <col min="4" max="4" width="17.1796875" customWidth="1"/>
    <col min="5" max="5" width="11.54296875" customWidth="1"/>
    <col min="6" max="21" width="11" bestFit="1" customWidth="1"/>
  </cols>
  <sheetData>
    <row r="2" spans="1:14">
      <c r="A2" s="333" t="s">
        <v>118</v>
      </c>
      <c r="B2" s="333"/>
      <c r="C2" s="333"/>
      <c r="D2" s="333"/>
      <c r="E2" s="333"/>
      <c r="F2" s="333"/>
      <c r="G2" s="333"/>
      <c r="H2" s="333"/>
      <c r="I2" s="333"/>
      <c r="J2" s="333"/>
      <c r="K2" s="333"/>
    </row>
    <row r="3" spans="1:14">
      <c r="A3" s="124"/>
      <c r="B3" s="125">
        <v>2021</v>
      </c>
      <c r="C3" s="125">
        <v>2022</v>
      </c>
      <c r="D3" s="125">
        <v>2023</v>
      </c>
      <c r="E3" s="125">
        <v>2024</v>
      </c>
      <c r="F3" s="125">
        <v>2025</v>
      </c>
      <c r="G3" s="125">
        <v>2026</v>
      </c>
      <c r="H3" s="125">
        <v>2027</v>
      </c>
      <c r="I3" s="125">
        <v>2028</v>
      </c>
      <c r="J3" s="125">
        <v>2029</v>
      </c>
      <c r="K3" s="125">
        <v>2030</v>
      </c>
    </row>
    <row r="4" spans="1:14">
      <c r="A4" s="124" t="s">
        <v>119</v>
      </c>
      <c r="B4" s="259">
        <v>4593333</v>
      </c>
      <c r="C4" s="259">
        <v>5262600</v>
      </c>
      <c r="D4" s="259">
        <v>5765226</v>
      </c>
      <c r="E4" s="258">
        <v>6267878.2599999998</v>
      </c>
      <c r="F4" s="126">
        <v>6270557.0426000003</v>
      </c>
      <c r="G4" s="126">
        <v>5773262.6130259996</v>
      </c>
      <c r="H4" s="126">
        <v>5275995.2391562602</v>
      </c>
      <c r="I4" s="126">
        <v>4778755.1915478222</v>
      </c>
      <c r="J4" s="126">
        <v>4531542.7434633011</v>
      </c>
      <c r="K4" s="126">
        <v>4284358.1708979337</v>
      </c>
      <c r="M4" s="2">
        <f>SUM(B4:D4)</f>
        <v>15621159</v>
      </c>
    </row>
    <row r="5" spans="1:14">
      <c r="A5" s="124" t="s">
        <v>120</v>
      </c>
      <c r="B5" s="126">
        <v>1205755.4439999997</v>
      </c>
      <c r="C5" s="126">
        <v>2006848.1660000002</v>
      </c>
      <c r="D5" s="126">
        <v>2659473.5480000004</v>
      </c>
      <c r="E5" s="126">
        <v>3398117.4229999995</v>
      </c>
      <c r="F5" s="126">
        <v>3660721.6813792391</v>
      </c>
      <c r="G5" s="126">
        <v>3336927.2876342358</v>
      </c>
      <c r="H5" s="126">
        <v>2913286.9081592113</v>
      </c>
      <c r="I5" s="126">
        <v>2414799.8669416085</v>
      </c>
      <c r="J5" s="126">
        <v>2091465.5029486269</v>
      </c>
      <c r="K5" s="126">
        <v>1693283.1698812675</v>
      </c>
      <c r="M5" s="2">
        <f>SUM(B5:D5)</f>
        <v>5872077.1579999998</v>
      </c>
      <c r="N5" s="2"/>
    </row>
    <row r="6" spans="1:14">
      <c r="A6" s="248"/>
      <c r="B6" s="249"/>
      <c r="C6" s="253"/>
      <c r="D6" s="253"/>
      <c r="E6" s="253"/>
      <c r="F6" s="253"/>
      <c r="G6" s="253"/>
      <c r="H6" s="253"/>
      <c r="I6" s="253"/>
      <c r="J6" s="253"/>
      <c r="K6" s="253"/>
      <c r="N6" s="2"/>
    </row>
    <row r="7" spans="1:14">
      <c r="A7" s="252" t="s">
        <v>121</v>
      </c>
      <c r="B7" s="251">
        <f>'Loan Amortization'!D5</f>
        <v>642301</v>
      </c>
      <c r="C7" s="251">
        <f>'Loan Amortization'!P5</f>
        <v>1965034</v>
      </c>
      <c r="D7" s="251">
        <f>'Loan Amortization'!AB5</f>
        <v>3264742</v>
      </c>
      <c r="E7" s="249"/>
      <c r="F7" s="249"/>
      <c r="G7" s="249"/>
      <c r="H7" s="249"/>
      <c r="I7" s="249"/>
      <c r="J7" s="249"/>
      <c r="K7" s="250"/>
    </row>
    <row r="8" spans="1:14">
      <c r="A8" s="252" t="s">
        <v>122</v>
      </c>
      <c r="B8" s="256">
        <v>3.1E-2</v>
      </c>
      <c r="C8" s="254">
        <v>3.7999999999999999E-2</v>
      </c>
      <c r="D8" s="254">
        <f>'Prop EEC 2023 Rates'!I14</f>
        <v>-1.6308761318106435E-2</v>
      </c>
      <c r="E8" s="255">
        <f>'Potential EEC 2024 Rates VGS'!I14</f>
        <v>3.6773379063923528E-2</v>
      </c>
      <c r="F8" s="249"/>
      <c r="G8" s="249"/>
      <c r="H8" s="249"/>
      <c r="I8" s="249"/>
      <c r="J8" s="249"/>
      <c r="K8" s="250"/>
    </row>
    <row r="9" spans="1:14">
      <c r="A9" s="252"/>
      <c r="B9" s="256"/>
      <c r="C9" s="254"/>
      <c r="D9" s="254"/>
      <c r="E9" s="255"/>
      <c r="F9" s="249"/>
      <c r="G9" s="249"/>
      <c r="H9" s="249"/>
      <c r="I9" s="249"/>
      <c r="J9" s="249"/>
      <c r="K9" s="250"/>
    </row>
    <row r="10" spans="1:14">
      <c r="A10" s="252" t="s">
        <v>123</v>
      </c>
      <c r="B10" s="256">
        <v>2.9000000000000001E-2</v>
      </c>
      <c r="C10" s="256">
        <v>3.7999999999999999E-2</v>
      </c>
      <c r="D10" s="256">
        <v>5.1999999999999998E-2</v>
      </c>
      <c r="E10" s="249"/>
      <c r="F10" s="249"/>
      <c r="G10" s="249"/>
      <c r="H10" s="249"/>
      <c r="I10" s="249"/>
      <c r="J10" s="249"/>
      <c r="K10" s="250"/>
      <c r="N10" s="2"/>
    </row>
    <row r="11" spans="1:14">
      <c r="A11" s="252"/>
      <c r="B11" s="256"/>
      <c r="C11" s="256"/>
      <c r="D11" s="256"/>
      <c r="E11" s="249"/>
      <c r="F11" s="249"/>
      <c r="G11" s="249"/>
      <c r="H11" s="249"/>
      <c r="I11" s="249"/>
      <c r="J11" s="249"/>
      <c r="K11" s="250"/>
    </row>
    <row r="12" spans="1:14">
      <c r="A12" s="252" t="s">
        <v>124</v>
      </c>
      <c r="B12" s="260">
        <f>3446149.27+199225.95+293487.91</f>
        <v>3938863.1300000004</v>
      </c>
      <c r="C12" s="260">
        <f>C46</f>
        <v>5097808</v>
      </c>
      <c r="D12" s="260">
        <f>(B4+C4+D4)-C12-B12</f>
        <v>6584487.8699999992</v>
      </c>
      <c r="E12" s="260">
        <f>E4</f>
        <v>6267878.2599999998</v>
      </c>
      <c r="F12" s="249"/>
      <c r="G12" s="249"/>
      <c r="H12" s="249"/>
      <c r="I12" s="249"/>
      <c r="J12" s="249"/>
      <c r="K12" s="250"/>
    </row>
    <row r="13" spans="1:14">
      <c r="A13" s="252"/>
      <c r="B13" s="260"/>
      <c r="C13" s="260"/>
      <c r="D13" s="256"/>
      <c r="E13" s="249"/>
      <c r="F13" s="249"/>
      <c r="G13" s="249"/>
      <c r="H13" s="249"/>
      <c r="I13" s="249"/>
      <c r="J13" s="249"/>
      <c r="K13" s="250"/>
    </row>
    <row r="14" spans="1:14">
      <c r="A14" s="248"/>
      <c r="B14" s="261"/>
      <c r="C14" s="263"/>
      <c r="D14" s="261"/>
      <c r="E14" s="261"/>
      <c r="F14" s="261"/>
      <c r="G14" s="261"/>
      <c r="H14" s="261"/>
      <c r="I14" s="261"/>
      <c r="J14" s="261"/>
      <c r="K14" s="262"/>
    </row>
    <row r="15" spans="1:14">
      <c r="A15" s="124"/>
      <c r="B15" s="125">
        <v>2031</v>
      </c>
      <c r="C15" s="125">
        <v>2032</v>
      </c>
      <c r="D15" s="125">
        <v>2033</v>
      </c>
      <c r="E15" s="125">
        <v>2034</v>
      </c>
      <c r="F15" s="125">
        <v>2035</v>
      </c>
      <c r="G15" s="125">
        <v>2036</v>
      </c>
      <c r="H15" s="125">
        <v>2037</v>
      </c>
      <c r="I15" s="125">
        <v>2038</v>
      </c>
      <c r="J15" s="125">
        <v>2039</v>
      </c>
      <c r="K15" s="125">
        <v>2040</v>
      </c>
    </row>
    <row r="16" spans="1:14">
      <c r="A16" s="124" t="s">
        <v>119</v>
      </c>
      <c r="B16" s="126">
        <v>4407201.7526069134</v>
      </c>
      <c r="C16" s="126">
        <v>4533673.7701329822</v>
      </c>
      <c r="D16" s="126">
        <v>4663882.5078343125</v>
      </c>
      <c r="E16" s="126">
        <v>4797939.4929126557</v>
      </c>
      <c r="F16" s="126">
        <v>4935959.592641782</v>
      </c>
      <c r="G16" s="126">
        <v>5078061.1145121995</v>
      </c>
      <c r="H16" s="126">
        <v>5224365.9093796415</v>
      </c>
      <c r="I16" s="126">
        <v>5374999.4777074279</v>
      </c>
      <c r="J16" s="126">
        <v>5530091.0789955119</v>
      </c>
      <c r="K16" s="126">
        <v>5689773.8444918059</v>
      </c>
    </row>
    <row r="17" spans="1:21">
      <c r="A17" s="124" t="s">
        <v>120</v>
      </c>
      <c r="B17" s="126">
        <v>1645404.0090928581</v>
      </c>
      <c r="C17" s="126">
        <v>1551248.2943073269</v>
      </c>
      <c r="D17" s="126">
        <v>1435923.6717318101</v>
      </c>
      <c r="E17" s="126">
        <v>1324541.0361451413</v>
      </c>
      <c r="F17" s="126">
        <v>1167214.6280270545</v>
      </c>
      <c r="G17" s="126">
        <v>914062.13360593934</v>
      </c>
      <c r="H17" s="126">
        <v>665204.78791253269</v>
      </c>
      <c r="I17" s="126">
        <v>320767.48092961498</v>
      </c>
      <c r="J17" s="126">
        <v>-0.13306954503059387</v>
      </c>
      <c r="K17" s="126">
        <v>0.4771015290170908</v>
      </c>
    </row>
    <row r="18" spans="1:21">
      <c r="B18" s="2">
        <f>B4-B12</f>
        <v>654469.86999999965</v>
      </c>
      <c r="C18" s="2">
        <f>C4-C12</f>
        <v>164792</v>
      </c>
      <c r="D18" s="2"/>
    </row>
    <row r="19" spans="1:21">
      <c r="B19" s="2"/>
      <c r="C19" s="2"/>
      <c r="D19" s="2"/>
    </row>
    <row r="20" spans="1:21">
      <c r="A20" t="s">
        <v>115</v>
      </c>
      <c r="B20" s="2"/>
      <c r="C20" s="2"/>
    </row>
    <row r="21" spans="1:21">
      <c r="A21" s="140" t="s">
        <v>125</v>
      </c>
      <c r="B21" s="139">
        <v>44197</v>
      </c>
      <c r="C21" s="139">
        <v>44592</v>
      </c>
      <c r="D21" s="139">
        <v>44957</v>
      </c>
      <c r="E21" s="139">
        <v>45322</v>
      </c>
      <c r="F21" s="139">
        <v>45688</v>
      </c>
      <c r="G21" s="139">
        <v>46053</v>
      </c>
      <c r="H21" s="139">
        <v>46418</v>
      </c>
      <c r="I21" s="139">
        <v>46783</v>
      </c>
      <c r="J21" s="139">
        <v>47149</v>
      </c>
      <c r="K21" s="139">
        <v>47514</v>
      </c>
      <c r="L21" s="139">
        <v>47879</v>
      </c>
      <c r="M21" s="139">
        <v>48244</v>
      </c>
      <c r="N21" s="139">
        <v>48610</v>
      </c>
      <c r="O21" s="139">
        <v>48975</v>
      </c>
      <c r="P21" s="139">
        <v>49340</v>
      </c>
      <c r="Q21" s="139">
        <v>49705</v>
      </c>
      <c r="R21" s="139">
        <v>50071</v>
      </c>
      <c r="S21" s="139">
        <v>50436</v>
      </c>
      <c r="T21" s="139">
        <v>50801</v>
      </c>
      <c r="U21" s="139">
        <v>51166</v>
      </c>
    </row>
    <row r="22" spans="1:21">
      <c r="A22" t="s">
        <v>126</v>
      </c>
      <c r="B22" s="28">
        <v>4047752.7926418576</v>
      </c>
      <c r="C22" s="28">
        <v>4731869.7905682763</v>
      </c>
      <c r="D22" s="28">
        <v>5332595.7884739591</v>
      </c>
      <c r="E22" s="28">
        <v>5780669.7063586982</v>
      </c>
      <c r="F22" s="28">
        <v>5651563.4626222858</v>
      </c>
      <c r="G22" s="28">
        <v>5286802.9740325073</v>
      </c>
      <c r="H22" s="28">
        <v>4760966.155692514</v>
      </c>
      <c r="I22" s="28">
        <v>4159325.9210075117</v>
      </c>
      <c r="J22" s="28">
        <v>4017204.0616508229</v>
      </c>
      <c r="K22" s="28">
        <v>3770899.0075292303</v>
      </c>
      <c r="L22" s="28">
        <v>3757159.0867476608</v>
      </c>
      <c r="M22" s="28">
        <v>4009673.0255731381</v>
      </c>
      <c r="N22" s="28">
        <v>4121852.5115980301</v>
      </c>
      <c r="O22" s="28">
        <v>4146612.7829025541</v>
      </c>
      <c r="P22" s="28">
        <v>4383098.4112165337</v>
      </c>
      <c r="Q22" s="28">
        <v>4536827.5684603928</v>
      </c>
      <c r="R22" s="28">
        <v>4541551.4836088438</v>
      </c>
      <c r="S22" s="28">
        <v>4822636.3485833732</v>
      </c>
      <c r="T22" s="28">
        <v>4959488.8774035778</v>
      </c>
      <c r="U22" s="28">
        <v>5004774.5596860619</v>
      </c>
    </row>
    <row r="23" spans="1:21">
      <c r="A23" t="s">
        <v>127</v>
      </c>
      <c r="B23" s="28">
        <v>260000.20735814222</v>
      </c>
      <c r="C23" s="28">
        <v>262600.20943172363</v>
      </c>
      <c r="D23" s="28">
        <v>265226.21152604086</v>
      </c>
      <c r="E23" s="28">
        <v>267878.47364130127</v>
      </c>
      <c r="F23" s="28">
        <v>270557.25837771432</v>
      </c>
      <c r="G23" s="28">
        <v>273262.83096149145</v>
      </c>
      <c r="H23" s="28">
        <v>275995.45927110635</v>
      </c>
      <c r="I23" s="28">
        <v>278755.41386381746</v>
      </c>
      <c r="J23" s="28">
        <v>281542.9680024556</v>
      </c>
      <c r="K23" s="28">
        <v>284358.39768248016</v>
      </c>
      <c r="L23" s="28">
        <v>287201.98165930493</v>
      </c>
      <c r="M23" s="28">
        <v>290074.00147589803</v>
      </c>
      <c r="N23" s="28">
        <v>292974.74149065698</v>
      </c>
      <c r="O23" s="28">
        <v>295904.48890556354</v>
      </c>
      <c r="P23" s="28">
        <v>298863.53379461926</v>
      </c>
      <c r="Q23" s="28">
        <v>301852.16913256538</v>
      </c>
      <c r="R23" s="28">
        <v>304870.69082389103</v>
      </c>
      <c r="S23" s="28">
        <v>307919.39773212996</v>
      </c>
      <c r="T23" s="28">
        <v>310998.59170945128</v>
      </c>
      <c r="U23" s="28">
        <v>314108.5776265458</v>
      </c>
    </row>
    <row r="24" spans="1:21">
      <c r="A24" t="s">
        <v>128</v>
      </c>
      <c r="B24" s="28">
        <v>260700</v>
      </c>
      <c r="C24" s="28">
        <v>257930</v>
      </c>
      <c r="D24" s="28">
        <v>142120</v>
      </c>
      <c r="E24" s="28">
        <v>208718</v>
      </c>
      <c r="F24" s="28">
        <v>322732</v>
      </c>
      <c r="G24" s="28">
        <v>202156</v>
      </c>
      <c r="H24" s="28">
        <v>212892</v>
      </c>
      <c r="I24" s="28">
        <v>329187</v>
      </c>
      <c r="J24" s="28">
        <v>206199.12</v>
      </c>
      <c r="K24" s="28">
        <v>217149.84</v>
      </c>
      <c r="L24" s="28">
        <v>335770.74</v>
      </c>
      <c r="M24" s="28">
        <v>221493</v>
      </c>
      <c r="N24" s="28">
        <v>221492.83679999999</v>
      </c>
      <c r="O24" s="28">
        <v>342486.15480000002</v>
      </c>
      <c r="P24" s="28">
        <v>225922.86000000002</v>
      </c>
      <c r="Q24" s="28">
        <v>225922.69353600001</v>
      </c>
      <c r="R24" s="28">
        <v>349335.87789600005</v>
      </c>
      <c r="S24" s="28">
        <v>230441.31720000002</v>
      </c>
      <c r="T24" s="28">
        <v>230441.14740672</v>
      </c>
      <c r="U24" s="28">
        <v>356322.59545392008</v>
      </c>
    </row>
    <row r="25" spans="1:21">
      <c r="A25" t="s">
        <v>129</v>
      </c>
      <c r="B25" s="28">
        <v>14880</v>
      </c>
      <c r="C25" s="28">
        <v>0</v>
      </c>
      <c r="D25" s="28">
        <v>14880</v>
      </c>
      <c r="E25" s="28">
        <v>0</v>
      </c>
      <c r="F25" s="28">
        <v>14880</v>
      </c>
      <c r="G25" s="28">
        <v>0</v>
      </c>
      <c r="H25" s="28">
        <v>14880</v>
      </c>
      <c r="I25" s="28">
        <v>0</v>
      </c>
      <c r="J25" s="28">
        <v>14880</v>
      </c>
      <c r="K25" s="28">
        <v>0</v>
      </c>
      <c r="L25" s="28">
        <v>14880</v>
      </c>
      <c r="M25" s="28">
        <v>0</v>
      </c>
      <c r="N25" s="28">
        <v>14880</v>
      </c>
      <c r="O25" s="28">
        <v>0</v>
      </c>
      <c r="P25" s="28">
        <v>14880</v>
      </c>
      <c r="Q25" s="28">
        <v>0</v>
      </c>
      <c r="R25" s="28">
        <v>14880</v>
      </c>
      <c r="S25" s="28">
        <v>0</v>
      </c>
      <c r="T25" s="28">
        <v>14880</v>
      </c>
      <c r="U25" s="28">
        <v>0</v>
      </c>
    </row>
    <row r="26" spans="1:21">
      <c r="A26" t="s">
        <v>130</v>
      </c>
      <c r="B26" s="28">
        <v>2500</v>
      </c>
      <c r="C26" s="28">
        <v>2550</v>
      </c>
      <c r="D26" s="28">
        <v>2601</v>
      </c>
      <c r="E26" s="28">
        <v>2653.02</v>
      </c>
      <c r="F26" s="28">
        <v>2706.0803999999998</v>
      </c>
      <c r="G26" s="28">
        <v>2760.2020079999998</v>
      </c>
      <c r="H26" s="28">
        <v>2815.40604816</v>
      </c>
      <c r="I26" s="28">
        <v>2871.7141691232</v>
      </c>
      <c r="J26" s="28">
        <v>2929.148452505664</v>
      </c>
      <c r="K26" s="28">
        <v>2987.7314215557772</v>
      </c>
      <c r="L26" s="28">
        <v>3047.4860499868928</v>
      </c>
      <c r="M26" s="28">
        <v>3108.4357709866308</v>
      </c>
      <c r="N26" s="28">
        <v>3170.6044864063633</v>
      </c>
      <c r="O26" s="28">
        <v>3234.0165761344906</v>
      </c>
      <c r="P26" s="28">
        <v>3298.6969076571804</v>
      </c>
      <c r="Q26" s="28">
        <v>3364.670845810324</v>
      </c>
      <c r="R26" s="28">
        <v>3431.9642627265307</v>
      </c>
      <c r="S26" s="28">
        <v>3500.6035479810612</v>
      </c>
      <c r="T26" s="28">
        <v>3570.6156189406825</v>
      </c>
      <c r="U26" s="28">
        <v>3642.027931319496</v>
      </c>
    </row>
    <row r="27" spans="1:21">
      <c r="A27" t="s">
        <v>131</v>
      </c>
      <c r="B27" s="28">
        <v>7500</v>
      </c>
      <c r="C27" s="28">
        <v>7650</v>
      </c>
      <c r="D27" s="28">
        <v>7803</v>
      </c>
      <c r="E27" s="28">
        <v>7959.06</v>
      </c>
      <c r="F27" s="28">
        <v>8118.2412000000004</v>
      </c>
      <c r="G27" s="28">
        <v>8280.6060240000006</v>
      </c>
      <c r="H27" s="28">
        <v>8446.2181444800008</v>
      </c>
      <c r="I27" s="28">
        <v>8615.1425073696009</v>
      </c>
      <c r="J27" s="28">
        <v>8787.4453575169937</v>
      </c>
      <c r="K27" s="28">
        <v>8963.1942646673342</v>
      </c>
      <c r="L27" s="28">
        <v>9142.4581499606811</v>
      </c>
      <c r="M27" s="28">
        <v>9325.3073129598943</v>
      </c>
      <c r="N27" s="28">
        <v>9511.8134592190927</v>
      </c>
      <c r="O27" s="28">
        <v>9702.0497284034755</v>
      </c>
      <c r="P27" s="28">
        <v>9896.0907229715449</v>
      </c>
      <c r="Q27" s="28">
        <v>10094.012537430975</v>
      </c>
      <c r="R27" s="28">
        <v>10295.892788179595</v>
      </c>
      <c r="S27" s="28">
        <v>10501.810643943187</v>
      </c>
      <c r="T27" s="28">
        <v>10711.846856822051</v>
      </c>
      <c r="U27" s="28">
        <v>10926.083793958493</v>
      </c>
    </row>
    <row r="28" spans="1:21">
      <c r="A28" t="s">
        <v>132</v>
      </c>
      <c r="B28" s="28">
        <v>285580</v>
      </c>
      <c r="C28" s="28">
        <v>268130</v>
      </c>
      <c r="D28" s="28">
        <v>167404</v>
      </c>
      <c r="E28" s="28">
        <v>219330.08</v>
      </c>
      <c r="F28" s="28">
        <v>348436.32159999997</v>
      </c>
      <c r="G28" s="28">
        <v>213196.808032</v>
      </c>
      <c r="H28" s="28">
        <v>239033.62419263998</v>
      </c>
      <c r="I28" s="28">
        <v>340673.85667649284</v>
      </c>
      <c r="J28" s="28">
        <v>232795.71381002266</v>
      </c>
      <c r="K28" s="28">
        <v>229100.76568622311</v>
      </c>
      <c r="L28" s="28">
        <v>362840.68419994757</v>
      </c>
      <c r="M28" s="28">
        <v>233926.74308394652</v>
      </c>
      <c r="N28" s="28">
        <v>249055.25474562545</v>
      </c>
      <c r="O28" s="28">
        <v>355422.22110453795</v>
      </c>
      <c r="P28" s="28">
        <v>253997.64763062872</v>
      </c>
      <c r="Q28" s="28">
        <v>239381.3769192413</v>
      </c>
      <c r="R28" s="28">
        <v>377943.73494690616</v>
      </c>
      <c r="S28" s="28">
        <v>244443.73139192426</v>
      </c>
      <c r="T28" s="28">
        <v>259603.60988248273</v>
      </c>
      <c r="U28" s="28">
        <v>370890.70717919804</v>
      </c>
    </row>
    <row r="29" spans="1:21" s="141" customFormat="1" ht="15" thickBot="1">
      <c r="A29" s="141" t="s">
        <v>133</v>
      </c>
      <c r="B29" s="142">
        <v>4593333</v>
      </c>
      <c r="C29" s="142">
        <v>5262600</v>
      </c>
      <c r="D29" s="142">
        <v>5765226</v>
      </c>
      <c r="E29" s="142">
        <v>6267878.2599999998</v>
      </c>
      <c r="F29" s="142">
        <v>6270557.0426000003</v>
      </c>
      <c r="G29" s="142">
        <v>5773262.6130259987</v>
      </c>
      <c r="H29" s="142">
        <v>5275995.2391562602</v>
      </c>
      <c r="I29" s="142">
        <v>4778755.1915478222</v>
      </c>
      <c r="J29" s="142">
        <v>4531542.7434633011</v>
      </c>
      <c r="K29" s="142">
        <v>4284358.1708979337</v>
      </c>
      <c r="L29" s="142">
        <v>4407201.7526069134</v>
      </c>
      <c r="M29" s="142">
        <v>4533673.7701329822</v>
      </c>
      <c r="N29" s="142">
        <v>4663882.5078343125</v>
      </c>
      <c r="O29" s="142">
        <v>4797939.4929126557</v>
      </c>
      <c r="P29" s="142">
        <v>4935959.592641782</v>
      </c>
      <c r="Q29" s="142">
        <v>5078061.1145121995</v>
      </c>
      <c r="R29" s="142">
        <v>5224365.9093796415</v>
      </c>
      <c r="S29" s="142">
        <v>5374999.4777074279</v>
      </c>
      <c r="T29" s="142">
        <v>5530091.0789955119</v>
      </c>
      <c r="U29" s="142">
        <v>5689773.8444918059</v>
      </c>
    </row>
    <row r="30" spans="1:21">
      <c r="B30" s="28">
        <f t="shared" ref="B30:U30" si="0">B22+B23+B28</f>
        <v>4593333</v>
      </c>
      <c r="C30" s="28">
        <f t="shared" si="0"/>
        <v>5262600</v>
      </c>
      <c r="D30" s="28">
        <f t="shared" si="0"/>
        <v>5765226</v>
      </c>
      <c r="E30" s="28">
        <f t="shared" si="0"/>
        <v>6267878.2599999998</v>
      </c>
      <c r="F30" s="28">
        <f t="shared" si="0"/>
        <v>6270557.0426000003</v>
      </c>
      <c r="G30" s="28">
        <f t="shared" si="0"/>
        <v>5773262.6130259987</v>
      </c>
      <c r="H30" s="28">
        <f t="shared" si="0"/>
        <v>5275995.2391562602</v>
      </c>
      <c r="I30" s="28">
        <f t="shared" si="0"/>
        <v>4778755.1915478222</v>
      </c>
      <c r="J30" s="28">
        <f t="shared" si="0"/>
        <v>4531542.7434633011</v>
      </c>
      <c r="K30" s="28">
        <f t="shared" si="0"/>
        <v>4284358.1708979337</v>
      </c>
      <c r="L30" s="28">
        <f t="shared" si="0"/>
        <v>4407201.7526069134</v>
      </c>
      <c r="M30" s="28">
        <f t="shared" si="0"/>
        <v>4533673.7701329822</v>
      </c>
      <c r="N30" s="28">
        <f t="shared" si="0"/>
        <v>4663882.5078343125</v>
      </c>
      <c r="O30" s="28">
        <f t="shared" si="0"/>
        <v>4797939.4929126557</v>
      </c>
      <c r="P30" s="28">
        <f t="shared" si="0"/>
        <v>4935959.592641782</v>
      </c>
      <c r="Q30" s="28">
        <f t="shared" si="0"/>
        <v>5078061.1145121995</v>
      </c>
      <c r="R30" s="28">
        <f t="shared" si="0"/>
        <v>5224365.9093796415</v>
      </c>
      <c r="S30" s="28">
        <f t="shared" si="0"/>
        <v>5374999.4777074279</v>
      </c>
      <c r="T30" s="28">
        <f t="shared" si="0"/>
        <v>5530091.0789955119</v>
      </c>
      <c r="U30" s="28">
        <f t="shared" si="0"/>
        <v>5689773.8444918059</v>
      </c>
    </row>
    <row r="31" spans="1:21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1:21">
      <c r="A32" t="s">
        <v>134</v>
      </c>
      <c r="B32" s="28">
        <f t="shared" ref="B32:K32" si="1">B5</f>
        <v>1205755.4439999997</v>
      </c>
      <c r="C32" s="28">
        <f t="shared" si="1"/>
        <v>2006848.1660000002</v>
      </c>
      <c r="D32" s="28">
        <f t="shared" si="1"/>
        <v>2659473.5480000004</v>
      </c>
      <c r="E32" s="28">
        <f t="shared" si="1"/>
        <v>3398117.4229999995</v>
      </c>
      <c r="F32" s="28">
        <f t="shared" si="1"/>
        <v>3660721.6813792391</v>
      </c>
      <c r="G32" s="28">
        <f t="shared" si="1"/>
        <v>3336927.2876342358</v>
      </c>
      <c r="H32" s="28">
        <f t="shared" si="1"/>
        <v>2913286.9081592113</v>
      </c>
      <c r="I32" s="28">
        <f t="shared" si="1"/>
        <v>2414799.8669416085</v>
      </c>
      <c r="J32" s="28">
        <f t="shared" si="1"/>
        <v>2091465.5029486269</v>
      </c>
      <c r="K32" s="28">
        <f t="shared" si="1"/>
        <v>1693283.1698812675</v>
      </c>
      <c r="L32" s="2">
        <f t="shared" ref="L32:U32" si="2">B17</f>
        <v>1645404.0090928581</v>
      </c>
      <c r="M32" s="2">
        <f t="shared" si="2"/>
        <v>1551248.2943073269</v>
      </c>
      <c r="N32" s="2">
        <f t="shared" si="2"/>
        <v>1435923.6717318101</v>
      </c>
      <c r="O32" s="2">
        <f t="shared" si="2"/>
        <v>1324541.0361451413</v>
      </c>
      <c r="P32" s="2">
        <f t="shared" si="2"/>
        <v>1167214.6280270545</v>
      </c>
      <c r="Q32" s="2">
        <f t="shared" si="2"/>
        <v>914062.13360593934</v>
      </c>
      <c r="R32" s="2">
        <f t="shared" si="2"/>
        <v>665204.78791253269</v>
      </c>
      <c r="S32" s="2">
        <f t="shared" si="2"/>
        <v>320767.48092961498</v>
      </c>
      <c r="T32" s="2">
        <f t="shared" si="2"/>
        <v>-0.13306954503059387</v>
      </c>
      <c r="U32" s="2">
        <f t="shared" si="2"/>
        <v>0.4771015290170908</v>
      </c>
    </row>
    <row r="33" spans="1:21">
      <c r="A33" t="s">
        <v>135</v>
      </c>
      <c r="B33" s="28">
        <v>3462577.5560000003</v>
      </c>
      <c r="C33" s="28">
        <v>3480751.8339999998</v>
      </c>
      <c r="D33" s="28">
        <v>3505752.4519999996</v>
      </c>
      <c r="E33" s="28">
        <v>3529760.8370000003</v>
      </c>
      <c r="F33" s="28">
        <v>3534835.3612207612</v>
      </c>
      <c r="G33" s="28">
        <v>3536335.3253917638</v>
      </c>
      <c r="H33" s="28">
        <v>3537708.3309970489</v>
      </c>
      <c r="I33" s="28">
        <v>3538955.3246062137</v>
      </c>
      <c r="J33" s="28">
        <v>3540077.2405146742</v>
      </c>
      <c r="K33" s="28">
        <v>3541075.0010166662</v>
      </c>
      <c r="L33" s="28">
        <v>3536797.7435140554</v>
      </c>
      <c r="M33" s="28">
        <v>3532425.4758256553</v>
      </c>
      <c r="N33" s="28">
        <v>3527958.8361025024</v>
      </c>
      <c r="O33" s="28">
        <v>3523398.4567675143</v>
      </c>
      <c r="P33" s="28">
        <v>3518744.9646147275</v>
      </c>
      <c r="Q33" s="28">
        <v>3513998.9809062602</v>
      </c>
      <c r="R33" s="28">
        <v>3509161.1214671088</v>
      </c>
      <c r="S33" s="28">
        <v>3504231.996777813</v>
      </c>
      <c r="T33" s="28">
        <v>3499212.2120650569</v>
      </c>
      <c r="U33" s="28">
        <v>3494102.3673902769</v>
      </c>
    </row>
    <row r="34" spans="1:21">
      <c r="B34" s="28"/>
    </row>
    <row r="35" spans="1:21">
      <c r="A35" t="s">
        <v>136</v>
      </c>
      <c r="B35" s="28">
        <v>75000</v>
      </c>
      <c r="C35">
        <v>225000</v>
      </c>
      <c r="D35">
        <v>400000</v>
      </c>
      <c r="E35">
        <v>660000</v>
      </c>
      <c r="F35">
        <v>925000</v>
      </c>
      <c r="G35">
        <v>1100000</v>
      </c>
      <c r="H35">
        <v>1175000</v>
      </c>
      <c r="I35">
        <v>1175000</v>
      </c>
      <c r="J35">
        <v>1100000</v>
      </c>
      <c r="K35">
        <v>950000</v>
      </c>
      <c r="L35">
        <v>775000</v>
      </c>
      <c r="M35">
        <v>550000</v>
      </c>
      <c r="N35">
        <v>300000</v>
      </c>
      <c r="O35">
        <v>50000</v>
      </c>
      <c r="P35">
        <v>-250000</v>
      </c>
      <c r="Q35">
        <v>-650000</v>
      </c>
      <c r="R35">
        <v>-1050000</v>
      </c>
      <c r="S35">
        <v>-1550000</v>
      </c>
      <c r="T35">
        <v>-2030879</v>
      </c>
      <c r="U35">
        <v>-2195671</v>
      </c>
    </row>
    <row r="36" spans="1:21">
      <c r="B36" s="28"/>
    </row>
    <row r="37" spans="1:21">
      <c r="A37" t="s">
        <v>137</v>
      </c>
      <c r="B37" s="28">
        <f>B30-B33+B35</f>
        <v>1205755.4439999997</v>
      </c>
      <c r="C37" s="28">
        <f>C30-C33+C35</f>
        <v>2006848.1660000002</v>
      </c>
      <c r="D37" s="28">
        <f>D30-D33+D35</f>
        <v>2659473.5480000004</v>
      </c>
      <c r="E37" s="28">
        <f t="shared" ref="E37:U37" si="3">E30-E33+E35</f>
        <v>3398117.4229999995</v>
      </c>
      <c r="F37" s="28">
        <f t="shared" si="3"/>
        <v>3660721.6813792391</v>
      </c>
      <c r="G37" s="28">
        <f t="shared" si="3"/>
        <v>3336927.2876342349</v>
      </c>
      <c r="H37" s="28">
        <f t="shared" si="3"/>
        <v>2913286.9081592113</v>
      </c>
      <c r="I37" s="28">
        <f t="shared" si="3"/>
        <v>2414799.8669416085</v>
      </c>
      <c r="J37" s="28">
        <f t="shared" si="3"/>
        <v>2091465.5029486269</v>
      </c>
      <c r="K37" s="28">
        <f t="shared" si="3"/>
        <v>1693283.1698812675</v>
      </c>
      <c r="L37" s="28">
        <f t="shared" si="3"/>
        <v>1645404.0090928581</v>
      </c>
      <c r="M37" s="28">
        <f t="shared" si="3"/>
        <v>1551248.2943073269</v>
      </c>
      <c r="N37" s="28">
        <f t="shared" si="3"/>
        <v>1435923.6717318101</v>
      </c>
      <c r="O37" s="28">
        <f t="shared" si="3"/>
        <v>1324541.0361451413</v>
      </c>
      <c r="P37" s="28">
        <f t="shared" si="3"/>
        <v>1167214.6280270545</v>
      </c>
      <c r="Q37" s="28">
        <f t="shared" si="3"/>
        <v>914062.13360593934</v>
      </c>
      <c r="R37" s="28">
        <f t="shared" si="3"/>
        <v>665204.78791253269</v>
      </c>
      <c r="S37" s="28">
        <f t="shared" si="3"/>
        <v>320767.48092961498</v>
      </c>
      <c r="T37" s="28">
        <f t="shared" si="3"/>
        <v>-0.13306954503059387</v>
      </c>
      <c r="U37" s="28">
        <f t="shared" si="3"/>
        <v>0.4771015290170908</v>
      </c>
    </row>
    <row r="38" spans="1:21">
      <c r="B38" s="28"/>
    </row>
    <row r="40" spans="1:21">
      <c r="A40" t="s">
        <v>58</v>
      </c>
      <c r="B40">
        <v>2021</v>
      </c>
      <c r="C40">
        <v>2022</v>
      </c>
    </row>
    <row r="41" spans="1:21">
      <c r="A41" t="s">
        <v>61</v>
      </c>
      <c r="B41" s="260">
        <f>3446149.27+199225.95+293487.91</f>
        <v>3938863.1300000004</v>
      </c>
      <c r="C41">
        <v>2497808</v>
      </c>
    </row>
    <row r="42" spans="1:21">
      <c r="A42" t="s">
        <v>380</v>
      </c>
      <c r="C42">
        <f>500000*4</f>
        <v>2000000</v>
      </c>
    </row>
    <row r="43" spans="1:21">
      <c r="A43" t="s">
        <v>390</v>
      </c>
      <c r="C43">
        <v>600000</v>
      </c>
    </row>
    <row r="46" spans="1:21">
      <c r="A46" t="s">
        <v>97</v>
      </c>
      <c r="B46" s="8">
        <f>SUM(B41:B45)</f>
        <v>3938863.1300000004</v>
      </c>
      <c r="C46" s="8">
        <f>SUM(C41:C45)</f>
        <v>5097808</v>
      </c>
    </row>
  </sheetData>
  <mergeCells count="1">
    <mergeCell ref="A2:K2"/>
  </mergeCells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F736D-5485-4C73-9E03-194FA80AC208}">
  <dimension ref="A1:AK33"/>
  <sheetViews>
    <sheetView tabSelected="1" topLeftCell="K2" zoomScale="90" zoomScaleNormal="90" workbookViewId="0">
      <selection activeCell="AB6" sqref="AB6"/>
    </sheetView>
  </sheetViews>
  <sheetFormatPr defaultRowHeight="14.5"/>
  <cols>
    <col min="2" max="2" width="8" customWidth="1"/>
    <col min="3" max="5" width="12" customWidth="1"/>
    <col min="6" max="6" width="13.81640625" bestFit="1" customWidth="1"/>
    <col min="7" max="7" width="11.54296875" bestFit="1" customWidth="1"/>
    <col min="8" max="8" width="8.54296875" bestFit="1" customWidth="1"/>
    <col min="9" max="9" width="11.54296875" bestFit="1" customWidth="1"/>
    <col min="10" max="10" width="9.26953125" customWidth="1"/>
    <col min="11" max="11" width="9.7265625" bestFit="1" customWidth="1"/>
    <col min="12" max="12" width="3" customWidth="1"/>
    <col min="15" max="15" width="11" customWidth="1"/>
    <col min="16" max="16" width="12" customWidth="1"/>
    <col min="17" max="17" width="12.54296875" customWidth="1"/>
    <col min="19" max="19" width="11" customWidth="1"/>
    <col min="23" max="23" width="10.1796875" customWidth="1"/>
    <col min="27" max="27" width="11" customWidth="1"/>
    <col min="28" max="28" width="12" customWidth="1"/>
    <col min="29" max="29" width="10" customWidth="1"/>
    <col min="30" max="30" width="11.1796875" bestFit="1" customWidth="1"/>
    <col min="31" max="31" width="11" customWidth="1"/>
    <col min="33" max="33" width="13.81640625" bestFit="1" customWidth="1"/>
    <col min="34" max="34" width="14" bestFit="1" customWidth="1"/>
    <col min="35" max="35" width="10.1796875" customWidth="1"/>
    <col min="37" max="37" width="12.26953125" customWidth="1"/>
  </cols>
  <sheetData>
    <row r="1" spans="1:37">
      <c r="A1" t="s">
        <v>393</v>
      </c>
    </row>
    <row r="2" spans="1:37">
      <c r="B2" s="334" t="s">
        <v>79</v>
      </c>
      <c r="C2" s="334"/>
      <c r="D2" s="334"/>
      <c r="E2" s="334"/>
      <c r="F2" s="334"/>
      <c r="G2" s="334"/>
      <c r="H2" s="334"/>
      <c r="I2" s="334"/>
      <c r="J2" s="334"/>
      <c r="K2" s="334"/>
      <c r="N2" s="334" t="s">
        <v>80</v>
      </c>
      <c r="O2" s="334"/>
      <c r="P2" s="334"/>
      <c r="Q2" s="334"/>
      <c r="R2" s="334"/>
      <c r="S2" s="334"/>
      <c r="T2" s="334"/>
      <c r="U2" s="334"/>
      <c r="V2" s="334"/>
      <c r="W2" s="334"/>
      <c r="Z2" s="334" t="s">
        <v>81</v>
      </c>
      <c r="AA2" s="334"/>
      <c r="AB2" s="334"/>
      <c r="AC2" s="334"/>
      <c r="AD2" s="334"/>
      <c r="AE2" s="334"/>
      <c r="AF2" s="334"/>
      <c r="AG2" s="334"/>
      <c r="AH2" s="334"/>
      <c r="AI2" s="334"/>
      <c r="AK2" s="11" t="s">
        <v>82</v>
      </c>
    </row>
    <row r="3" spans="1:37" ht="15.5">
      <c r="C3" s="135" t="s">
        <v>83</v>
      </c>
      <c r="D3" s="231">
        <v>925071</v>
      </c>
      <c r="O3" s="135" t="s">
        <v>83</v>
      </c>
      <c r="P3" s="231">
        <v>2348169</v>
      </c>
      <c r="Q3" s="266"/>
      <c r="AA3" s="135" t="s">
        <v>83</v>
      </c>
      <c r="AB3" s="231">
        <f>5872077-P4-D5</f>
        <v>3264742</v>
      </c>
      <c r="AC3" s="246" t="s">
        <v>84</v>
      </c>
      <c r="AK3" s="8">
        <f>AB5+P5+D5</f>
        <v>5872077</v>
      </c>
    </row>
    <row r="4" spans="1:37">
      <c r="C4" s="135" t="s">
        <v>85</v>
      </c>
      <c r="D4" s="231">
        <v>690132</v>
      </c>
      <c r="O4" s="135" t="s">
        <v>85</v>
      </c>
      <c r="P4" s="231">
        <v>1965034</v>
      </c>
      <c r="Q4" s="266"/>
      <c r="AA4" s="135" t="s">
        <v>85</v>
      </c>
      <c r="AB4" s="231">
        <f>AB3</f>
        <v>3264742</v>
      </c>
      <c r="AK4" s="8"/>
    </row>
    <row r="5" spans="1:37">
      <c r="C5" s="135" t="s">
        <v>86</v>
      </c>
      <c r="D5" s="231">
        <v>642301</v>
      </c>
      <c r="F5" s="156"/>
      <c r="O5" s="135" t="s">
        <v>86</v>
      </c>
      <c r="P5" s="231">
        <v>1965034</v>
      </c>
      <c r="Q5" s="180"/>
      <c r="AA5" s="135" t="s">
        <v>86</v>
      </c>
      <c r="AB5" s="231">
        <f>AB4</f>
        <v>3264742</v>
      </c>
      <c r="AD5" s="9"/>
    </row>
    <row r="6" spans="1:37">
      <c r="C6" s="135" t="s">
        <v>87</v>
      </c>
      <c r="D6" s="211">
        <v>15</v>
      </c>
      <c r="O6" s="135" t="s">
        <v>87</v>
      </c>
      <c r="P6" s="211">
        <v>15</v>
      </c>
      <c r="AA6" s="135" t="s">
        <v>87</v>
      </c>
      <c r="AB6" s="211">
        <v>15</v>
      </c>
      <c r="AD6" s="9"/>
    </row>
    <row r="7" spans="1:37">
      <c r="C7" s="135"/>
      <c r="D7" s="135"/>
      <c r="E7" s="135"/>
      <c r="O7" s="135"/>
      <c r="P7" s="135"/>
      <c r="Q7" s="135"/>
      <c r="Y7" s="247"/>
      <c r="AA7" s="135" t="s">
        <v>374</v>
      </c>
      <c r="AB7" s="268">
        <v>0.75</v>
      </c>
      <c r="AC7" s="135"/>
      <c r="AD7" t="s">
        <v>378</v>
      </c>
    </row>
    <row r="8" spans="1:37" s="230" customFormat="1" ht="29">
      <c r="B8" s="229" t="s">
        <v>58</v>
      </c>
      <c r="C8" s="229" t="s">
        <v>88</v>
      </c>
      <c r="D8" s="229" t="s">
        <v>89</v>
      </c>
      <c r="E8" s="229" t="s">
        <v>90</v>
      </c>
      <c r="F8" s="229" t="s">
        <v>91</v>
      </c>
      <c r="G8" s="229" t="s">
        <v>92</v>
      </c>
      <c r="H8" s="229" t="s">
        <v>93</v>
      </c>
      <c r="I8" s="229" t="s">
        <v>94</v>
      </c>
      <c r="J8" s="229" t="s">
        <v>95</v>
      </c>
      <c r="K8" s="229" t="s">
        <v>96</v>
      </c>
      <c r="N8" s="229" t="s">
        <v>58</v>
      </c>
      <c r="O8" s="229" t="s">
        <v>88</v>
      </c>
      <c r="P8" s="229" t="s">
        <v>89</v>
      </c>
      <c r="Q8" s="229" t="s">
        <v>90</v>
      </c>
      <c r="R8" s="229" t="s">
        <v>91</v>
      </c>
      <c r="S8" s="229" t="s">
        <v>92</v>
      </c>
      <c r="T8" s="229" t="s">
        <v>93</v>
      </c>
      <c r="U8" s="229" t="s">
        <v>94</v>
      </c>
      <c r="V8" s="229" t="s">
        <v>95</v>
      </c>
      <c r="W8" s="229" t="s">
        <v>96</v>
      </c>
      <c r="Z8" s="229" t="s">
        <v>58</v>
      </c>
      <c r="AA8" s="229" t="s">
        <v>88</v>
      </c>
      <c r="AB8" s="229" t="s">
        <v>89</v>
      </c>
      <c r="AC8" s="229" t="s">
        <v>90</v>
      </c>
      <c r="AD8" s="229" t="s">
        <v>91</v>
      </c>
      <c r="AE8" s="229" t="s">
        <v>92</v>
      </c>
      <c r="AF8" s="229" t="s">
        <v>93</v>
      </c>
      <c r="AG8" s="229" t="s">
        <v>94</v>
      </c>
      <c r="AH8" s="229" t="s">
        <v>95</v>
      </c>
      <c r="AI8" s="229" t="s">
        <v>96</v>
      </c>
      <c r="AK8" s="229" t="s">
        <v>97</v>
      </c>
    </row>
    <row r="9" spans="1:37">
      <c r="A9" s="135" t="s">
        <v>98</v>
      </c>
      <c r="B9">
        <v>2021</v>
      </c>
      <c r="C9" s="7">
        <f>D3</f>
        <v>925071</v>
      </c>
      <c r="D9" s="7"/>
      <c r="E9" s="8"/>
      <c r="F9" s="257">
        <f>D3/$D$6</f>
        <v>61671.4</v>
      </c>
      <c r="G9" s="7">
        <f>C9-D9-F9</f>
        <v>863399.6</v>
      </c>
      <c r="H9" s="10"/>
      <c r="J9" s="8"/>
      <c r="K9" s="7">
        <f>E9+F9+I9</f>
        <v>61671.4</v>
      </c>
    </row>
    <row r="10" spans="1:37">
      <c r="A10" s="135" t="s">
        <v>99</v>
      </c>
      <c r="B10">
        <v>2022</v>
      </c>
      <c r="C10" s="7">
        <f>G9</f>
        <v>863399.6</v>
      </c>
      <c r="D10" s="7">
        <f>D4-D3</f>
        <v>-234939</v>
      </c>
      <c r="E10" s="8">
        <f>(D4-D3)/15</f>
        <v>-15662.6</v>
      </c>
      <c r="F10" s="7">
        <f>D4/($D$6)</f>
        <v>46008.800000000003</v>
      </c>
      <c r="G10" s="7">
        <f>C10+D10-F10-E10</f>
        <v>598114.39999999991</v>
      </c>
      <c r="H10" s="213">
        <v>7.4953102303382452E-2</v>
      </c>
      <c r="I10" s="7">
        <f>AVERAGE(690132,644123)*H10</f>
        <v>50003.275756899777</v>
      </c>
      <c r="J10" s="8"/>
      <c r="K10" s="7">
        <f>E10+F10+I10</f>
        <v>80349.475756899774</v>
      </c>
      <c r="M10" s="135" t="s">
        <v>98</v>
      </c>
      <c r="N10">
        <v>2022</v>
      </c>
      <c r="O10" s="7">
        <f>P3</f>
        <v>2348169</v>
      </c>
      <c r="P10" s="7"/>
      <c r="Q10" s="8"/>
      <c r="R10" s="7">
        <f>P3/$D$6</f>
        <v>156544.6</v>
      </c>
      <c r="S10" s="7">
        <f>O10-P10-R10</f>
        <v>2191624.4</v>
      </c>
      <c r="T10" s="10"/>
      <c r="V10" s="8"/>
      <c r="W10" s="7">
        <f>Q10+R10+U10</f>
        <v>156544.6</v>
      </c>
    </row>
    <row r="11" spans="1:37" ht="14.25" customHeight="1">
      <c r="A11" s="135" t="s">
        <v>100</v>
      </c>
      <c r="B11" s="233">
        <v>2023</v>
      </c>
      <c r="C11" s="234">
        <f>G10</f>
        <v>598114.39999999991</v>
      </c>
      <c r="D11" s="234">
        <f>D5-D4</f>
        <v>-47831</v>
      </c>
      <c r="E11" s="236">
        <f>(D5-D4)/15*2</f>
        <v>-6377.4666666666662</v>
      </c>
      <c r="F11" s="234">
        <f>D$5/15</f>
        <v>42820.066666666666</v>
      </c>
      <c r="G11" s="234">
        <f>C11+D11-F11-E11</f>
        <v>513840.79999999993</v>
      </c>
      <c r="H11" s="235">
        <f>'15 years_PSD Surrebuttal'!C70</f>
        <v>7.6483150031126795E-2</v>
      </c>
      <c r="I11" s="234">
        <f>AVERAGE(((D5-(D5/15)*2)),((D5-(D5/15)*3)))*H11</f>
        <v>40937.669790118976</v>
      </c>
      <c r="J11" s="234">
        <f>AVERAGE((D5-(D5/D6)),((D5-(D5/D6)*2)))*H10-I10</f>
        <v>-6675.0684505914105</v>
      </c>
      <c r="K11" s="234">
        <f>E11+F11+I11+J11</f>
        <v>70705.201339527557</v>
      </c>
      <c r="M11" s="240" t="s">
        <v>99</v>
      </c>
      <c r="N11" s="233">
        <v>2023</v>
      </c>
      <c r="O11" s="234">
        <f>S10</f>
        <v>2191624.4</v>
      </c>
      <c r="P11" s="234">
        <f>P4-P3</f>
        <v>-383135</v>
      </c>
      <c r="Q11" s="236">
        <f>(P4-P3)/15</f>
        <v>-25542.333333333332</v>
      </c>
      <c r="R11" s="234">
        <f>P4/($P$6)</f>
        <v>131002.26666666666</v>
      </c>
      <c r="S11" s="234">
        <f>O11+P11-R11-Q11</f>
        <v>1703029.4666666666</v>
      </c>
      <c r="T11" s="237">
        <f>H11</f>
        <v>7.6483150031126795E-2</v>
      </c>
      <c r="U11" s="234">
        <f>AVERAGE((P4-P4/P6),S11)*T11</f>
        <v>135262.79121443871</v>
      </c>
      <c r="V11" s="236"/>
      <c r="W11" s="234">
        <f>Q11+R11+U11</f>
        <v>240722.72454777203</v>
      </c>
      <c r="Y11" s="240" t="s">
        <v>98</v>
      </c>
      <c r="Z11" s="233">
        <v>2023</v>
      </c>
      <c r="AA11" s="234">
        <f>AB3</f>
        <v>3264742</v>
      </c>
      <c r="AB11" s="234"/>
      <c r="AC11" s="236"/>
      <c r="AD11" s="234">
        <f>((AB3/$AB$6))*AB7</f>
        <v>163237.1</v>
      </c>
      <c r="AE11" s="234">
        <f>AA11-AB11-AD11</f>
        <v>3101504.9</v>
      </c>
      <c r="AF11" s="235"/>
      <c r="AG11" s="233"/>
      <c r="AH11" s="236"/>
      <c r="AI11" s="234">
        <f>AC11+AD11+AG11</f>
        <v>163237.1</v>
      </c>
      <c r="AK11" s="8">
        <f>AI11+W11+K11</f>
        <v>474665.02588729962</v>
      </c>
    </row>
    <row r="12" spans="1:37">
      <c r="A12" s="135" t="s">
        <v>101</v>
      </c>
      <c r="B12">
        <v>2024</v>
      </c>
      <c r="C12" s="7">
        <f>G11</f>
        <v>513840.79999999993</v>
      </c>
      <c r="D12" s="7"/>
      <c r="E12" s="8">
        <f t="shared" ref="E12:E23" si="0">D12/15</f>
        <v>0</v>
      </c>
      <c r="F12" s="238">
        <f>D$5/D$6</f>
        <v>42820.066666666666</v>
      </c>
      <c r="G12" s="7">
        <f t="shared" ref="G12:G23" si="1">C12+D12-F12</f>
        <v>471020.73333333328</v>
      </c>
      <c r="H12" s="243">
        <f>H11</f>
        <v>7.6483150031126795E-2</v>
      </c>
      <c r="I12" s="7">
        <f>AVERAGE(G11:G12)*H12</f>
        <v>37662.656206909451</v>
      </c>
      <c r="J12" s="8"/>
      <c r="K12" s="7">
        <f t="shared" ref="K12:K23" si="2">E12+F12+I12</f>
        <v>80482.722873576116</v>
      </c>
      <c r="M12" s="135" t="s">
        <v>100</v>
      </c>
      <c r="N12">
        <v>2024</v>
      </c>
      <c r="O12" s="238">
        <f>S11</f>
        <v>1703029.4666666666</v>
      </c>
      <c r="P12" s="238">
        <f>P5-P4</f>
        <v>0</v>
      </c>
      <c r="Q12" s="8">
        <f>(P5-P4)/15*2</f>
        <v>0</v>
      </c>
      <c r="R12" s="238">
        <f>P$5/P6</f>
        <v>131002.26666666666</v>
      </c>
      <c r="S12" s="238">
        <f>O12+P12-R12-Q12</f>
        <v>1572027.2</v>
      </c>
      <c r="T12" s="244">
        <f>T11</f>
        <v>7.6483150031126795E-2</v>
      </c>
      <c r="U12" s="238">
        <f>AVERAGE(((P5-(P5/15)*2)),((P5-(P5/15)*3)))*T12</f>
        <v>125243.32519855436</v>
      </c>
      <c r="V12" s="267">
        <f>AVERAGE((P5-(P5/P6)),((P5-(P5/P6)*2)))*T11-U11</f>
        <v>0</v>
      </c>
      <c r="W12" s="238">
        <f>Q12+R12+U12+V12</f>
        <v>256245.59186522104</v>
      </c>
      <c r="Y12" s="135" t="s">
        <v>99</v>
      </c>
      <c r="Z12">
        <v>2024</v>
      </c>
      <c r="AA12" s="238">
        <f>AE11</f>
        <v>3101504.9</v>
      </c>
      <c r="AB12" s="238">
        <f>AB4-AB3</f>
        <v>0</v>
      </c>
      <c r="AC12" s="8">
        <f>(AB4-AB3)/15</f>
        <v>0</v>
      </c>
      <c r="AD12" s="238">
        <f>AB4/($AB$6)</f>
        <v>217649.46666666667</v>
      </c>
      <c r="AE12" s="238">
        <f>AA12+AB12-AD12-AC12</f>
        <v>2883855.4333333331</v>
      </c>
      <c r="AF12" s="245">
        <f>T12</f>
        <v>7.6483150031126795E-2</v>
      </c>
      <c r="AG12" s="238">
        <f>AVERAGE((AB4-AB4/AB6),AE12)*AF12</f>
        <v>226808.79158068655</v>
      </c>
      <c r="AH12" s="8"/>
      <c r="AI12" s="238">
        <f>AC12+AD12+AG12</f>
        <v>444458.25824735325</v>
      </c>
      <c r="AK12" s="8">
        <f>AI12+W12+K12</f>
        <v>781186.57298615039</v>
      </c>
    </row>
    <row r="13" spans="1:37">
      <c r="A13" s="135" t="s">
        <v>102</v>
      </c>
      <c r="B13">
        <v>2025</v>
      </c>
      <c r="C13" s="7">
        <f t="shared" ref="C13:C23" si="3">G12</f>
        <v>471020.73333333328</v>
      </c>
      <c r="D13" s="7"/>
      <c r="E13" s="8">
        <f t="shared" si="0"/>
        <v>0</v>
      </c>
      <c r="F13" s="238">
        <f t="shared" ref="F13:F22" si="4">D$5/D$6</f>
        <v>42820.066666666666</v>
      </c>
      <c r="G13" s="7">
        <f t="shared" si="1"/>
        <v>428200.66666666663</v>
      </c>
      <c r="H13" s="232"/>
      <c r="I13" s="7">
        <f t="shared" ref="I13:I23" si="5">AVERAGE(G12:G13)*H13</f>
        <v>0</v>
      </c>
      <c r="J13" s="8"/>
      <c r="K13" s="7">
        <f t="shared" si="2"/>
        <v>42820.066666666666</v>
      </c>
      <c r="M13" s="135" t="s">
        <v>101</v>
      </c>
      <c r="N13">
        <v>2025</v>
      </c>
      <c r="O13" s="7">
        <f>S12</f>
        <v>1572027.2</v>
      </c>
      <c r="P13" s="7"/>
      <c r="Q13" s="8">
        <f t="shared" ref="Q13:Q24" si="6">P13/15</f>
        <v>0</v>
      </c>
      <c r="R13" s="238">
        <f>P$5/15</f>
        <v>131002.26666666666</v>
      </c>
      <c r="S13" s="7">
        <f t="shared" ref="S13:S24" si="7">O13+P13-R13</f>
        <v>1441024.9333333333</v>
      </c>
      <c r="T13" s="232"/>
      <c r="U13" s="7">
        <f>AVERAGE(S12:S13)*T13</f>
        <v>0</v>
      </c>
      <c r="V13" s="8"/>
      <c r="W13" s="7">
        <f t="shared" ref="W13:W24" si="8">Q13+R13+U13</f>
        <v>131002.26666666666</v>
      </c>
      <c r="Y13" s="135" t="s">
        <v>100</v>
      </c>
      <c r="Z13">
        <v>2025</v>
      </c>
      <c r="AA13" s="238">
        <f>AE12</f>
        <v>2883855.4333333331</v>
      </c>
      <c r="AB13" s="238">
        <f>AB5-AB4</f>
        <v>0</v>
      </c>
      <c r="AC13" s="8">
        <f>(AB5-AB4)/15*2</f>
        <v>0</v>
      </c>
      <c r="AD13" s="238">
        <f>AB$5/$AB$6</f>
        <v>217649.46666666667</v>
      </c>
      <c r="AE13" s="238">
        <f>AA13+AB13-AD13-AC13</f>
        <v>2666205.9666666663</v>
      </c>
      <c r="AF13" s="239"/>
      <c r="AG13" s="238">
        <f>AVERAGE(((AB5-(AB5/15)*2)),((AB5-(AB5/15)*3)))*AF13</f>
        <v>0</v>
      </c>
      <c r="AH13" s="238">
        <f>AVERAGE((AB5-(AB5/AB6*AB7)),((AB5-(AB5/AB6)*2)))*AF12-AG12</f>
        <v>0</v>
      </c>
      <c r="AI13" s="238">
        <f>AC13+AD13+AG13+AH13</f>
        <v>217649.46666666667</v>
      </c>
    </row>
    <row r="14" spans="1:37">
      <c r="A14" s="135" t="s">
        <v>103</v>
      </c>
      <c r="B14">
        <v>2026</v>
      </c>
      <c r="C14" s="7">
        <f t="shared" si="3"/>
        <v>428200.66666666663</v>
      </c>
      <c r="D14" s="7"/>
      <c r="E14" s="8">
        <f t="shared" si="0"/>
        <v>0</v>
      </c>
      <c r="F14" s="238">
        <f t="shared" si="4"/>
        <v>42820.066666666666</v>
      </c>
      <c r="G14" s="7">
        <f t="shared" si="1"/>
        <v>385380.6</v>
      </c>
      <c r="H14" s="232"/>
      <c r="I14" s="7">
        <f t="shared" si="5"/>
        <v>0</v>
      </c>
      <c r="J14" s="8"/>
      <c r="K14" s="7">
        <f t="shared" si="2"/>
        <v>42820.066666666666</v>
      </c>
      <c r="M14" s="135" t="s">
        <v>102</v>
      </c>
      <c r="N14">
        <v>2026</v>
      </c>
      <c r="O14" s="7">
        <f t="shared" ref="O14:O24" si="9">S13</f>
        <v>1441024.9333333333</v>
      </c>
      <c r="P14" s="7"/>
      <c r="Q14" s="8">
        <f t="shared" si="6"/>
        <v>0</v>
      </c>
      <c r="R14" s="238">
        <f t="shared" ref="R14:R24" si="10">P$5/15</f>
        <v>131002.26666666666</v>
      </c>
      <c r="S14" s="7">
        <f t="shared" si="7"/>
        <v>1310022.6666666667</v>
      </c>
      <c r="T14" s="232"/>
      <c r="U14" s="7">
        <f t="shared" ref="U14:U24" si="11">AVERAGE(S13:S14)*T14</f>
        <v>0</v>
      </c>
      <c r="V14" s="8"/>
      <c r="W14" s="7">
        <f t="shared" si="8"/>
        <v>131002.26666666666</v>
      </c>
      <c r="Y14" s="135" t="s">
        <v>101</v>
      </c>
      <c r="Z14">
        <v>2025</v>
      </c>
      <c r="AA14" s="7">
        <f>AE13</f>
        <v>2666205.9666666663</v>
      </c>
      <c r="AB14" s="7"/>
      <c r="AC14" s="8">
        <f t="shared" ref="AC14:AC26" si="12">AB14/15</f>
        <v>0</v>
      </c>
      <c r="AD14" s="238">
        <f t="shared" ref="AD14:AD25" si="13">AB$5/$AB$6</f>
        <v>217649.46666666667</v>
      </c>
      <c r="AE14" s="7">
        <f t="shared" ref="AE14:AE25" si="14">AA14+AB14-AD14</f>
        <v>2448556.4999999995</v>
      </c>
      <c r="AF14" s="232"/>
      <c r="AG14" s="7">
        <f>AVERAGE(AE13:AE14)*AF14</f>
        <v>0</v>
      </c>
      <c r="AH14" s="8"/>
      <c r="AI14" s="7">
        <f t="shared" ref="AI14:AI25" si="15">AC14+AD14+AG14</f>
        <v>217649.46666666667</v>
      </c>
    </row>
    <row r="15" spans="1:37">
      <c r="A15" s="135" t="s">
        <v>104</v>
      </c>
      <c r="B15">
        <v>2027</v>
      </c>
      <c r="C15" s="7">
        <f t="shared" si="3"/>
        <v>385380.6</v>
      </c>
      <c r="D15" s="7"/>
      <c r="E15" s="8">
        <f t="shared" si="0"/>
        <v>0</v>
      </c>
      <c r="F15" s="238">
        <f t="shared" si="4"/>
        <v>42820.066666666666</v>
      </c>
      <c r="G15" s="7">
        <f t="shared" si="1"/>
        <v>342560.53333333333</v>
      </c>
      <c r="H15" s="232"/>
      <c r="I15" s="7">
        <f t="shared" si="5"/>
        <v>0</v>
      </c>
      <c r="J15" s="8"/>
      <c r="K15" s="7">
        <f t="shared" si="2"/>
        <v>42820.066666666666</v>
      </c>
      <c r="M15" s="135" t="s">
        <v>103</v>
      </c>
      <c r="N15">
        <v>2027</v>
      </c>
      <c r="O15" s="7">
        <f t="shared" si="9"/>
        <v>1310022.6666666667</v>
      </c>
      <c r="P15" s="7"/>
      <c r="Q15" s="8">
        <f t="shared" si="6"/>
        <v>0</v>
      </c>
      <c r="R15" s="238">
        <f t="shared" si="10"/>
        <v>131002.26666666666</v>
      </c>
      <c r="S15" s="7">
        <f t="shared" si="7"/>
        <v>1179020.4000000001</v>
      </c>
      <c r="T15" s="232"/>
      <c r="U15" s="7">
        <f t="shared" si="11"/>
        <v>0</v>
      </c>
      <c r="V15" s="8"/>
      <c r="W15" s="7">
        <f t="shared" si="8"/>
        <v>131002.26666666666</v>
      </c>
      <c r="Y15" s="135" t="s">
        <v>102</v>
      </c>
      <c r="Z15">
        <v>2026</v>
      </c>
      <c r="AA15" s="7">
        <f t="shared" ref="AA15:AA26" si="16">AE14</f>
        <v>2448556.4999999995</v>
      </c>
      <c r="AB15" s="7"/>
      <c r="AC15" s="8">
        <f t="shared" si="12"/>
        <v>0</v>
      </c>
      <c r="AD15" s="238">
        <f t="shared" si="13"/>
        <v>217649.46666666667</v>
      </c>
      <c r="AE15" s="7">
        <f t="shared" si="14"/>
        <v>2230907.0333333327</v>
      </c>
      <c r="AF15" s="232"/>
      <c r="AG15" s="7">
        <f t="shared" ref="AG15:AG25" si="17">AVERAGE(AE14:AE15)*AF15</f>
        <v>0</v>
      </c>
      <c r="AH15" s="8"/>
      <c r="AI15" s="7">
        <f t="shared" si="15"/>
        <v>217649.46666666667</v>
      </c>
    </row>
    <row r="16" spans="1:37">
      <c r="A16" s="135" t="s">
        <v>105</v>
      </c>
      <c r="B16">
        <v>2028</v>
      </c>
      <c r="C16" s="7">
        <f t="shared" si="3"/>
        <v>342560.53333333333</v>
      </c>
      <c r="D16" s="7"/>
      <c r="E16" s="8">
        <f t="shared" si="0"/>
        <v>0</v>
      </c>
      <c r="F16" s="238">
        <f t="shared" si="4"/>
        <v>42820.066666666666</v>
      </c>
      <c r="G16" s="7">
        <f t="shared" si="1"/>
        <v>299740.46666666667</v>
      </c>
      <c r="H16" s="232"/>
      <c r="I16" s="7">
        <f t="shared" si="5"/>
        <v>0</v>
      </c>
      <c r="J16" s="8"/>
      <c r="K16" s="7">
        <f t="shared" si="2"/>
        <v>42820.066666666666</v>
      </c>
      <c r="M16" s="135" t="s">
        <v>104</v>
      </c>
      <c r="N16">
        <v>2028</v>
      </c>
      <c r="O16" s="7">
        <f t="shared" si="9"/>
        <v>1179020.4000000001</v>
      </c>
      <c r="P16" s="7"/>
      <c r="Q16" s="8">
        <f t="shared" si="6"/>
        <v>0</v>
      </c>
      <c r="R16" s="238">
        <f t="shared" si="10"/>
        <v>131002.26666666666</v>
      </c>
      <c r="S16" s="7">
        <f t="shared" si="7"/>
        <v>1048018.1333333335</v>
      </c>
      <c r="T16" s="232"/>
      <c r="U16" s="7">
        <f t="shared" si="11"/>
        <v>0</v>
      </c>
      <c r="V16" s="8"/>
      <c r="W16" s="7">
        <f t="shared" si="8"/>
        <v>131002.26666666666</v>
      </c>
      <c r="Y16" s="135" t="s">
        <v>103</v>
      </c>
      <c r="Z16">
        <v>2027</v>
      </c>
      <c r="AA16" s="7">
        <f t="shared" si="16"/>
        <v>2230907.0333333327</v>
      </c>
      <c r="AB16" s="7"/>
      <c r="AC16" s="8">
        <f t="shared" si="12"/>
        <v>0</v>
      </c>
      <c r="AD16" s="238">
        <f t="shared" si="13"/>
        <v>217649.46666666667</v>
      </c>
      <c r="AE16" s="7">
        <f t="shared" si="14"/>
        <v>2013257.566666666</v>
      </c>
      <c r="AF16" s="232"/>
      <c r="AG16" s="7">
        <f t="shared" si="17"/>
        <v>0</v>
      </c>
      <c r="AH16" s="8"/>
      <c r="AI16" s="7">
        <f t="shared" si="15"/>
        <v>217649.46666666667</v>
      </c>
    </row>
    <row r="17" spans="1:35">
      <c r="A17" s="135" t="s">
        <v>106</v>
      </c>
      <c r="B17">
        <v>2029</v>
      </c>
      <c r="C17" s="7">
        <f t="shared" si="3"/>
        <v>299740.46666666667</v>
      </c>
      <c r="D17" s="7"/>
      <c r="E17" s="8">
        <f t="shared" si="0"/>
        <v>0</v>
      </c>
      <c r="F17" s="238">
        <f t="shared" si="4"/>
        <v>42820.066666666666</v>
      </c>
      <c r="G17" s="7">
        <f t="shared" si="1"/>
        <v>256920.40000000002</v>
      </c>
      <c r="H17" s="232"/>
      <c r="I17" s="7">
        <f t="shared" si="5"/>
        <v>0</v>
      </c>
      <c r="J17" s="8"/>
      <c r="K17" s="7">
        <f t="shared" si="2"/>
        <v>42820.066666666666</v>
      </c>
      <c r="M17" s="135" t="s">
        <v>105</v>
      </c>
      <c r="N17">
        <v>2029</v>
      </c>
      <c r="O17" s="7">
        <f t="shared" si="9"/>
        <v>1048018.1333333335</v>
      </c>
      <c r="P17" s="7"/>
      <c r="Q17" s="8">
        <f t="shared" si="6"/>
        <v>0</v>
      </c>
      <c r="R17" s="238">
        <f t="shared" si="10"/>
        <v>131002.26666666666</v>
      </c>
      <c r="S17" s="7">
        <f t="shared" si="7"/>
        <v>917015.86666666693</v>
      </c>
      <c r="T17" s="232"/>
      <c r="U17" s="7">
        <f t="shared" si="11"/>
        <v>0</v>
      </c>
      <c r="V17" s="8"/>
      <c r="W17" s="7">
        <f t="shared" si="8"/>
        <v>131002.26666666666</v>
      </c>
      <c r="Y17" s="135" t="s">
        <v>104</v>
      </c>
      <c r="Z17">
        <v>2028</v>
      </c>
      <c r="AA17" s="7">
        <f t="shared" si="16"/>
        <v>2013257.566666666</v>
      </c>
      <c r="AB17" s="7"/>
      <c r="AC17" s="8">
        <f t="shared" si="12"/>
        <v>0</v>
      </c>
      <c r="AD17" s="238">
        <f t="shared" si="13"/>
        <v>217649.46666666667</v>
      </c>
      <c r="AE17" s="7">
        <f t="shared" si="14"/>
        <v>1795608.0999999992</v>
      </c>
      <c r="AF17" s="232"/>
      <c r="AG17" s="7">
        <f t="shared" si="17"/>
        <v>0</v>
      </c>
      <c r="AH17" s="8"/>
      <c r="AI17" s="7">
        <f t="shared" si="15"/>
        <v>217649.46666666667</v>
      </c>
    </row>
    <row r="18" spans="1:35">
      <c r="A18" s="135" t="s">
        <v>107</v>
      </c>
      <c r="B18">
        <v>2030</v>
      </c>
      <c r="C18" s="7">
        <f t="shared" si="3"/>
        <v>256920.40000000002</v>
      </c>
      <c r="D18" s="7"/>
      <c r="E18" s="8">
        <f t="shared" si="0"/>
        <v>0</v>
      </c>
      <c r="F18" s="238">
        <f t="shared" si="4"/>
        <v>42820.066666666666</v>
      </c>
      <c r="G18" s="7">
        <f t="shared" si="1"/>
        <v>214100.33333333337</v>
      </c>
      <c r="H18" s="232"/>
      <c r="I18" s="7">
        <f t="shared" si="5"/>
        <v>0</v>
      </c>
      <c r="J18" s="8"/>
      <c r="K18" s="7">
        <f t="shared" si="2"/>
        <v>42820.066666666666</v>
      </c>
      <c r="M18" s="135" t="s">
        <v>106</v>
      </c>
      <c r="N18">
        <v>2030</v>
      </c>
      <c r="O18" s="7">
        <f t="shared" si="9"/>
        <v>917015.86666666693</v>
      </c>
      <c r="P18" s="7"/>
      <c r="Q18" s="8">
        <f t="shared" si="6"/>
        <v>0</v>
      </c>
      <c r="R18" s="238">
        <f t="shared" si="10"/>
        <v>131002.26666666666</v>
      </c>
      <c r="S18" s="7">
        <f t="shared" si="7"/>
        <v>786013.60000000033</v>
      </c>
      <c r="T18" s="232"/>
      <c r="U18" s="7">
        <f t="shared" si="11"/>
        <v>0</v>
      </c>
      <c r="V18" s="8"/>
      <c r="W18" s="7">
        <f t="shared" si="8"/>
        <v>131002.26666666666</v>
      </c>
      <c r="Y18" s="135" t="s">
        <v>105</v>
      </c>
      <c r="Z18">
        <v>2029</v>
      </c>
      <c r="AA18" s="7">
        <f t="shared" si="16"/>
        <v>1795608.0999999992</v>
      </c>
      <c r="AB18" s="7"/>
      <c r="AC18" s="8">
        <f t="shared" si="12"/>
        <v>0</v>
      </c>
      <c r="AD18" s="238">
        <f t="shared" si="13"/>
        <v>217649.46666666667</v>
      </c>
      <c r="AE18" s="7">
        <f t="shared" si="14"/>
        <v>1577958.6333333324</v>
      </c>
      <c r="AF18" s="232"/>
      <c r="AG18" s="7">
        <f t="shared" si="17"/>
        <v>0</v>
      </c>
      <c r="AH18" s="8"/>
      <c r="AI18" s="7">
        <f t="shared" si="15"/>
        <v>217649.46666666667</v>
      </c>
    </row>
    <row r="19" spans="1:35">
      <c r="A19" s="135" t="s">
        <v>108</v>
      </c>
      <c r="B19">
        <v>2031</v>
      </c>
      <c r="C19" s="7">
        <f t="shared" si="3"/>
        <v>214100.33333333337</v>
      </c>
      <c r="D19" s="7"/>
      <c r="E19" s="8">
        <f t="shared" si="0"/>
        <v>0</v>
      </c>
      <c r="F19" s="238">
        <f t="shared" si="4"/>
        <v>42820.066666666666</v>
      </c>
      <c r="G19" s="7">
        <f t="shared" si="1"/>
        <v>171280.26666666672</v>
      </c>
      <c r="H19" s="232"/>
      <c r="I19" s="7">
        <f t="shared" si="5"/>
        <v>0</v>
      </c>
      <c r="J19" s="8"/>
      <c r="K19" s="7">
        <f t="shared" si="2"/>
        <v>42820.066666666666</v>
      </c>
      <c r="M19" s="135" t="s">
        <v>107</v>
      </c>
      <c r="N19">
        <v>2031</v>
      </c>
      <c r="O19" s="7">
        <f t="shared" si="9"/>
        <v>786013.60000000033</v>
      </c>
      <c r="P19" s="7"/>
      <c r="Q19" s="8">
        <f t="shared" si="6"/>
        <v>0</v>
      </c>
      <c r="R19" s="238">
        <f t="shared" si="10"/>
        <v>131002.26666666666</v>
      </c>
      <c r="S19" s="7">
        <f t="shared" si="7"/>
        <v>655011.33333333372</v>
      </c>
      <c r="T19" s="232"/>
      <c r="U19" s="7">
        <f t="shared" si="11"/>
        <v>0</v>
      </c>
      <c r="V19" s="8"/>
      <c r="W19" s="7">
        <f t="shared" si="8"/>
        <v>131002.26666666666</v>
      </c>
      <c r="Y19" s="135" t="s">
        <v>106</v>
      </c>
      <c r="Z19">
        <v>2030</v>
      </c>
      <c r="AA19" s="7">
        <f t="shared" si="16"/>
        <v>1577958.6333333324</v>
      </c>
      <c r="AB19" s="7"/>
      <c r="AC19" s="8">
        <f t="shared" si="12"/>
        <v>0</v>
      </c>
      <c r="AD19" s="238">
        <f t="shared" si="13"/>
        <v>217649.46666666667</v>
      </c>
      <c r="AE19" s="7">
        <f t="shared" si="14"/>
        <v>1360309.1666666656</v>
      </c>
      <c r="AF19" s="232"/>
      <c r="AG19" s="7">
        <f t="shared" si="17"/>
        <v>0</v>
      </c>
      <c r="AH19" s="8"/>
      <c r="AI19" s="7">
        <f t="shared" si="15"/>
        <v>217649.46666666667</v>
      </c>
    </row>
    <row r="20" spans="1:35">
      <c r="A20" s="135" t="s">
        <v>109</v>
      </c>
      <c r="B20">
        <v>2032</v>
      </c>
      <c r="C20" s="7">
        <f t="shared" si="3"/>
        <v>171280.26666666672</v>
      </c>
      <c r="D20" s="7"/>
      <c r="E20" s="8">
        <f t="shared" si="0"/>
        <v>0</v>
      </c>
      <c r="F20" s="238">
        <f t="shared" si="4"/>
        <v>42820.066666666666</v>
      </c>
      <c r="G20" s="7">
        <f t="shared" si="1"/>
        <v>128460.20000000006</v>
      </c>
      <c r="H20" s="232"/>
      <c r="I20" s="7">
        <f t="shared" si="5"/>
        <v>0</v>
      </c>
      <c r="J20" s="8"/>
      <c r="K20" s="7">
        <f t="shared" si="2"/>
        <v>42820.066666666666</v>
      </c>
      <c r="M20" s="135" t="s">
        <v>108</v>
      </c>
      <c r="N20">
        <v>2032</v>
      </c>
      <c r="O20" s="7">
        <f t="shared" si="9"/>
        <v>655011.33333333372</v>
      </c>
      <c r="P20" s="7"/>
      <c r="Q20" s="8">
        <f t="shared" si="6"/>
        <v>0</v>
      </c>
      <c r="R20" s="238">
        <f t="shared" si="10"/>
        <v>131002.26666666666</v>
      </c>
      <c r="S20" s="7">
        <f t="shared" si="7"/>
        <v>524009.06666666706</v>
      </c>
      <c r="T20" s="232"/>
      <c r="U20" s="7">
        <f t="shared" si="11"/>
        <v>0</v>
      </c>
      <c r="V20" s="8"/>
      <c r="W20" s="7">
        <f t="shared" si="8"/>
        <v>131002.26666666666</v>
      </c>
      <c r="Y20" s="135" t="s">
        <v>107</v>
      </c>
      <c r="Z20">
        <v>2031</v>
      </c>
      <c r="AA20" s="7">
        <f t="shared" si="16"/>
        <v>1360309.1666666656</v>
      </c>
      <c r="AB20" s="7"/>
      <c r="AC20" s="8">
        <f t="shared" si="12"/>
        <v>0</v>
      </c>
      <c r="AD20" s="238">
        <f t="shared" si="13"/>
        <v>217649.46666666667</v>
      </c>
      <c r="AE20" s="7">
        <f t="shared" si="14"/>
        <v>1142659.6999999988</v>
      </c>
      <c r="AF20" s="232"/>
      <c r="AG20" s="7">
        <f t="shared" si="17"/>
        <v>0</v>
      </c>
      <c r="AH20" s="8"/>
      <c r="AI20" s="7">
        <f t="shared" si="15"/>
        <v>217649.46666666667</v>
      </c>
    </row>
    <row r="21" spans="1:35">
      <c r="A21" s="135" t="s">
        <v>110</v>
      </c>
      <c r="B21">
        <v>2033</v>
      </c>
      <c r="C21" s="7">
        <f t="shared" si="3"/>
        <v>128460.20000000006</v>
      </c>
      <c r="D21" s="7"/>
      <c r="E21" s="8">
        <f t="shared" si="0"/>
        <v>0</v>
      </c>
      <c r="F21" s="238">
        <f t="shared" si="4"/>
        <v>42820.066666666666</v>
      </c>
      <c r="G21" s="7">
        <f t="shared" si="1"/>
        <v>85640.13333333339</v>
      </c>
      <c r="H21" s="232"/>
      <c r="I21" s="7">
        <f t="shared" si="5"/>
        <v>0</v>
      </c>
      <c r="J21" s="8"/>
      <c r="K21" s="7">
        <f t="shared" si="2"/>
        <v>42820.066666666666</v>
      </c>
      <c r="M21" s="135" t="s">
        <v>109</v>
      </c>
      <c r="N21">
        <v>2033</v>
      </c>
      <c r="O21" s="7">
        <f t="shared" si="9"/>
        <v>524009.06666666706</v>
      </c>
      <c r="P21" s="7"/>
      <c r="Q21" s="8">
        <f t="shared" si="6"/>
        <v>0</v>
      </c>
      <c r="R21" s="238">
        <f t="shared" si="10"/>
        <v>131002.26666666666</v>
      </c>
      <c r="S21" s="7">
        <f t="shared" si="7"/>
        <v>393006.8000000004</v>
      </c>
      <c r="T21" s="232"/>
      <c r="U21" s="7">
        <f t="shared" si="11"/>
        <v>0</v>
      </c>
      <c r="V21" s="8"/>
      <c r="W21" s="7">
        <f t="shared" si="8"/>
        <v>131002.26666666666</v>
      </c>
      <c r="Y21" s="135" t="s">
        <v>108</v>
      </c>
      <c r="Z21">
        <v>2032</v>
      </c>
      <c r="AA21" s="7">
        <f t="shared" si="16"/>
        <v>1142659.6999999988</v>
      </c>
      <c r="AB21" s="7"/>
      <c r="AC21" s="8">
        <f t="shared" si="12"/>
        <v>0</v>
      </c>
      <c r="AD21" s="238">
        <f t="shared" si="13"/>
        <v>217649.46666666667</v>
      </c>
      <c r="AE21" s="7">
        <f t="shared" si="14"/>
        <v>925010.23333333211</v>
      </c>
      <c r="AF21" s="232"/>
      <c r="AG21" s="7">
        <f t="shared" si="17"/>
        <v>0</v>
      </c>
      <c r="AH21" s="8"/>
      <c r="AI21" s="7">
        <f t="shared" si="15"/>
        <v>217649.46666666667</v>
      </c>
    </row>
    <row r="22" spans="1:35">
      <c r="A22" s="135" t="s">
        <v>111</v>
      </c>
      <c r="B22">
        <v>2034</v>
      </c>
      <c r="C22" s="7">
        <f t="shared" si="3"/>
        <v>85640.13333333339</v>
      </c>
      <c r="D22" s="7"/>
      <c r="E22" s="8">
        <f t="shared" si="0"/>
        <v>0</v>
      </c>
      <c r="F22" s="238">
        <f t="shared" si="4"/>
        <v>42820.066666666666</v>
      </c>
      <c r="G22" s="7">
        <f t="shared" si="1"/>
        <v>42820.066666666724</v>
      </c>
      <c r="H22" s="232"/>
      <c r="I22" s="7">
        <f t="shared" si="5"/>
        <v>0</v>
      </c>
      <c r="J22" s="8"/>
      <c r="K22" s="7">
        <f t="shared" si="2"/>
        <v>42820.066666666666</v>
      </c>
      <c r="M22" s="135" t="s">
        <v>110</v>
      </c>
      <c r="N22">
        <v>2034</v>
      </c>
      <c r="O22" s="7">
        <f t="shared" si="9"/>
        <v>393006.8000000004</v>
      </c>
      <c r="P22" s="7"/>
      <c r="Q22" s="8">
        <f t="shared" si="6"/>
        <v>0</v>
      </c>
      <c r="R22" s="238">
        <f t="shared" si="10"/>
        <v>131002.26666666666</v>
      </c>
      <c r="S22" s="7">
        <f t="shared" si="7"/>
        <v>262004.53333333373</v>
      </c>
      <c r="T22" s="232"/>
      <c r="U22" s="7">
        <f t="shared" si="11"/>
        <v>0</v>
      </c>
      <c r="V22" s="8"/>
      <c r="W22" s="7">
        <f t="shared" si="8"/>
        <v>131002.26666666666</v>
      </c>
      <c r="Y22" s="135" t="s">
        <v>109</v>
      </c>
      <c r="Z22">
        <v>2033</v>
      </c>
      <c r="AA22" s="7">
        <f t="shared" si="16"/>
        <v>925010.23333333211</v>
      </c>
      <c r="AB22" s="7"/>
      <c r="AC22" s="8">
        <f t="shared" si="12"/>
        <v>0</v>
      </c>
      <c r="AD22" s="238">
        <f t="shared" si="13"/>
        <v>217649.46666666667</v>
      </c>
      <c r="AE22" s="7">
        <f t="shared" si="14"/>
        <v>707360.76666666544</v>
      </c>
      <c r="AF22" s="232"/>
      <c r="AG22" s="7">
        <f t="shared" si="17"/>
        <v>0</v>
      </c>
      <c r="AH22" s="8"/>
      <c r="AI22" s="7">
        <f t="shared" si="15"/>
        <v>217649.46666666667</v>
      </c>
    </row>
    <row r="23" spans="1:35">
      <c r="A23" s="135" t="s">
        <v>112</v>
      </c>
      <c r="B23">
        <v>2035</v>
      </c>
      <c r="C23" s="7">
        <f t="shared" si="3"/>
        <v>42820.066666666724</v>
      </c>
      <c r="D23" s="7"/>
      <c r="E23" s="8">
        <f t="shared" si="0"/>
        <v>0</v>
      </c>
      <c r="F23" s="238">
        <f>D$5/D$6</f>
        <v>42820.066666666666</v>
      </c>
      <c r="G23" s="7">
        <f t="shared" si="1"/>
        <v>5.8207660913467407E-11</v>
      </c>
      <c r="H23" s="232"/>
      <c r="I23" s="7">
        <f t="shared" si="5"/>
        <v>0</v>
      </c>
      <c r="J23" s="8"/>
      <c r="K23" s="7">
        <f t="shared" si="2"/>
        <v>42820.066666666666</v>
      </c>
      <c r="M23" s="135" t="s">
        <v>111</v>
      </c>
      <c r="N23">
        <v>2035</v>
      </c>
      <c r="O23" s="7">
        <f t="shared" si="9"/>
        <v>262004.53333333373</v>
      </c>
      <c r="P23" s="7"/>
      <c r="Q23" s="8">
        <f t="shared" si="6"/>
        <v>0</v>
      </c>
      <c r="R23" s="238">
        <f t="shared" si="10"/>
        <v>131002.26666666666</v>
      </c>
      <c r="S23" s="7">
        <f t="shared" si="7"/>
        <v>131002.26666666707</v>
      </c>
      <c r="T23" s="232"/>
      <c r="U23" s="7">
        <f t="shared" si="11"/>
        <v>0</v>
      </c>
      <c r="V23" s="8"/>
      <c r="W23" s="7">
        <f t="shared" si="8"/>
        <v>131002.26666666666</v>
      </c>
      <c r="Y23" s="135" t="s">
        <v>110</v>
      </c>
      <c r="Z23">
        <v>2034</v>
      </c>
      <c r="AA23" s="7">
        <f t="shared" si="16"/>
        <v>707360.76666666544</v>
      </c>
      <c r="AB23" s="7"/>
      <c r="AC23" s="8">
        <f t="shared" si="12"/>
        <v>0</v>
      </c>
      <c r="AD23" s="238">
        <f t="shared" si="13"/>
        <v>217649.46666666667</v>
      </c>
      <c r="AE23" s="7">
        <f t="shared" si="14"/>
        <v>489711.29999999877</v>
      </c>
      <c r="AF23" s="232"/>
      <c r="AG23" s="7">
        <f t="shared" si="17"/>
        <v>0</v>
      </c>
      <c r="AH23" s="8"/>
      <c r="AI23" s="7">
        <f t="shared" si="15"/>
        <v>217649.46666666667</v>
      </c>
    </row>
    <row r="24" spans="1:35">
      <c r="F24" s="8">
        <f>SUM(F9:F23)+SUM(E9:E23)-D5</f>
        <v>0</v>
      </c>
      <c r="M24" s="135" t="s">
        <v>112</v>
      </c>
      <c r="N24">
        <v>2036</v>
      </c>
      <c r="O24" s="7">
        <f t="shared" si="9"/>
        <v>131002.26666666707</v>
      </c>
      <c r="P24" s="7"/>
      <c r="Q24" s="8">
        <f t="shared" si="6"/>
        <v>0</v>
      </c>
      <c r="R24" s="238">
        <f t="shared" si="10"/>
        <v>131002.26666666666</v>
      </c>
      <c r="S24" s="7">
        <f t="shared" si="7"/>
        <v>4.0745362639427185E-10</v>
      </c>
      <c r="T24" s="232"/>
      <c r="U24" s="7">
        <f t="shared" si="11"/>
        <v>0</v>
      </c>
      <c r="V24" s="8"/>
      <c r="W24" s="7">
        <f t="shared" si="8"/>
        <v>131002.26666666666</v>
      </c>
      <c r="Y24" s="135" t="s">
        <v>111</v>
      </c>
      <c r="Z24">
        <v>2035</v>
      </c>
      <c r="AA24" s="7">
        <f t="shared" si="16"/>
        <v>489711.29999999877</v>
      </c>
      <c r="AB24" s="7"/>
      <c r="AC24" s="8">
        <f t="shared" si="12"/>
        <v>0</v>
      </c>
      <c r="AD24" s="238">
        <f t="shared" si="13"/>
        <v>217649.46666666667</v>
      </c>
      <c r="AE24" s="7">
        <f t="shared" si="14"/>
        <v>272061.83333333209</v>
      </c>
      <c r="AF24" s="232"/>
      <c r="AG24" s="7">
        <f t="shared" si="17"/>
        <v>0</v>
      </c>
      <c r="AH24" s="8"/>
      <c r="AI24" s="7">
        <f t="shared" si="15"/>
        <v>217649.46666666667</v>
      </c>
    </row>
    <row r="25" spans="1:35">
      <c r="E25" s="8"/>
      <c r="F25" s="8"/>
      <c r="P25" s="7"/>
      <c r="Y25" s="135" t="s">
        <v>112</v>
      </c>
      <c r="Z25">
        <v>2036</v>
      </c>
      <c r="AA25" s="7">
        <f t="shared" si="16"/>
        <v>272061.83333333209</v>
      </c>
      <c r="AB25" s="7"/>
      <c r="AC25" s="8">
        <f t="shared" si="12"/>
        <v>0</v>
      </c>
      <c r="AD25" s="238">
        <f t="shared" si="13"/>
        <v>217649.46666666667</v>
      </c>
      <c r="AE25" s="7">
        <f t="shared" si="14"/>
        <v>54412.366666665417</v>
      </c>
      <c r="AF25" s="232"/>
      <c r="AG25" s="7">
        <f t="shared" si="17"/>
        <v>0</v>
      </c>
      <c r="AH25" s="8"/>
      <c r="AI25" s="7">
        <f t="shared" si="15"/>
        <v>217649.46666666667</v>
      </c>
    </row>
    <row r="26" spans="1:35">
      <c r="D26" s="9"/>
      <c r="E26" s="8"/>
      <c r="P26" s="7"/>
      <c r="Q26" s="7"/>
      <c r="Y26" s="135" t="s">
        <v>113</v>
      </c>
      <c r="Z26">
        <v>2037</v>
      </c>
      <c r="AA26" s="7">
        <f t="shared" si="16"/>
        <v>54412.366666665417</v>
      </c>
      <c r="AB26" s="7" cm="1">
        <f t="array" aca="1" ref="AB26" ca="1">+AB25:AE26</f>
        <v>0</v>
      </c>
      <c r="AC26" s="8">
        <f t="shared" ca="1" si="12"/>
        <v>0</v>
      </c>
      <c r="AD26" s="238">
        <f>(AB$5/$AB$6)*(1-AB7)</f>
        <v>54412.366666666669</v>
      </c>
      <c r="AE26" s="7">
        <f t="shared" ref="AE26" ca="1" si="18">AA26+AB26-AD26</f>
        <v>-1.1350493878126144E-9</v>
      </c>
      <c r="AF26" s="232"/>
      <c r="AG26" s="7" t="e">
        <f t="shared" ref="AG26" ca="1" si="19">AVERAGE(AE25:AE26)*AF26</f>
        <v>#VALUE!</v>
      </c>
      <c r="AH26" s="8"/>
      <c r="AI26" s="7">
        <f t="shared" ref="AI26" ca="1" si="20">AC26+AD26+AG26</f>
        <v>43493.71165677809</v>
      </c>
    </row>
    <row r="27" spans="1:35">
      <c r="D27" s="8"/>
      <c r="E27" s="8"/>
      <c r="F27" s="8"/>
      <c r="G27" s="8"/>
      <c r="I27" s="8"/>
      <c r="J27" s="7"/>
      <c r="P27" s="7"/>
      <c r="Q27" s="7"/>
      <c r="AB27" s="7"/>
      <c r="AC27" s="7"/>
    </row>
    <row r="28" spans="1:35">
      <c r="D28" s="8"/>
      <c r="E28" s="8"/>
      <c r="F28" s="8"/>
      <c r="G28" s="8"/>
      <c r="H28" s="8"/>
      <c r="I28" s="9"/>
      <c r="K28" s="8"/>
      <c r="P28" s="8"/>
      <c r="Q28" s="7"/>
      <c r="AC28" s="7"/>
      <c r="AG28" s="7"/>
      <c r="AH28" s="7"/>
    </row>
    <row r="29" spans="1:35">
      <c r="E29" s="8"/>
      <c r="F29" s="8"/>
      <c r="G29" s="8"/>
      <c r="H29" s="8"/>
      <c r="I29" s="8"/>
      <c r="K29" s="8"/>
      <c r="P29" s="8"/>
      <c r="AG29" s="7"/>
      <c r="AH29" s="7"/>
    </row>
    <row r="30" spans="1:35">
      <c r="F30" s="8"/>
      <c r="G30" s="8"/>
      <c r="I30" s="9"/>
    </row>
    <row r="31" spans="1:35">
      <c r="G31" s="8"/>
      <c r="I31" s="9"/>
    </row>
    <row r="33" spans="22:35"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</row>
  </sheetData>
  <mergeCells count="3">
    <mergeCell ref="N2:W2"/>
    <mergeCell ref="B2:K2"/>
    <mergeCell ref="Z2:AI2"/>
  </mergeCells>
  <phoneticPr fontId="31" type="noConversion"/>
  <pageMargins left="0.7" right="0.7" top="0.75" bottom="0.75" header="0.3" footer="0.3"/>
  <pageSetup orientation="portrait" horizontalDpi="1200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CL90"/>
  <sheetViews>
    <sheetView workbookViewId="0">
      <pane xSplit="1" topLeftCell="BJ1" activePane="topRight" state="frozen"/>
      <selection activeCell="M55" sqref="M55"/>
      <selection pane="topRight" activeCell="BS8" sqref="BS8"/>
    </sheetView>
  </sheetViews>
  <sheetFormatPr defaultRowHeight="14.5"/>
  <cols>
    <col min="1" max="1" width="44.7265625" customWidth="1"/>
    <col min="2" max="69" width="11.453125" style="20" customWidth="1"/>
    <col min="70" max="74" width="15.7265625" style="20" bestFit="1" customWidth="1"/>
    <col min="75" max="75" width="14.453125" style="20" customWidth="1"/>
    <col min="76" max="77" width="8.7265625" style="20"/>
    <col min="78" max="78" width="13.36328125" style="20" customWidth="1"/>
    <col min="79" max="79" width="11" style="20" customWidth="1"/>
    <col min="80" max="81" width="11.7265625" style="20" customWidth="1"/>
    <col min="82" max="82" width="13.1796875" style="20" customWidth="1"/>
    <col min="83" max="83" width="12.453125" style="20" customWidth="1"/>
    <col min="84" max="84" width="14.26953125" style="20" customWidth="1"/>
    <col min="85" max="85" width="15" style="20" customWidth="1"/>
    <col min="86" max="86" width="12.1796875" customWidth="1"/>
    <col min="87" max="87" width="12.54296875" bestFit="1" customWidth="1"/>
    <col min="88" max="88" width="10.26953125" customWidth="1"/>
    <col min="89" max="89" width="11.08984375" customWidth="1"/>
    <col min="90" max="90" width="10.6328125" customWidth="1"/>
  </cols>
  <sheetData>
    <row r="1" spans="1:86">
      <c r="B1" s="20" t="s">
        <v>270</v>
      </c>
      <c r="N1" s="20" t="s">
        <v>271</v>
      </c>
      <c r="AB1" s="20" t="s">
        <v>271</v>
      </c>
    </row>
    <row r="2" spans="1:86">
      <c r="A2" s="14" t="s">
        <v>272</v>
      </c>
      <c r="AL2" s="20" t="s">
        <v>273</v>
      </c>
      <c r="BN2" s="20" t="s">
        <v>273</v>
      </c>
    </row>
    <row r="3" spans="1:86" ht="18.5">
      <c r="B3" s="20">
        <v>2018</v>
      </c>
      <c r="C3" s="20">
        <v>2018</v>
      </c>
      <c r="D3" s="20">
        <v>2018</v>
      </c>
      <c r="E3" s="20">
        <v>2019</v>
      </c>
      <c r="F3" s="20">
        <v>2019</v>
      </c>
      <c r="G3" s="20">
        <v>2019</v>
      </c>
      <c r="H3" s="20">
        <v>2019</v>
      </c>
      <c r="I3" s="20">
        <v>2019</v>
      </c>
      <c r="J3" s="20">
        <v>2019</v>
      </c>
      <c r="K3" s="20">
        <v>2019</v>
      </c>
      <c r="L3" s="20">
        <v>2019</v>
      </c>
      <c r="M3" s="20">
        <v>2019</v>
      </c>
      <c r="N3" s="20">
        <v>2019</v>
      </c>
      <c r="O3" s="20">
        <v>2019</v>
      </c>
      <c r="P3" s="20">
        <v>2019</v>
      </c>
      <c r="Q3" s="20">
        <v>2020</v>
      </c>
      <c r="R3" s="20">
        <v>2020</v>
      </c>
      <c r="S3" s="20">
        <v>2020</v>
      </c>
      <c r="T3" s="20">
        <v>2020</v>
      </c>
      <c r="U3" s="20">
        <v>2020</v>
      </c>
      <c r="V3" s="20">
        <v>2020</v>
      </c>
      <c r="W3" s="20">
        <v>2020</v>
      </c>
      <c r="X3" s="20">
        <v>2020</v>
      </c>
      <c r="Y3" s="20">
        <v>2020</v>
      </c>
      <c r="Z3" s="20">
        <v>2020</v>
      </c>
      <c r="AA3" s="20">
        <v>2020</v>
      </c>
      <c r="AB3" s="20">
        <v>2020</v>
      </c>
      <c r="AC3" s="20">
        <v>2021</v>
      </c>
      <c r="AD3" s="20">
        <v>2021</v>
      </c>
      <c r="AE3" s="20">
        <v>2021</v>
      </c>
      <c r="AF3" s="20">
        <v>2021</v>
      </c>
      <c r="AG3" s="20">
        <v>2021</v>
      </c>
      <c r="AH3" s="20">
        <v>2021</v>
      </c>
      <c r="AI3" s="20">
        <v>2021</v>
      </c>
      <c r="AJ3" s="20">
        <v>2021</v>
      </c>
      <c r="AK3" s="20">
        <v>2021</v>
      </c>
      <c r="AL3" s="20">
        <v>2021</v>
      </c>
      <c r="AM3" s="20">
        <v>2021</v>
      </c>
      <c r="AN3" s="20">
        <v>2021</v>
      </c>
      <c r="AO3" s="20">
        <v>2022</v>
      </c>
      <c r="AP3" s="20">
        <v>2022</v>
      </c>
      <c r="AQ3" s="20">
        <v>2022</v>
      </c>
      <c r="AR3" s="20">
        <v>2022</v>
      </c>
      <c r="AS3" s="20">
        <v>2022</v>
      </c>
      <c r="AT3" s="20">
        <v>2022</v>
      </c>
      <c r="AU3" s="20">
        <v>2022</v>
      </c>
      <c r="AV3" s="20">
        <v>2022</v>
      </c>
      <c r="AW3" s="20">
        <v>2022</v>
      </c>
      <c r="AX3" s="122">
        <v>2022</v>
      </c>
      <c r="AY3" s="122">
        <v>2022</v>
      </c>
      <c r="AZ3" s="122">
        <v>2022</v>
      </c>
      <c r="BA3" s="122">
        <v>2023</v>
      </c>
      <c r="BB3" s="122">
        <v>2023</v>
      </c>
      <c r="BC3" s="122">
        <v>2023</v>
      </c>
      <c r="BD3" s="122">
        <v>2023</v>
      </c>
      <c r="BE3" s="122">
        <v>2023</v>
      </c>
      <c r="BF3" s="122">
        <v>2023</v>
      </c>
      <c r="BG3" s="122">
        <v>2023</v>
      </c>
      <c r="BH3" s="122">
        <v>2023</v>
      </c>
      <c r="BI3" s="122">
        <v>2023</v>
      </c>
      <c r="BJ3" s="122">
        <v>2023</v>
      </c>
      <c r="BK3" s="122">
        <v>2023</v>
      </c>
      <c r="BL3" s="122">
        <v>2023</v>
      </c>
      <c r="BN3" s="20">
        <v>0</v>
      </c>
      <c r="BO3" s="20">
        <v>0</v>
      </c>
      <c r="BP3" s="20" t="s">
        <v>394</v>
      </c>
    </row>
    <row r="4" spans="1:86" ht="18.5">
      <c r="A4" t="s">
        <v>274</v>
      </c>
      <c r="B4" s="75" t="s">
        <v>275</v>
      </c>
      <c r="C4" s="75" t="s">
        <v>276</v>
      </c>
      <c r="D4" s="75" t="s">
        <v>277</v>
      </c>
      <c r="E4" s="75" t="s">
        <v>268</v>
      </c>
      <c r="F4" s="75" t="s">
        <v>278</v>
      </c>
      <c r="G4" s="75" t="s">
        <v>279</v>
      </c>
      <c r="H4" s="75" t="s">
        <v>280</v>
      </c>
      <c r="I4" s="75" t="s">
        <v>281</v>
      </c>
      <c r="J4" s="75" t="s">
        <v>282</v>
      </c>
      <c r="K4" s="75" t="s">
        <v>283</v>
      </c>
      <c r="L4" s="75" t="s">
        <v>269</v>
      </c>
      <c r="M4" s="75" t="s">
        <v>284</v>
      </c>
      <c r="N4" s="104" t="s">
        <v>275</v>
      </c>
      <c r="O4" s="104" t="s">
        <v>276</v>
      </c>
      <c r="P4" s="104" t="s">
        <v>277</v>
      </c>
      <c r="Q4" s="104" t="s">
        <v>268</v>
      </c>
      <c r="R4" s="104" t="s">
        <v>278</v>
      </c>
      <c r="S4" s="104" t="s">
        <v>279</v>
      </c>
      <c r="T4" s="104" t="s">
        <v>280</v>
      </c>
      <c r="U4" s="104" t="s">
        <v>281</v>
      </c>
      <c r="V4" s="104" t="s">
        <v>282</v>
      </c>
      <c r="W4" s="104" t="s">
        <v>283</v>
      </c>
      <c r="X4" s="104" t="s">
        <v>269</v>
      </c>
      <c r="Y4" s="104" t="s">
        <v>284</v>
      </c>
      <c r="Z4" s="104" t="s">
        <v>275</v>
      </c>
      <c r="AA4" s="104" t="s">
        <v>276</v>
      </c>
      <c r="AB4" s="104" t="s">
        <v>277</v>
      </c>
      <c r="AC4" s="122" t="s">
        <v>268</v>
      </c>
      <c r="AD4" s="122" t="s">
        <v>278</v>
      </c>
      <c r="AE4" s="122" t="s">
        <v>279</v>
      </c>
      <c r="AF4" s="122" t="s">
        <v>280</v>
      </c>
      <c r="AG4" s="122" t="s">
        <v>281</v>
      </c>
      <c r="AH4" s="122" t="s">
        <v>282</v>
      </c>
      <c r="AI4" s="122" t="s">
        <v>283</v>
      </c>
      <c r="AJ4" s="122" t="s">
        <v>269</v>
      </c>
      <c r="AK4" s="122" t="s">
        <v>284</v>
      </c>
      <c r="AL4" s="122" t="s">
        <v>275</v>
      </c>
      <c r="AM4" s="122" t="s">
        <v>276</v>
      </c>
      <c r="AN4" s="122" t="s">
        <v>277</v>
      </c>
      <c r="AO4" s="122" t="s">
        <v>268</v>
      </c>
      <c r="AP4" s="122" t="s">
        <v>278</v>
      </c>
      <c r="AQ4" s="122" t="s">
        <v>279</v>
      </c>
      <c r="AR4" s="122" t="s">
        <v>280</v>
      </c>
      <c r="AS4" s="122" t="s">
        <v>281</v>
      </c>
      <c r="AT4" s="122" t="s">
        <v>282</v>
      </c>
      <c r="AU4" s="122" t="s">
        <v>283</v>
      </c>
      <c r="AV4" s="122" t="s">
        <v>269</v>
      </c>
      <c r="AW4" s="122" t="s">
        <v>284</v>
      </c>
      <c r="AX4" s="122" t="s">
        <v>275</v>
      </c>
      <c r="AY4" s="122" t="s">
        <v>276</v>
      </c>
      <c r="AZ4" s="122" t="s">
        <v>277</v>
      </c>
      <c r="BA4" s="122" t="s">
        <v>268</v>
      </c>
      <c r="BB4" s="122" t="s">
        <v>278</v>
      </c>
      <c r="BC4" s="122" t="s">
        <v>279</v>
      </c>
      <c r="BD4" s="122" t="s">
        <v>280</v>
      </c>
      <c r="BE4" s="122" t="s">
        <v>281</v>
      </c>
      <c r="BF4" s="122" t="s">
        <v>282</v>
      </c>
      <c r="BG4" s="122" t="s">
        <v>283</v>
      </c>
      <c r="BH4" s="122" t="s">
        <v>269</v>
      </c>
      <c r="BI4" s="122" t="s">
        <v>284</v>
      </c>
      <c r="BJ4" s="122" t="s">
        <v>275</v>
      </c>
      <c r="BK4" s="122" t="s">
        <v>276</v>
      </c>
      <c r="BL4" s="122" t="s">
        <v>277</v>
      </c>
      <c r="BM4" s="122"/>
      <c r="BN4" s="122" t="s">
        <v>395</v>
      </c>
      <c r="BO4" s="122">
        <v>0</v>
      </c>
      <c r="BP4" s="122" t="s">
        <v>395</v>
      </c>
      <c r="BQ4" s="104"/>
      <c r="BR4" s="76" t="s">
        <v>285</v>
      </c>
      <c r="BS4" s="76" t="s">
        <v>286</v>
      </c>
      <c r="BT4" s="76" t="s">
        <v>287</v>
      </c>
      <c r="BU4" s="76" t="s">
        <v>288</v>
      </c>
      <c r="BV4" s="76" t="s">
        <v>289</v>
      </c>
      <c r="BZ4" s="20" t="s">
        <v>286</v>
      </c>
      <c r="CA4" s="20" t="s">
        <v>287</v>
      </c>
      <c r="CB4" s="20" t="s">
        <v>288</v>
      </c>
    </row>
    <row r="5" spans="1:86" ht="15.5">
      <c r="A5" s="1" t="s">
        <v>290</v>
      </c>
      <c r="B5" s="77">
        <v>2228356.7698082193</v>
      </c>
      <c r="C5" s="77">
        <v>4322996.7424657531</v>
      </c>
      <c r="D5" s="77">
        <v>6264470.7930958904</v>
      </c>
      <c r="E5" s="77">
        <v>7791553.559452055</v>
      </c>
      <c r="F5" s="77">
        <v>8081722.8486027401</v>
      </c>
      <c r="G5" s="77">
        <v>7226871.9230958903</v>
      </c>
      <c r="H5" s="77">
        <v>5586925.6024657534</v>
      </c>
      <c r="I5" s="77">
        <v>3467225.0165479453</v>
      </c>
      <c r="J5" s="77">
        <v>2337983.1324657537</v>
      </c>
      <c r="K5" s="77">
        <v>1981042.5625479452</v>
      </c>
      <c r="L5" s="77">
        <v>1915559.255452055</v>
      </c>
      <c r="M5" s="77">
        <v>1912627.5875342465</v>
      </c>
      <c r="N5" s="77">
        <v>2188462.9814520548</v>
      </c>
      <c r="O5" s="77">
        <v>3751217.4953424656</v>
      </c>
      <c r="P5" s="77">
        <v>5574170.8617808223</v>
      </c>
      <c r="Q5" s="77">
        <v>7435211.413479453</v>
      </c>
      <c r="R5" s="77">
        <v>7424386.704328767</v>
      </c>
      <c r="S5" s="77">
        <v>6598419.621534247</v>
      </c>
      <c r="T5" s="77">
        <v>5122393.2989041097</v>
      </c>
      <c r="U5" s="77">
        <v>3365301.9709315067</v>
      </c>
      <c r="V5" s="77">
        <v>2231402.7969863014</v>
      </c>
      <c r="W5" s="77">
        <v>1877569.0898630139</v>
      </c>
      <c r="X5" s="77">
        <v>1874707.0574520547</v>
      </c>
      <c r="Y5" s="77">
        <v>1870360.1021917807</v>
      </c>
      <c r="Z5" s="77">
        <v>2260982.4565479453</v>
      </c>
      <c r="AA5" s="77">
        <v>3935469.5586301368</v>
      </c>
      <c r="AB5" s="77">
        <v>5871827.1877260283</v>
      </c>
      <c r="AC5" s="77">
        <v>7752040.6685479451</v>
      </c>
      <c r="AD5" s="77">
        <v>7757332.8094794517</v>
      </c>
      <c r="AE5" s="77">
        <v>6760332.1188767124</v>
      </c>
      <c r="AF5" s="77">
        <v>5448413.3372602742</v>
      </c>
      <c r="AG5" s="77">
        <v>3572734.9591780822</v>
      </c>
      <c r="AH5" s="77">
        <v>2351956.8256164384</v>
      </c>
      <c r="AI5" s="77">
        <v>1967245.4260821918</v>
      </c>
      <c r="AJ5" s="77">
        <v>1920318.1536986299</v>
      </c>
      <c r="AK5" s="77">
        <v>1916478.6849315069</v>
      </c>
      <c r="AL5" s="77">
        <v>2319292.930821918</v>
      </c>
      <c r="AM5" s="77">
        <v>3939698.7980821915</v>
      </c>
      <c r="AN5" s="77">
        <v>5828709.784931507</v>
      </c>
      <c r="AO5" s="77">
        <v>8083541.6723287664</v>
      </c>
      <c r="AP5" s="77">
        <v>8307063.8747945204</v>
      </c>
      <c r="AQ5" s="77">
        <v>7177777.2664109599</v>
      </c>
      <c r="AR5" s="77">
        <v>5775763.2834246578</v>
      </c>
      <c r="AS5" s="77">
        <v>3895794.9679178083</v>
      </c>
      <c r="AT5" s="77">
        <v>2451290.8669863013</v>
      </c>
      <c r="AU5" s="77">
        <v>2016957.3581369864</v>
      </c>
      <c r="AV5" s="77">
        <v>1986752.7825479452</v>
      </c>
      <c r="AW5" s="77">
        <v>1990201.9343835616</v>
      </c>
      <c r="AX5" s="77">
        <v>2882257.1239178083</v>
      </c>
      <c r="AY5" s="77">
        <v>5083625.0072602741</v>
      </c>
      <c r="AZ5" s="77">
        <v>7737000.2370136976</v>
      </c>
      <c r="BA5" s="77">
        <v>9913096.9545479454</v>
      </c>
      <c r="BB5" s="77">
        <v>10149183.497452054</v>
      </c>
      <c r="BC5" s="77">
        <v>8956681.655616438</v>
      </c>
      <c r="BD5" s="77">
        <v>7100910.5008219182</v>
      </c>
      <c r="BE5" s="77">
        <v>4625841.1836164379</v>
      </c>
      <c r="BF5" s="77">
        <v>2856166.6698630136</v>
      </c>
      <c r="BG5" s="77">
        <v>2348335.6541369865</v>
      </c>
      <c r="BH5" s="77">
        <v>2266599.1318082195</v>
      </c>
      <c r="BI5" s="77">
        <v>2265809.3206849312</v>
      </c>
      <c r="BJ5" s="77">
        <v>2900233.6492602741</v>
      </c>
      <c r="BK5" s="77">
        <v>5005906.37</v>
      </c>
      <c r="BL5" s="77">
        <v>7602319.6952602733</v>
      </c>
      <c r="BM5" s="77"/>
      <c r="BN5" s="77">
        <v>54410792.718931504</v>
      </c>
      <c r="BO5" s="77">
        <v>0</v>
      </c>
      <c r="BP5" s="77">
        <v>51534554.497506857</v>
      </c>
      <c r="BQ5" s="77"/>
      <c r="BR5" s="77">
        <v>51815362.826739721</v>
      </c>
      <c r="BS5" s="77">
        <v>49868031.25857535</v>
      </c>
      <c r="BT5" s="77">
        <v>51534554.497506857</v>
      </c>
      <c r="BU5" s="77">
        <v>57388026.375123292</v>
      </c>
      <c r="BV5" s="77">
        <v>65991084.283068493</v>
      </c>
      <c r="BZ5" s="20">
        <v>49868031.25857535</v>
      </c>
      <c r="CA5" s="20">
        <v>51534554.497506857</v>
      </c>
      <c r="CB5" s="20">
        <v>54617864.042712331</v>
      </c>
    </row>
    <row r="6" spans="1:86" ht="15.5">
      <c r="A6" s="1" t="s">
        <v>291</v>
      </c>
      <c r="B6" s="77">
        <v>229394.639369863</v>
      </c>
      <c r="C6" s="77">
        <v>500908.43739726034</v>
      </c>
      <c r="D6" s="77">
        <v>909074.241479452</v>
      </c>
      <c r="E6" s="77">
        <v>1356274.4980821917</v>
      </c>
      <c r="F6" s="77">
        <v>1416753.7959726027</v>
      </c>
      <c r="G6" s="77">
        <v>1224853.9549589041</v>
      </c>
      <c r="H6" s="77">
        <v>825481.10931506846</v>
      </c>
      <c r="I6" s="77">
        <v>389917.924</v>
      </c>
      <c r="J6" s="77">
        <v>220691.65534246576</v>
      </c>
      <c r="K6" s="77">
        <v>184260.96695890412</v>
      </c>
      <c r="L6" s="77">
        <v>178615.93339726029</v>
      </c>
      <c r="M6" s="77">
        <v>180465.40794520543</v>
      </c>
      <c r="N6" s="77">
        <v>229323.9666027397</v>
      </c>
      <c r="O6" s="77">
        <v>494639.25315068488</v>
      </c>
      <c r="P6" s="77">
        <v>864908.09904109593</v>
      </c>
      <c r="Q6" s="77">
        <v>1278800.0465753425</v>
      </c>
      <c r="R6" s="77">
        <v>1253340.34569863</v>
      </c>
      <c r="S6" s="77">
        <v>1049796.1970958905</v>
      </c>
      <c r="T6" s="77">
        <v>731637.59095890413</v>
      </c>
      <c r="U6" s="77">
        <v>381440.01936986303</v>
      </c>
      <c r="V6" s="77">
        <v>212677.29109589042</v>
      </c>
      <c r="W6" s="77">
        <v>180521.32328767123</v>
      </c>
      <c r="X6" s="77">
        <v>177448.47972602741</v>
      </c>
      <c r="Y6" s="77">
        <v>172910.04082191782</v>
      </c>
      <c r="Z6" s="77">
        <v>237864.98082191779</v>
      </c>
      <c r="AA6" s="77">
        <v>526037.75356164388</v>
      </c>
      <c r="AB6" s="77">
        <v>923174.83454794518</v>
      </c>
      <c r="AC6" s="77">
        <v>1290140.8203013698</v>
      </c>
      <c r="AD6" s="77">
        <v>1289598.8623013699</v>
      </c>
      <c r="AE6" s="77">
        <v>1055422.529369863</v>
      </c>
      <c r="AF6" s="77">
        <v>765328.89972602739</v>
      </c>
      <c r="AG6" s="77">
        <v>399190.38057534245</v>
      </c>
      <c r="AH6" s="77">
        <v>215035.4090410959</v>
      </c>
      <c r="AI6" s="77">
        <v>187903.94032876709</v>
      </c>
      <c r="AJ6" s="77">
        <v>186567.64013698633</v>
      </c>
      <c r="AK6" s="77">
        <v>175228.42205479453</v>
      </c>
      <c r="AL6" s="77">
        <v>238915.25824657537</v>
      </c>
      <c r="AM6" s="77">
        <v>520957.65369863017</v>
      </c>
      <c r="AN6" s="77">
        <v>903169.45383561647</v>
      </c>
      <c r="AO6" s="77">
        <v>1366161.9873972605</v>
      </c>
      <c r="AP6" s="77">
        <v>1381593.0764383562</v>
      </c>
      <c r="AQ6" s="77">
        <v>1146017.496</v>
      </c>
      <c r="AR6" s="77">
        <v>806844.94904109591</v>
      </c>
      <c r="AS6" s="77">
        <v>444139.03682191775</v>
      </c>
      <c r="AT6" s="77">
        <v>219921.03095890413</v>
      </c>
      <c r="AU6" s="77">
        <v>187982.37095890412</v>
      </c>
      <c r="AV6" s="77">
        <v>185896.98421917809</v>
      </c>
      <c r="AW6" s="77">
        <v>178533.87260273972</v>
      </c>
      <c r="AX6" s="77">
        <v>298645.25419178081</v>
      </c>
      <c r="AY6" s="77">
        <v>717812.22684931511</v>
      </c>
      <c r="AZ6" s="77">
        <v>1311564.2080273973</v>
      </c>
      <c r="BA6" s="77">
        <v>1780030.6213150686</v>
      </c>
      <c r="BB6" s="77">
        <v>1850880.3930958905</v>
      </c>
      <c r="BC6" s="77">
        <v>1554921.938219178</v>
      </c>
      <c r="BD6" s="77">
        <v>1044996.9032876713</v>
      </c>
      <c r="BE6" s="77">
        <v>543494.12786301365</v>
      </c>
      <c r="BF6" s="77">
        <v>249404.0110958904</v>
      </c>
      <c r="BG6" s="77">
        <v>209212.43142465752</v>
      </c>
      <c r="BH6" s="77">
        <v>206189.97435616437</v>
      </c>
      <c r="BI6" s="77">
        <v>217456.70753424655</v>
      </c>
      <c r="BJ6" s="77">
        <v>300711.67142465751</v>
      </c>
      <c r="BK6" s="77">
        <v>704606.34958904108</v>
      </c>
      <c r="BL6" s="77">
        <v>1277444.7723561642</v>
      </c>
      <c r="BM6" s="77"/>
      <c r="BN6" s="77">
        <v>7432037.1845479449</v>
      </c>
      <c r="BO6" s="77">
        <v>0</v>
      </c>
      <c r="BP6" s="77">
        <v>7227459.2696164381</v>
      </c>
      <c r="BQ6" s="77"/>
      <c r="BR6" s="77">
        <v>7566186.5647671232</v>
      </c>
      <c r="BS6" s="77">
        <v>7125648.9035616443</v>
      </c>
      <c r="BT6" s="77">
        <v>7227459.269616439</v>
      </c>
      <c r="BU6" s="77">
        <v>8245112.4935068479</v>
      </c>
      <c r="BV6" s="77">
        <v>9939349.9015616421</v>
      </c>
      <c r="BZ6" s="20">
        <v>7125648.9035616443</v>
      </c>
      <c r="CA6" s="20">
        <v>7227459.269616439</v>
      </c>
      <c r="CB6" s="20">
        <v>7684740.6737534236</v>
      </c>
    </row>
    <row r="7" spans="1:86" ht="15.5">
      <c r="A7" s="1" t="s">
        <v>292</v>
      </c>
      <c r="B7" s="77">
        <v>105729.74495890411</v>
      </c>
      <c r="C7" s="77">
        <v>132340.28739726025</v>
      </c>
      <c r="D7" s="77">
        <v>167540.33312328765</v>
      </c>
      <c r="E7" s="77">
        <v>203204.1350410959</v>
      </c>
      <c r="F7" s="77">
        <v>215885.94197260274</v>
      </c>
      <c r="G7" s="77">
        <v>204729.62695890412</v>
      </c>
      <c r="H7" s="77">
        <v>174204.86794520548</v>
      </c>
      <c r="I7" s="77">
        <v>133383.79887671233</v>
      </c>
      <c r="J7" s="77">
        <v>108478.97465753424</v>
      </c>
      <c r="K7" s="77">
        <v>101608.41756164383</v>
      </c>
      <c r="L7" s="77">
        <v>98109.301999999996</v>
      </c>
      <c r="M7" s="77">
        <v>106061.21794520548</v>
      </c>
      <c r="N7" s="77">
        <v>111898.31495890411</v>
      </c>
      <c r="O7" s="77">
        <v>140479.75712328765</v>
      </c>
      <c r="P7" s="77">
        <v>178459.98358904111</v>
      </c>
      <c r="Q7" s="77">
        <v>212243.57531506848</v>
      </c>
      <c r="R7" s="77">
        <v>213327.43512328767</v>
      </c>
      <c r="S7" s="77">
        <v>196764.58167123288</v>
      </c>
      <c r="T7" s="77">
        <v>170717.64589041093</v>
      </c>
      <c r="U7" s="77">
        <v>135523.75167123289</v>
      </c>
      <c r="V7" s="77">
        <v>110913.51849315068</v>
      </c>
      <c r="W7" s="77">
        <v>100934.55246575343</v>
      </c>
      <c r="X7" s="77">
        <v>103523.6005479452</v>
      </c>
      <c r="Y7" s="77">
        <v>107747.55520547945</v>
      </c>
      <c r="Z7" s="77">
        <v>115738.08246575342</v>
      </c>
      <c r="AA7" s="77">
        <v>146626.09452054795</v>
      </c>
      <c r="AB7" s="77">
        <v>187296.73723287671</v>
      </c>
      <c r="AC7" s="77">
        <v>226713.66972602741</v>
      </c>
      <c r="AD7" s="77">
        <v>232797.68095890409</v>
      </c>
      <c r="AE7" s="77">
        <v>206483.77972602739</v>
      </c>
      <c r="AF7" s="77">
        <v>184377.73876712329</v>
      </c>
      <c r="AG7" s="77">
        <v>139850.70243835615</v>
      </c>
      <c r="AH7" s="77">
        <v>112771.5820547945</v>
      </c>
      <c r="AI7" s="77">
        <v>93860.073835616437</v>
      </c>
      <c r="AJ7" s="77">
        <v>102502.76383561644</v>
      </c>
      <c r="AK7" s="77">
        <v>108833.23726027396</v>
      </c>
      <c r="AL7" s="77">
        <v>114371.02430136985</v>
      </c>
      <c r="AM7" s="77">
        <v>144915.28767123289</v>
      </c>
      <c r="AN7" s="77">
        <v>188080.57972602738</v>
      </c>
      <c r="AO7" s="77">
        <v>241831.68038356164</v>
      </c>
      <c r="AP7" s="77">
        <v>251003.27997260273</v>
      </c>
      <c r="AQ7" s="77">
        <v>228763.95421917806</v>
      </c>
      <c r="AR7" s="77">
        <v>170284.03328767122</v>
      </c>
      <c r="AS7" s="77">
        <v>146609.88991780824</v>
      </c>
      <c r="AT7" s="77">
        <v>107889.73301369863</v>
      </c>
      <c r="AU7" s="77">
        <v>86106.720657534242</v>
      </c>
      <c r="AV7" s="77">
        <v>101779.41364383562</v>
      </c>
      <c r="AW7" s="77">
        <v>104555.17328767123</v>
      </c>
      <c r="AX7" s="77">
        <v>132824.14101369865</v>
      </c>
      <c r="AY7" s="77">
        <v>179594.30506849315</v>
      </c>
      <c r="AZ7" s="77">
        <v>241491.20010958903</v>
      </c>
      <c r="BA7" s="77">
        <v>302473.23271232878</v>
      </c>
      <c r="BB7" s="77">
        <v>316969.43512328767</v>
      </c>
      <c r="BC7" s="77">
        <v>295686.14652054792</v>
      </c>
      <c r="BD7" s="77">
        <v>216929.24191780822</v>
      </c>
      <c r="BE7" s="77">
        <v>178370.36271232876</v>
      </c>
      <c r="BF7" s="77">
        <v>136099.22821917807</v>
      </c>
      <c r="BG7" s="77">
        <v>106257.99608219179</v>
      </c>
      <c r="BH7" s="77">
        <v>121975.18608219178</v>
      </c>
      <c r="BI7" s="77">
        <v>140640.16547945206</v>
      </c>
      <c r="BJ7" s="77">
        <v>135154.41172602738</v>
      </c>
      <c r="BK7" s="77">
        <v>178062.53575342466</v>
      </c>
      <c r="BL7" s="77">
        <v>239919.76315068494</v>
      </c>
      <c r="BM7" s="77"/>
      <c r="BN7" s="77">
        <v>1908614.416821918</v>
      </c>
      <c r="BO7" s="77">
        <v>0</v>
      </c>
      <c r="BP7" s="77">
        <v>1855558.1203013698</v>
      </c>
      <c r="BQ7" s="77"/>
      <c r="BR7" s="77">
        <v>1776504.338630137</v>
      </c>
      <c r="BS7" s="77">
        <v>1801357.1306027395</v>
      </c>
      <c r="BT7" s="77">
        <v>1855558.1203013696</v>
      </c>
      <c r="BU7" s="77">
        <v>1992733.5245753424</v>
      </c>
      <c r="BV7" s="77">
        <v>2368537.7054794524</v>
      </c>
      <c r="BZ7" s="20">
        <v>1801357.1306027395</v>
      </c>
      <c r="CA7" s="20">
        <v>1855558.1203013696</v>
      </c>
      <c r="CB7" s="20">
        <v>1933180.6263835619</v>
      </c>
    </row>
    <row r="8" spans="1:86" ht="15.5">
      <c r="A8" s="1" t="s">
        <v>293</v>
      </c>
      <c r="B8" s="77">
        <v>198977.53339726027</v>
      </c>
      <c r="C8" s="77">
        <v>487209.72205479455</v>
      </c>
      <c r="D8" s="77">
        <v>862927.51367123285</v>
      </c>
      <c r="E8" s="77">
        <v>1261769.9509863015</v>
      </c>
      <c r="F8" s="77">
        <v>1297702.1073424658</v>
      </c>
      <c r="G8" s="77">
        <v>1109222.4509863015</v>
      </c>
      <c r="H8" s="77">
        <v>762829.78643835615</v>
      </c>
      <c r="I8" s="77">
        <v>355123.67021917808</v>
      </c>
      <c r="J8" s="77">
        <v>162466.30602739725</v>
      </c>
      <c r="K8" s="77">
        <v>118724.18098630136</v>
      </c>
      <c r="L8" s="77">
        <v>109160.65156164384</v>
      </c>
      <c r="M8" s="77">
        <v>125726.03452054794</v>
      </c>
      <c r="N8" s="77">
        <v>178597.04687671232</v>
      </c>
      <c r="O8" s="77">
        <v>436292.58575342468</v>
      </c>
      <c r="P8" s="77">
        <v>745241.58783561643</v>
      </c>
      <c r="Q8" s="77">
        <v>1059401.2872602739</v>
      </c>
      <c r="R8" s="77">
        <v>1040535.5816712328</v>
      </c>
      <c r="S8" s="77">
        <v>870311.29591780831</v>
      </c>
      <c r="T8" s="77">
        <v>605967.53863013699</v>
      </c>
      <c r="U8" s="77">
        <v>309471.68380821915</v>
      </c>
      <c r="V8" s="77">
        <v>141059.27821917809</v>
      </c>
      <c r="W8" s="77">
        <v>100239.54726027398</v>
      </c>
      <c r="X8" s="77">
        <v>98195.555917808219</v>
      </c>
      <c r="Y8" s="77">
        <v>99397.888219178087</v>
      </c>
      <c r="Z8" s="77">
        <v>187277.15649315069</v>
      </c>
      <c r="AA8" s="77">
        <v>466218.13863013696</v>
      </c>
      <c r="AB8" s="77">
        <v>798624.24380821921</v>
      </c>
      <c r="AC8" s="77">
        <v>1116936.2889041095</v>
      </c>
      <c r="AD8" s="77">
        <v>1127695.7573698629</v>
      </c>
      <c r="AE8" s="77">
        <v>915536.00805479451</v>
      </c>
      <c r="AF8" s="77">
        <v>664502.39054794516</v>
      </c>
      <c r="AG8" s="77">
        <v>332064.45597260277</v>
      </c>
      <c r="AH8" s="77">
        <v>145251.95054794519</v>
      </c>
      <c r="AI8" s="77">
        <v>101486.93926027397</v>
      </c>
      <c r="AJ8" s="77">
        <v>100553.69926027398</v>
      </c>
      <c r="AK8" s="77">
        <v>104426.63246575341</v>
      </c>
      <c r="AL8" s="77">
        <v>190984.96030136987</v>
      </c>
      <c r="AM8" s="77">
        <v>477200.85136986303</v>
      </c>
      <c r="AN8" s="77">
        <v>803904.48890410969</v>
      </c>
      <c r="AO8" s="77">
        <v>1241910.5282739727</v>
      </c>
      <c r="AP8" s="77">
        <v>1278557.3271232876</v>
      </c>
      <c r="AQ8" s="77">
        <v>1056096.9482739726</v>
      </c>
      <c r="AR8" s="77">
        <v>756831.24767123279</v>
      </c>
      <c r="AS8" s="77">
        <v>395065.71430136985</v>
      </c>
      <c r="AT8" s="77">
        <v>158814.07616438356</v>
      </c>
      <c r="AU8" s="77">
        <v>103902.44635616438</v>
      </c>
      <c r="AV8" s="77">
        <v>104616.40635616439</v>
      </c>
      <c r="AW8" s="77">
        <v>114704.4805479452</v>
      </c>
      <c r="AX8" s="77">
        <v>286955.96824657533</v>
      </c>
      <c r="AY8" s="77">
        <v>761938.07643835619</v>
      </c>
      <c r="AZ8" s="77">
        <v>1326479.0858082192</v>
      </c>
      <c r="BA8" s="77">
        <v>1754517.2933150686</v>
      </c>
      <c r="BB8" s="77">
        <v>1798611.1791232878</v>
      </c>
      <c r="BC8" s="77">
        <v>1510175.8733150684</v>
      </c>
      <c r="BD8" s="77">
        <v>1077144.3301369862</v>
      </c>
      <c r="BE8" s="77">
        <v>540774.0026849315</v>
      </c>
      <c r="BF8" s="77">
        <v>214746.28013698632</v>
      </c>
      <c r="BG8" s="77">
        <v>133103.73728767125</v>
      </c>
      <c r="BH8" s="77">
        <v>135077.44041095892</v>
      </c>
      <c r="BI8" s="77">
        <v>177158.68602739726</v>
      </c>
      <c r="BJ8" s="77">
        <v>293253.02789041097</v>
      </c>
      <c r="BK8" s="77">
        <v>753610.26520547946</v>
      </c>
      <c r="BL8" s="77">
        <v>1308021.3824657532</v>
      </c>
      <c r="BM8" s="77"/>
      <c r="BN8" s="77">
        <v>6653985.2461369876</v>
      </c>
      <c r="BO8" s="77">
        <v>0</v>
      </c>
      <c r="BP8" s="77">
        <v>6080544.4229589039</v>
      </c>
      <c r="BQ8" s="77"/>
      <c r="BR8" s="77">
        <v>6662856.3595342478</v>
      </c>
      <c r="BS8" s="77">
        <v>5776699.1958356155</v>
      </c>
      <c r="BT8" s="77">
        <v>6080544.422958903</v>
      </c>
      <c r="BU8" s="77">
        <v>7585872.305561644</v>
      </c>
      <c r="BV8" s="77">
        <v>9696193.4979999997</v>
      </c>
      <c r="BZ8" s="20">
        <v>5776699.1958356155</v>
      </c>
      <c r="CA8" s="20">
        <v>6080544.422958903</v>
      </c>
      <c r="CB8" s="20">
        <v>6891075.6701369863</v>
      </c>
    </row>
    <row r="9" spans="1:86" ht="15.5">
      <c r="A9" s="1" t="s">
        <v>294</v>
      </c>
      <c r="B9" s="77">
        <v>643290.30939726031</v>
      </c>
      <c r="C9" s="77">
        <v>805387.14849315071</v>
      </c>
      <c r="D9" s="77">
        <v>975285.86734246579</v>
      </c>
      <c r="E9" s="77">
        <v>1156243.7367671232</v>
      </c>
      <c r="F9" s="77">
        <v>1194717.3211780821</v>
      </c>
      <c r="G9" s="77">
        <v>1132021.3746575343</v>
      </c>
      <c r="H9" s="77">
        <v>970554.97054794524</v>
      </c>
      <c r="I9" s="77">
        <v>749003.74312328757</v>
      </c>
      <c r="J9" s="77">
        <v>624733.89999999991</v>
      </c>
      <c r="K9" s="77">
        <v>572068.5246575342</v>
      </c>
      <c r="L9" s="77">
        <v>560011.10465753428</v>
      </c>
      <c r="M9" s="77">
        <v>628450.02095890418</v>
      </c>
      <c r="N9" s="77">
        <v>605975.6462191781</v>
      </c>
      <c r="O9" s="77">
        <v>775405.15438356157</v>
      </c>
      <c r="P9" s="77">
        <v>921472.19928767113</v>
      </c>
      <c r="Q9" s="77">
        <v>1108130.6385205479</v>
      </c>
      <c r="R9" s="77">
        <v>1084132.491369863</v>
      </c>
      <c r="S9" s="77">
        <v>1021134.1271780822</v>
      </c>
      <c r="T9" s="77">
        <v>888393.88630136987</v>
      </c>
      <c r="U9" s="77">
        <v>729617.93506849324</v>
      </c>
      <c r="V9" s="77">
        <v>601413.89575342461</v>
      </c>
      <c r="W9" s="77">
        <v>532459.8985205479</v>
      </c>
      <c r="X9" s="77">
        <v>551097.05717808218</v>
      </c>
      <c r="Y9" s="77">
        <v>593986.27575342462</v>
      </c>
      <c r="Z9" s="77">
        <v>642083.74717808212</v>
      </c>
      <c r="AA9" s="77">
        <v>830501.01726027403</v>
      </c>
      <c r="AB9" s="77">
        <v>986963.53506849322</v>
      </c>
      <c r="AC9" s="77">
        <v>1166288.3741917808</v>
      </c>
      <c r="AD9" s="77">
        <v>1157440.2611780823</v>
      </c>
      <c r="AE9" s="77">
        <v>1072767.8752328767</v>
      </c>
      <c r="AF9" s="77">
        <v>952608.9012328767</v>
      </c>
      <c r="AG9" s="77">
        <v>764772.16816438362</v>
      </c>
      <c r="AH9" s="77">
        <v>630324.20054794522</v>
      </c>
      <c r="AI9" s="77">
        <v>523768.11523287673</v>
      </c>
      <c r="AJ9" s="77">
        <v>581834.89712328766</v>
      </c>
      <c r="AK9" s="77">
        <v>591953.76575342473</v>
      </c>
      <c r="AL9" s="77">
        <v>634556.95747945202</v>
      </c>
      <c r="AM9" s="77">
        <v>813943.26534246572</v>
      </c>
      <c r="AN9" s="77">
        <v>983202.72230136977</v>
      </c>
      <c r="AO9" s="77">
        <v>1296160.9787671233</v>
      </c>
      <c r="AP9" s="77">
        <v>1295571.8615890411</v>
      </c>
      <c r="AQ9" s="77">
        <v>1176892.5096164383</v>
      </c>
      <c r="AR9" s="77">
        <v>1019139.7409589041</v>
      </c>
      <c r="AS9" s="77">
        <v>837192.60961643839</v>
      </c>
      <c r="AT9" s="77">
        <v>663624.48027397261</v>
      </c>
      <c r="AU9" s="77">
        <v>530046.90876712324</v>
      </c>
      <c r="AV9" s="77">
        <v>627519.19654794526</v>
      </c>
      <c r="AW9" s="77">
        <v>666145.61671232875</v>
      </c>
      <c r="AX9" s="77">
        <v>910545.67717808229</v>
      </c>
      <c r="AY9" s="77">
        <v>1236466.4447945205</v>
      </c>
      <c r="AZ9" s="77">
        <v>1498111.6201643837</v>
      </c>
      <c r="BA9" s="77">
        <v>1743274.4932876714</v>
      </c>
      <c r="BB9" s="77">
        <v>1757977.5379726025</v>
      </c>
      <c r="BC9" s="77">
        <v>1602936.3270410961</v>
      </c>
      <c r="BD9" s="77">
        <v>1418942.6284931507</v>
      </c>
      <c r="BE9" s="77">
        <v>1099285.7970410958</v>
      </c>
      <c r="BF9" s="77">
        <v>881456.61849315069</v>
      </c>
      <c r="BG9" s="77">
        <v>727768.25410958903</v>
      </c>
      <c r="BH9" s="77">
        <v>818010.84410958912</v>
      </c>
      <c r="BI9" s="77">
        <v>910209.6284931507</v>
      </c>
      <c r="BJ9" s="77">
        <v>914979.66410958907</v>
      </c>
      <c r="BK9" s="77">
        <v>1202599.836438356</v>
      </c>
      <c r="BL9" s="77">
        <v>1456094.5778630136</v>
      </c>
      <c r="BM9" s="77"/>
      <c r="BN9" s="77">
        <v>10870011.696849314</v>
      </c>
      <c r="BO9" s="77">
        <v>0</v>
      </c>
      <c r="BP9" s="77">
        <v>9873461.5037808232</v>
      </c>
      <c r="BQ9" s="77"/>
      <c r="BR9" s="77">
        <v>9890657.6964383572</v>
      </c>
      <c r="BS9" s="77">
        <v>9569914.5051506851</v>
      </c>
      <c r="BT9" s="77">
        <v>9873461.5037808213</v>
      </c>
      <c r="BU9" s="77">
        <v>11757417.644986302</v>
      </c>
      <c r="BV9" s="77">
        <v>14533536.207452055</v>
      </c>
      <c r="BZ9" s="20">
        <v>9569914.5051506851</v>
      </c>
      <c r="CA9" s="20">
        <v>9873461.5037808213</v>
      </c>
      <c r="CB9" s="20">
        <v>11046937.070246574</v>
      </c>
    </row>
    <row r="10" spans="1:86" ht="15.5">
      <c r="A10" s="1" t="s">
        <v>295</v>
      </c>
      <c r="B10" s="77">
        <v>3405748.9969315068</v>
      </c>
      <c r="C10" s="77">
        <v>6248842.3378082179</v>
      </c>
      <c r="D10" s="77">
        <v>9179298.7487123292</v>
      </c>
      <c r="E10" s="77">
        <v>11769045.880328767</v>
      </c>
      <c r="F10" s="77">
        <v>12206782.015068494</v>
      </c>
      <c r="G10" s="77">
        <v>10897699.330657534</v>
      </c>
      <c r="H10" s="77">
        <v>8319996.3367123287</v>
      </c>
      <c r="I10" s="77">
        <v>5094654.1527671237</v>
      </c>
      <c r="J10" s="77">
        <v>3454353.9684931505</v>
      </c>
      <c r="K10" s="77">
        <v>2957704.6527123284</v>
      </c>
      <c r="L10" s="77">
        <v>2861456.2470684936</v>
      </c>
      <c r="M10" s="77">
        <v>2953330.2689041095</v>
      </c>
      <c r="N10" s="77">
        <v>3314257.956109589</v>
      </c>
      <c r="O10" s="77">
        <v>5598034.2457534252</v>
      </c>
      <c r="P10" s="77">
        <v>8284252.7315342464</v>
      </c>
      <c r="Q10" s="77">
        <v>11093786.961150687</v>
      </c>
      <c r="R10" s="77">
        <v>11015722.55819178</v>
      </c>
      <c r="S10" s="77">
        <v>9736425.823397262</v>
      </c>
      <c r="T10" s="77">
        <v>7519109.9606849328</v>
      </c>
      <c r="U10" s="77">
        <v>4921355.3608493153</v>
      </c>
      <c r="V10" s="77">
        <v>3297466.7805479458</v>
      </c>
      <c r="W10" s="77">
        <v>2791724.4113972606</v>
      </c>
      <c r="X10" s="77">
        <v>2804971.7508219182</v>
      </c>
      <c r="Y10" s="77">
        <v>2844401.8621917805</v>
      </c>
      <c r="Z10" s="77">
        <v>3443946.4235068494</v>
      </c>
      <c r="AA10" s="77">
        <v>5904852.5626027398</v>
      </c>
      <c r="AB10" s="77">
        <v>8767886.5383835621</v>
      </c>
      <c r="AC10" s="77">
        <v>11552119.821671234</v>
      </c>
      <c r="AD10" s="77">
        <v>11564865.37128767</v>
      </c>
      <c r="AE10" s="77">
        <v>10010542.311260274</v>
      </c>
      <c r="AF10" s="77">
        <v>8015231.2675342467</v>
      </c>
      <c r="AG10" s="77">
        <v>5208612.6663287673</v>
      </c>
      <c r="AH10" s="77">
        <v>3455339.9678082191</v>
      </c>
      <c r="AI10" s="77">
        <v>2874264.4947397262</v>
      </c>
      <c r="AJ10" s="77">
        <v>2891777.1540547945</v>
      </c>
      <c r="AK10" s="77">
        <v>2896920.7424657536</v>
      </c>
      <c r="AL10" s="77">
        <v>3498121.1311506853</v>
      </c>
      <c r="AM10" s="77">
        <v>5896715.8561643837</v>
      </c>
      <c r="AN10" s="77">
        <v>8707067.0296986308</v>
      </c>
      <c r="AO10" s="77">
        <v>12229606.847150683</v>
      </c>
      <c r="AP10" s="77">
        <v>12513789.419917809</v>
      </c>
      <c r="AQ10" s="77">
        <v>10785548.174520548</v>
      </c>
      <c r="AR10" s="77">
        <v>8528863.2543835621</v>
      </c>
      <c r="AS10" s="77">
        <v>5718802.2185753435</v>
      </c>
      <c r="AT10" s="77">
        <v>3601540.1873972602</v>
      </c>
      <c r="AU10" s="77">
        <v>2924995.8048767126</v>
      </c>
      <c r="AV10" s="77">
        <v>3006564.7833150681</v>
      </c>
      <c r="AW10" s="77">
        <v>3054141.0775342463</v>
      </c>
      <c r="AX10" s="77">
        <v>4511228.1645479454</v>
      </c>
      <c r="AY10" s="77">
        <v>7979436.0604109587</v>
      </c>
      <c r="AZ10" s="77">
        <v>12114646.351123286</v>
      </c>
      <c r="BA10" s="77">
        <v>15493392.595178083</v>
      </c>
      <c r="BB10" s="77">
        <v>15873622.042767122</v>
      </c>
      <c r="BC10" s="77">
        <v>13920401.940712329</v>
      </c>
      <c r="BD10" s="77">
        <v>10858923.604657535</v>
      </c>
      <c r="BE10" s="77">
        <v>6987765.4739178065</v>
      </c>
      <c r="BF10" s="77">
        <v>4337872.8078082185</v>
      </c>
      <c r="BG10" s="77">
        <v>3524678.0730410959</v>
      </c>
      <c r="BH10" s="77">
        <v>3547852.5767671238</v>
      </c>
      <c r="BI10" s="77">
        <v>3711274.5082191778</v>
      </c>
      <c r="BJ10" s="77">
        <v>4544332.4244109597</v>
      </c>
      <c r="BK10" s="77">
        <v>7844785.356986301</v>
      </c>
      <c r="BL10" s="77">
        <v>11883800.191095889</v>
      </c>
      <c r="BM10" s="77"/>
      <c r="BN10" s="77">
        <v>81275441.263287678</v>
      </c>
      <c r="BO10" s="77">
        <v>0</v>
      </c>
      <c r="BP10" s="77">
        <v>76571577.8141644</v>
      </c>
      <c r="BQ10" s="77"/>
      <c r="BR10" s="77">
        <v>77711567.786109596</v>
      </c>
      <c r="BS10" s="77">
        <v>74141650.99372603</v>
      </c>
      <c r="BT10" s="77">
        <v>76571577.814164385</v>
      </c>
      <c r="BU10" s="77">
        <v>86969162.343753427</v>
      </c>
      <c r="BV10" s="77">
        <v>102528701.59556162</v>
      </c>
      <c r="BZ10" s="20">
        <v>74141650.99372603</v>
      </c>
      <c r="CA10" s="20">
        <v>76571577.814164385</v>
      </c>
      <c r="CB10" s="20">
        <v>82173798.08323288</v>
      </c>
    </row>
    <row r="11" spans="1:86" ht="15.5">
      <c r="A11" s="1" t="s">
        <v>296</v>
      </c>
      <c r="B11" s="77">
        <v>1978922.4709999994</v>
      </c>
      <c r="C11" s="77">
        <v>2440066.3830000004</v>
      </c>
      <c r="D11" s="77">
        <v>2890888.8829999999</v>
      </c>
      <c r="E11" s="77">
        <v>3237858.0359999998</v>
      </c>
      <c r="F11" s="77">
        <v>2726486.4389999993</v>
      </c>
      <c r="G11" s="77">
        <v>2676638.2760000001</v>
      </c>
      <c r="H11" s="77">
        <v>1581482.3029999994</v>
      </c>
      <c r="I11" s="77">
        <v>1450962.8410000002</v>
      </c>
      <c r="J11" s="77">
        <v>1487478.8559999997</v>
      </c>
      <c r="K11" s="77">
        <v>1440975.9110000001</v>
      </c>
      <c r="L11" s="77">
        <v>1521973.7210000001</v>
      </c>
      <c r="M11" s="77">
        <v>1597565.3659999999</v>
      </c>
      <c r="N11" s="77">
        <v>1700707.9800000002</v>
      </c>
      <c r="O11" s="77">
        <v>2515863.3900000006</v>
      </c>
      <c r="P11" s="77">
        <v>3031365.8200000003</v>
      </c>
      <c r="Q11" s="77">
        <v>3103875.51</v>
      </c>
      <c r="R11" s="77">
        <v>2504513.36</v>
      </c>
      <c r="S11" s="77">
        <v>2461932.4300000006</v>
      </c>
      <c r="T11" s="77">
        <v>1819535.53</v>
      </c>
      <c r="U11" s="77">
        <v>1301664.3400000001</v>
      </c>
      <c r="V11" s="77">
        <v>1428772.52</v>
      </c>
      <c r="W11" s="77">
        <v>1442419.3399999999</v>
      </c>
      <c r="X11" s="77">
        <v>1489045.5500000003</v>
      </c>
      <c r="Y11" s="77">
        <v>1519428.3499999996</v>
      </c>
      <c r="Z11" s="77">
        <v>1700151.17</v>
      </c>
      <c r="AA11" s="77">
        <v>2512252.13</v>
      </c>
      <c r="AB11" s="77">
        <v>3083452.3</v>
      </c>
      <c r="AC11" s="77">
        <v>3511815.1499999994</v>
      </c>
      <c r="AD11" s="77">
        <v>3353357.6399999997</v>
      </c>
      <c r="AE11" s="77">
        <v>2958824.8600000003</v>
      </c>
      <c r="AF11" s="77">
        <v>1822004.0600000003</v>
      </c>
      <c r="AG11" s="77">
        <v>1408439.3899999997</v>
      </c>
      <c r="AH11" s="77">
        <v>1608214.4100000001</v>
      </c>
      <c r="AI11" s="77">
        <v>1648739.5500000003</v>
      </c>
      <c r="AJ11" s="77">
        <v>1639618.78</v>
      </c>
      <c r="AK11" s="77">
        <v>1579630.4100000001</v>
      </c>
      <c r="AL11" s="77">
        <v>1656449.6100000006</v>
      </c>
      <c r="AM11" s="77">
        <v>2268636.4800000004</v>
      </c>
      <c r="AN11" s="77">
        <v>3404902.4300000006</v>
      </c>
      <c r="AO11" s="77">
        <v>3451884.5500000003</v>
      </c>
      <c r="AP11" s="77">
        <v>3167492.31</v>
      </c>
      <c r="AQ11" s="77">
        <v>2747240.18</v>
      </c>
      <c r="AR11" s="77">
        <v>1653040.41</v>
      </c>
      <c r="AS11" s="77">
        <v>1347277.08</v>
      </c>
      <c r="AT11" s="77">
        <v>1509331.9100000001</v>
      </c>
      <c r="AU11" s="77">
        <v>1562658.16</v>
      </c>
      <c r="AV11" s="77">
        <v>1540449.2999999998</v>
      </c>
      <c r="AW11" s="77">
        <v>1534404.14</v>
      </c>
      <c r="AX11" s="77">
        <v>4796081.42</v>
      </c>
      <c r="AY11" s="77">
        <v>6099112.8499999996</v>
      </c>
      <c r="AZ11" s="77">
        <v>6663089.7400000002</v>
      </c>
      <c r="BA11" s="77">
        <v>7269456.2200000007</v>
      </c>
      <c r="BB11" s="77">
        <v>6326495.1000000015</v>
      </c>
      <c r="BC11" s="77">
        <v>5415724.2500000009</v>
      </c>
      <c r="BD11" s="77">
        <v>3223575.85</v>
      </c>
      <c r="BE11" s="77">
        <v>2747119.2399999998</v>
      </c>
      <c r="BF11" s="77">
        <v>2759273.0299999993</v>
      </c>
      <c r="BG11" s="77">
        <v>2765424.4899999993</v>
      </c>
      <c r="BH11" s="77">
        <v>3147423.3699999996</v>
      </c>
      <c r="BI11" s="77">
        <v>2665829.6800000002</v>
      </c>
      <c r="BJ11" s="77">
        <v>3136093.6299999994</v>
      </c>
      <c r="BK11" s="77">
        <v>4006773.9600000004</v>
      </c>
      <c r="BL11" s="77">
        <v>4557760.2699999986</v>
      </c>
      <c r="BM11" s="77"/>
      <c r="BN11" s="77">
        <v>26860632.770000003</v>
      </c>
      <c r="BO11" s="77">
        <v>0</v>
      </c>
      <c r="BP11" s="77">
        <v>26860632.770000003</v>
      </c>
      <c r="BQ11" s="77"/>
      <c r="BR11" s="77">
        <v>24969358.938999999</v>
      </c>
      <c r="BS11" s="77">
        <v>24367042.530000001</v>
      </c>
      <c r="BT11" s="77">
        <v>26860632.77</v>
      </c>
      <c r="BU11" s="77">
        <v>36072062.050000004</v>
      </c>
      <c r="BV11" s="77">
        <v>48020949.090000004</v>
      </c>
      <c r="BZ11" s="20">
        <v>24367042.530000001</v>
      </c>
      <c r="CA11" s="20">
        <v>26860632.77</v>
      </c>
      <c r="CB11" s="20">
        <v>25491479.360000003</v>
      </c>
    </row>
    <row r="12" spans="1:86" ht="15.5">
      <c r="A12" s="1" t="s">
        <v>297</v>
      </c>
      <c r="B12" s="77">
        <v>963197.60099999991</v>
      </c>
      <c r="C12" s="77">
        <v>1278193.693</v>
      </c>
      <c r="D12" s="77">
        <v>1570295.693</v>
      </c>
      <c r="E12" s="77">
        <v>1841910.7259999998</v>
      </c>
      <c r="F12" s="77">
        <v>1484261.1789999998</v>
      </c>
      <c r="G12" s="77">
        <v>1386459.1259999999</v>
      </c>
      <c r="H12" s="77">
        <v>724830.23300000001</v>
      </c>
      <c r="I12" s="77">
        <v>658454.30099999998</v>
      </c>
      <c r="J12" s="77">
        <v>687409.80599999998</v>
      </c>
      <c r="K12" s="77">
        <v>629519.571</v>
      </c>
      <c r="L12" s="77">
        <v>687435.45100000012</v>
      </c>
      <c r="M12" s="77">
        <v>737447.89600000007</v>
      </c>
      <c r="N12" s="77">
        <v>852974.58000000007</v>
      </c>
      <c r="O12" s="77">
        <v>1544355.4399999997</v>
      </c>
      <c r="P12" s="77">
        <v>1882543.65</v>
      </c>
      <c r="Q12" s="77">
        <v>1782838.7299999997</v>
      </c>
      <c r="R12" s="77">
        <v>1377960.36</v>
      </c>
      <c r="S12" s="77">
        <v>1358932.96</v>
      </c>
      <c r="T12" s="77">
        <v>992012.1100000001</v>
      </c>
      <c r="U12" s="77">
        <v>557729.37999999989</v>
      </c>
      <c r="V12" s="77">
        <v>729552.24000000011</v>
      </c>
      <c r="W12" s="77">
        <v>678260.89</v>
      </c>
      <c r="X12" s="77">
        <v>718461.58</v>
      </c>
      <c r="Y12" s="77">
        <v>779509.4</v>
      </c>
      <c r="Z12" s="77">
        <v>853660.02000000014</v>
      </c>
      <c r="AA12" s="77">
        <v>1528479.9699999997</v>
      </c>
      <c r="AB12" s="77">
        <v>1887309.5699999998</v>
      </c>
      <c r="AC12" s="77">
        <v>2073200.93</v>
      </c>
      <c r="AD12" s="77">
        <v>2033817.2</v>
      </c>
      <c r="AE12" s="77">
        <v>1684304.0599999998</v>
      </c>
      <c r="AF12" s="77">
        <v>846951.99</v>
      </c>
      <c r="AG12" s="77">
        <v>562290.12</v>
      </c>
      <c r="AH12" s="77">
        <v>774335.09</v>
      </c>
      <c r="AI12" s="77">
        <v>800008.21000000008</v>
      </c>
      <c r="AJ12" s="77">
        <v>788812.01</v>
      </c>
      <c r="AK12" s="77">
        <v>807299.53</v>
      </c>
      <c r="AL12" s="77">
        <v>817011.29</v>
      </c>
      <c r="AM12" s="77">
        <v>1187623.1500000001</v>
      </c>
      <c r="AN12" s="77">
        <v>2090546.15</v>
      </c>
      <c r="AO12" s="77">
        <v>1386845.8300000005</v>
      </c>
      <c r="AP12" s="77">
        <v>1236339.02</v>
      </c>
      <c r="AQ12" s="77">
        <v>1157529.6600000004</v>
      </c>
      <c r="AR12" s="77">
        <v>849907.5399999998</v>
      </c>
      <c r="AS12" s="77">
        <v>793506.69000000006</v>
      </c>
      <c r="AT12" s="77">
        <v>782834.60000000009</v>
      </c>
      <c r="AU12" s="77">
        <v>808107.24</v>
      </c>
      <c r="AV12" s="77">
        <v>796318.69999999984</v>
      </c>
      <c r="AW12" s="77">
        <v>766898.30999999982</v>
      </c>
      <c r="AX12" s="77">
        <v>2702942.74</v>
      </c>
      <c r="AY12" s="77">
        <v>3398235.2899999996</v>
      </c>
      <c r="AZ12" s="77">
        <v>3932541.1799999997</v>
      </c>
      <c r="BA12" s="77">
        <v>4216248.4800000004</v>
      </c>
      <c r="BB12" s="77">
        <v>3763512.4299999997</v>
      </c>
      <c r="BC12" s="77">
        <v>3082654.94</v>
      </c>
      <c r="BD12" s="77">
        <v>1756910.11</v>
      </c>
      <c r="BE12" s="77">
        <v>1509565.64</v>
      </c>
      <c r="BF12" s="77">
        <v>1351868.4000000001</v>
      </c>
      <c r="BG12" s="77">
        <v>1481402.3800000001</v>
      </c>
      <c r="BH12" s="77">
        <v>1564254.62</v>
      </c>
      <c r="BI12" s="77">
        <v>1530672.6700000002</v>
      </c>
      <c r="BJ12" s="77">
        <v>1765118.9899999998</v>
      </c>
      <c r="BK12" s="77">
        <v>2249535.63</v>
      </c>
      <c r="BL12" s="77">
        <v>2743405.29</v>
      </c>
      <c r="BM12" s="77"/>
      <c r="BN12" s="77">
        <v>14466199.729999999</v>
      </c>
      <c r="BO12" s="77">
        <v>0</v>
      </c>
      <c r="BP12" s="77">
        <v>0</v>
      </c>
      <c r="BQ12" s="77"/>
      <c r="BR12" s="77">
        <v>13117601.959000001</v>
      </c>
      <c r="BS12" s="77">
        <v>13244707.210000001</v>
      </c>
      <c r="BT12" s="77">
        <v>14466199.73</v>
      </c>
      <c r="BU12" s="77">
        <v>18612006.800000001</v>
      </c>
      <c r="BV12" s="77">
        <v>27015149.579999998</v>
      </c>
      <c r="BZ12" s="20">
        <v>13244707.210000001</v>
      </c>
      <c r="CA12" s="20">
        <v>14466199.73</v>
      </c>
      <c r="CB12" s="20">
        <v>11656798.470000001</v>
      </c>
    </row>
    <row r="13" spans="1:86" ht="15.5">
      <c r="A13" s="1" t="s">
        <v>298</v>
      </c>
      <c r="B13" s="77">
        <v>1015724.8699999995</v>
      </c>
      <c r="C13" s="77">
        <v>1161872.6900000004</v>
      </c>
      <c r="D13" s="77">
        <v>1320593.19</v>
      </c>
      <c r="E13" s="77">
        <v>1395947.31</v>
      </c>
      <c r="F13" s="77">
        <v>1242225.2599999995</v>
      </c>
      <c r="G13" s="77">
        <v>1290179.1500000001</v>
      </c>
      <c r="H13" s="77">
        <v>856652.06999999937</v>
      </c>
      <c r="I13" s="77">
        <v>792508.54000000027</v>
      </c>
      <c r="J13" s="77">
        <v>800069.0499999997</v>
      </c>
      <c r="K13" s="77">
        <v>811456.34000000008</v>
      </c>
      <c r="L13" s="77">
        <v>834538.27</v>
      </c>
      <c r="M13" s="77">
        <v>860117.46999999986</v>
      </c>
      <c r="N13" s="77">
        <v>847733.40000000014</v>
      </c>
      <c r="O13" s="77">
        <v>971507.95000000088</v>
      </c>
      <c r="P13" s="77">
        <v>1148822.1700000004</v>
      </c>
      <c r="Q13" s="77">
        <v>1321036.78</v>
      </c>
      <c r="R13" s="77">
        <v>1126552.9999999998</v>
      </c>
      <c r="S13" s="77">
        <v>1102999.4700000007</v>
      </c>
      <c r="T13" s="77">
        <v>827523.41999999993</v>
      </c>
      <c r="U13" s="77">
        <v>743934.9600000002</v>
      </c>
      <c r="V13" s="77">
        <v>699220.27999999991</v>
      </c>
      <c r="W13" s="77">
        <v>764158.44999999984</v>
      </c>
      <c r="X13" s="77">
        <v>770583.97000000032</v>
      </c>
      <c r="Y13" s="77">
        <v>739918.9499999996</v>
      </c>
      <c r="Z13" s="77">
        <v>846491.14999999979</v>
      </c>
      <c r="AA13" s="77">
        <v>983772.16000000015</v>
      </c>
      <c r="AB13" s="77">
        <v>1196142.73</v>
      </c>
      <c r="AC13" s="77">
        <v>1438614.2199999995</v>
      </c>
      <c r="AD13" s="77">
        <v>1319540.4399999997</v>
      </c>
      <c r="AE13" s="77">
        <v>1274520.8000000005</v>
      </c>
      <c r="AF13" s="77">
        <v>975052.0700000003</v>
      </c>
      <c r="AG13" s="77">
        <v>846149.26999999967</v>
      </c>
      <c r="AH13" s="77">
        <v>833879.32000000018</v>
      </c>
      <c r="AI13" s="77">
        <v>848731.3400000002</v>
      </c>
      <c r="AJ13" s="77">
        <v>850806.77</v>
      </c>
      <c r="AK13" s="77">
        <v>772330.88000000012</v>
      </c>
      <c r="AL13" s="77">
        <v>839438.32000000053</v>
      </c>
      <c r="AM13" s="77">
        <v>1081013.3300000003</v>
      </c>
      <c r="AN13" s="77">
        <v>1314356.2800000007</v>
      </c>
      <c r="AO13" s="77">
        <v>2065038.7199999997</v>
      </c>
      <c r="AP13" s="77">
        <v>1931153.29</v>
      </c>
      <c r="AQ13" s="77">
        <v>1589710.5199999998</v>
      </c>
      <c r="AR13" s="77">
        <v>803132.87000000011</v>
      </c>
      <c r="AS13" s="77">
        <v>553770.39</v>
      </c>
      <c r="AT13" s="77">
        <v>726497.31</v>
      </c>
      <c r="AU13" s="77">
        <v>754550.91999999993</v>
      </c>
      <c r="AV13" s="77">
        <v>744130.6</v>
      </c>
      <c r="AW13" s="77">
        <v>767505.83000000007</v>
      </c>
      <c r="AX13" s="77">
        <v>2093138.6799999997</v>
      </c>
      <c r="AY13" s="77">
        <v>2700877.56</v>
      </c>
      <c r="AZ13" s="77">
        <v>2730548.5600000005</v>
      </c>
      <c r="BA13" s="77">
        <v>3053207.74</v>
      </c>
      <c r="BB13" s="77">
        <v>2562982.6700000018</v>
      </c>
      <c r="BC13" s="77">
        <v>2333069.310000001</v>
      </c>
      <c r="BD13" s="77">
        <v>1466665.74</v>
      </c>
      <c r="BE13" s="77">
        <v>1237553.5999999999</v>
      </c>
      <c r="BF13" s="77">
        <v>1407404.6299999992</v>
      </c>
      <c r="BG13" s="77">
        <v>1284022.1099999992</v>
      </c>
      <c r="BH13" s="77">
        <v>1583168.7499999995</v>
      </c>
      <c r="BI13" s="77">
        <v>1135157.01</v>
      </c>
      <c r="BJ13" s="77">
        <v>1370974.6399999997</v>
      </c>
      <c r="BK13" s="77">
        <v>1757238.3300000005</v>
      </c>
      <c r="BL13" s="77">
        <v>1814354.9799999986</v>
      </c>
      <c r="BM13" s="77"/>
      <c r="BN13" s="77">
        <v>12394433.040000005</v>
      </c>
      <c r="BO13" s="77">
        <v>0</v>
      </c>
      <c r="BP13" s="77">
        <v>26860632.770000003</v>
      </c>
      <c r="BQ13" s="77"/>
      <c r="BR13" s="77">
        <v>11851756.98</v>
      </c>
      <c r="BS13" s="77">
        <v>11122335.32</v>
      </c>
      <c r="BT13" s="77">
        <v>12394433.040000003</v>
      </c>
      <c r="BU13" s="77">
        <v>17460055.25</v>
      </c>
      <c r="BV13" s="77">
        <v>21005799.509999998</v>
      </c>
      <c r="BZ13" s="20">
        <v>11122335.32</v>
      </c>
      <c r="CA13" s="20">
        <v>12394433.040000003</v>
      </c>
      <c r="CB13" s="20">
        <v>13834680.890000001</v>
      </c>
    </row>
    <row r="14" spans="1:86" ht="15.5">
      <c r="A14" s="1" t="s">
        <v>299</v>
      </c>
      <c r="B14" s="77">
        <v>4421473.8669315064</v>
      </c>
      <c r="C14" s="77">
        <v>7410715.0278082183</v>
      </c>
      <c r="D14" s="77">
        <v>10499891.938712329</v>
      </c>
      <c r="E14" s="77">
        <v>13164993.190328768</v>
      </c>
      <c r="F14" s="77">
        <v>13449007.275068494</v>
      </c>
      <c r="G14" s="77">
        <v>12187878.480657535</v>
      </c>
      <c r="H14" s="77">
        <v>9176648.4067123272</v>
      </c>
      <c r="I14" s="77">
        <v>5887162.6927671237</v>
      </c>
      <c r="J14" s="77">
        <v>4254423.0184931504</v>
      </c>
      <c r="K14" s="77">
        <v>3769160.9927123282</v>
      </c>
      <c r="L14" s="77">
        <v>3695994.5170684936</v>
      </c>
      <c r="M14" s="77">
        <v>3813447.7389041092</v>
      </c>
      <c r="N14" s="77">
        <v>4161991.3561095893</v>
      </c>
      <c r="O14" s="77">
        <v>6569542.1957534263</v>
      </c>
      <c r="P14" s="77">
        <v>9433074.9015342463</v>
      </c>
      <c r="Q14" s="77">
        <v>12414823.741150687</v>
      </c>
      <c r="R14" s="77">
        <v>12142275.55819178</v>
      </c>
      <c r="S14" s="77">
        <v>10839425.293397263</v>
      </c>
      <c r="T14" s="77">
        <v>8346633.3806849327</v>
      </c>
      <c r="U14" s="77">
        <v>5665290.3208493153</v>
      </c>
      <c r="V14" s="77">
        <v>3996687.0605479456</v>
      </c>
      <c r="W14" s="77">
        <v>3555882.8613972603</v>
      </c>
      <c r="X14" s="77">
        <v>3575555.7208219185</v>
      </c>
      <c r="Y14" s="77">
        <v>3584320.8121917802</v>
      </c>
      <c r="Z14" s="77">
        <v>4290437.5735068489</v>
      </c>
      <c r="AA14" s="77">
        <v>6888624.7226027399</v>
      </c>
      <c r="AB14" s="77">
        <v>9964029.2683835626</v>
      </c>
      <c r="AC14" s="77">
        <v>12990734.041671233</v>
      </c>
      <c r="AD14" s="77">
        <v>12884405.811287669</v>
      </c>
      <c r="AE14" s="77">
        <v>11285063.111260274</v>
      </c>
      <c r="AF14" s="77">
        <v>8990283.337534247</v>
      </c>
      <c r="AG14" s="77">
        <v>6054761.9363287669</v>
      </c>
      <c r="AH14" s="77">
        <v>4289219.287808219</v>
      </c>
      <c r="AI14" s="77">
        <v>3722995.8347397265</v>
      </c>
      <c r="AJ14" s="77">
        <v>3742583.9240547945</v>
      </c>
      <c r="AK14" s="77">
        <v>3669251.6224657539</v>
      </c>
      <c r="AL14" s="77">
        <v>4337559.4511506855</v>
      </c>
      <c r="AM14" s="77">
        <v>6977729.1861643838</v>
      </c>
      <c r="AN14" s="77">
        <v>10021423.309698632</v>
      </c>
      <c r="AO14" s="77">
        <v>14294645.567150682</v>
      </c>
      <c r="AP14" s="77">
        <v>14444942.70991781</v>
      </c>
      <c r="AQ14" s="77">
        <v>12375258.694520548</v>
      </c>
      <c r="AR14" s="77">
        <v>9331996.1243835613</v>
      </c>
      <c r="AS14" s="77">
        <v>6272572.6085753432</v>
      </c>
      <c r="AT14" s="77">
        <v>4328037.4973972607</v>
      </c>
      <c r="AU14" s="77">
        <v>3679546.7248767125</v>
      </c>
      <c r="AV14" s="77">
        <v>3750695.3833150682</v>
      </c>
      <c r="AW14" s="77">
        <v>3821646.9075342463</v>
      </c>
      <c r="AX14" s="77">
        <v>6604366.8445479451</v>
      </c>
      <c r="AY14" s="77">
        <v>10680313.620410958</v>
      </c>
      <c r="AZ14" s="77">
        <v>14845194.911123287</v>
      </c>
      <c r="BA14" s="77">
        <v>18546600.335178085</v>
      </c>
      <c r="BB14" s="77">
        <v>18436604.712767124</v>
      </c>
      <c r="BC14" s="77">
        <v>16253471.25071233</v>
      </c>
      <c r="BD14" s="77">
        <v>12325589.344657535</v>
      </c>
      <c r="BE14" s="77">
        <v>8225319.0739178061</v>
      </c>
      <c r="BF14" s="77">
        <v>5745277.4378082175</v>
      </c>
      <c r="BG14" s="77">
        <v>4808700.1830410948</v>
      </c>
      <c r="BH14" s="77">
        <v>5131021.3267671233</v>
      </c>
      <c r="BI14" s="77">
        <v>4846431.5182191776</v>
      </c>
      <c r="BJ14" s="77">
        <v>5915307.0644109594</v>
      </c>
      <c r="BK14" s="77">
        <v>9602023.6869863011</v>
      </c>
      <c r="BL14" s="77">
        <v>13698155.171095887</v>
      </c>
      <c r="BM14" s="77"/>
      <c r="BN14" s="77">
        <v>93669874.303287685</v>
      </c>
      <c r="BO14" s="77">
        <v>0</v>
      </c>
      <c r="BP14" s="77">
        <v>103432210.58416441</v>
      </c>
      <c r="BQ14" s="77"/>
      <c r="BR14" s="77">
        <v>89563324.766109586</v>
      </c>
      <c r="BS14" s="77">
        <v>85263986.313726038</v>
      </c>
      <c r="BT14" s="77">
        <v>88966010.854164377</v>
      </c>
      <c r="BU14" s="77">
        <v>104429217.59375343</v>
      </c>
      <c r="BV14" s="77">
        <v>123534501.10556163</v>
      </c>
      <c r="BZ14" s="20">
        <v>85263986.313726038</v>
      </c>
      <c r="CA14" s="20">
        <v>88966010.854164377</v>
      </c>
      <c r="CB14" s="20">
        <v>96008478.973232865</v>
      </c>
    </row>
    <row r="15" spans="1:86"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</row>
    <row r="16" spans="1:86">
      <c r="BR16" s="78"/>
      <c r="BS16" s="78"/>
      <c r="BT16" s="78"/>
      <c r="BU16" s="78"/>
      <c r="BV16" s="78"/>
      <c r="CB16" s="80">
        <v>0</v>
      </c>
      <c r="CE16" s="80" t="e">
        <v>#REF!</v>
      </c>
      <c r="CF16" s="80" t="e">
        <v>#REF!</v>
      </c>
      <c r="CG16" s="80" t="e">
        <v>#REF!</v>
      </c>
      <c r="CH16" s="80" t="e">
        <v>#REF!</v>
      </c>
    </row>
    <row r="17" spans="1:90">
      <c r="CB17" s="20">
        <v>4033258</v>
      </c>
      <c r="CE17" s="274" t="e">
        <v>#REF!</v>
      </c>
      <c r="CF17" s="274" t="e">
        <v>#REF!</v>
      </c>
      <c r="CG17" s="274" t="e">
        <v>#REF!</v>
      </c>
      <c r="CH17" s="274" t="e">
        <v>#REF!</v>
      </c>
    </row>
    <row r="18" spans="1:90" ht="15.5">
      <c r="B18" s="20">
        <v>2018</v>
      </c>
      <c r="C18" s="20">
        <v>2018</v>
      </c>
      <c r="D18" s="20">
        <v>2018</v>
      </c>
      <c r="E18" s="20">
        <v>2019</v>
      </c>
      <c r="F18" s="20">
        <v>2019</v>
      </c>
      <c r="G18" s="20">
        <v>2019</v>
      </c>
      <c r="H18" s="20">
        <v>2019</v>
      </c>
      <c r="I18" s="20">
        <v>2019</v>
      </c>
      <c r="J18" s="20">
        <v>2019</v>
      </c>
      <c r="K18" s="20">
        <v>2019</v>
      </c>
      <c r="L18" s="20">
        <v>2019</v>
      </c>
      <c r="M18" s="20">
        <v>2019</v>
      </c>
      <c r="N18" s="103">
        <v>2019</v>
      </c>
      <c r="O18" s="20">
        <v>2019</v>
      </c>
      <c r="P18" s="20">
        <v>2019</v>
      </c>
      <c r="Q18" s="20">
        <v>2020</v>
      </c>
      <c r="R18" s="20">
        <v>2020</v>
      </c>
      <c r="S18" s="20">
        <v>2020</v>
      </c>
      <c r="T18" s="20">
        <v>2020</v>
      </c>
      <c r="U18" s="20">
        <v>2020</v>
      </c>
      <c r="V18" s="20">
        <v>2020</v>
      </c>
      <c r="W18" s="20">
        <v>2020</v>
      </c>
      <c r="X18" s="20">
        <v>2020</v>
      </c>
      <c r="Y18" s="20">
        <v>2020</v>
      </c>
      <c r="Z18" s="20">
        <v>2020</v>
      </c>
      <c r="AA18" s="20">
        <v>2020</v>
      </c>
      <c r="AB18" s="20">
        <v>2020</v>
      </c>
      <c r="AC18" s="20">
        <v>2021</v>
      </c>
      <c r="AD18" s="20">
        <v>2021</v>
      </c>
      <c r="AE18" s="20">
        <v>2021</v>
      </c>
      <c r="AF18" s="20">
        <v>2021</v>
      </c>
      <c r="AG18" s="20">
        <v>2021</v>
      </c>
      <c r="AH18" s="20">
        <v>2021</v>
      </c>
      <c r="AI18" s="20">
        <v>2021</v>
      </c>
      <c r="AJ18" s="20">
        <v>2021</v>
      </c>
      <c r="AK18" s="20">
        <v>2021</v>
      </c>
      <c r="AL18" s="20">
        <v>2021</v>
      </c>
      <c r="AM18" s="20">
        <v>2021</v>
      </c>
      <c r="AN18" s="20">
        <v>2021</v>
      </c>
      <c r="AO18" s="20">
        <v>2022</v>
      </c>
      <c r="AP18" s="20">
        <v>2022</v>
      </c>
      <c r="AQ18" s="20">
        <v>2022</v>
      </c>
      <c r="AR18" s="20">
        <v>2022</v>
      </c>
      <c r="AS18" s="20">
        <v>2022</v>
      </c>
      <c r="AT18" s="20">
        <v>2022</v>
      </c>
      <c r="AU18" s="20">
        <v>2022</v>
      </c>
      <c r="AV18" s="20">
        <v>2022</v>
      </c>
      <c r="AW18" s="20">
        <v>2022</v>
      </c>
      <c r="AX18" s="20">
        <v>2022</v>
      </c>
      <c r="AY18" s="20">
        <v>2022</v>
      </c>
      <c r="AZ18" s="20">
        <v>2022</v>
      </c>
      <c r="BA18" s="20">
        <v>2023</v>
      </c>
      <c r="BB18" s="20">
        <v>2023</v>
      </c>
      <c r="BC18" s="20">
        <v>2023</v>
      </c>
      <c r="BD18" s="20">
        <v>2023</v>
      </c>
      <c r="BE18" s="20">
        <v>2023</v>
      </c>
      <c r="BF18" s="20">
        <v>2023</v>
      </c>
      <c r="BG18" s="20">
        <v>2023</v>
      </c>
      <c r="BH18" s="20">
        <v>2023</v>
      </c>
      <c r="BI18" s="20">
        <v>2023</v>
      </c>
      <c r="BJ18" s="20">
        <v>2023</v>
      </c>
      <c r="BK18" s="20">
        <v>2023</v>
      </c>
      <c r="BL18" s="20">
        <v>2023</v>
      </c>
      <c r="BN18" s="20">
        <v>0</v>
      </c>
      <c r="BO18" s="20">
        <v>0</v>
      </c>
      <c r="BP18" s="20" t="s">
        <v>394</v>
      </c>
      <c r="BR18" s="105" t="s">
        <v>63</v>
      </c>
      <c r="BS18" s="105" t="s">
        <v>63</v>
      </c>
      <c r="BT18" s="105" t="s">
        <v>63</v>
      </c>
      <c r="BU18" s="105" t="s">
        <v>63</v>
      </c>
      <c r="BV18" s="105" t="s">
        <v>63</v>
      </c>
      <c r="BW18" s="20" t="s">
        <v>300</v>
      </c>
      <c r="BZ18" s="20" t="s">
        <v>63</v>
      </c>
      <c r="CA18" s="20" t="s">
        <v>63</v>
      </c>
      <c r="CB18" s="20" t="s">
        <v>63</v>
      </c>
      <c r="CC18" s="20" t="s">
        <v>300</v>
      </c>
      <c r="CE18" s="274" t="e">
        <v>#REF!</v>
      </c>
      <c r="CF18" s="274" t="e">
        <v>#REF!</v>
      </c>
      <c r="CG18" s="274" t="e">
        <v>#REF!</v>
      </c>
      <c r="CH18" s="274" t="e">
        <v>#REF!</v>
      </c>
    </row>
    <row r="19" spans="1:90" s="1" customFormat="1" ht="18.5">
      <c r="A19" s="1" t="s">
        <v>301</v>
      </c>
      <c r="B19" s="75" t="s">
        <v>275</v>
      </c>
      <c r="C19" s="75" t="s">
        <v>276</v>
      </c>
      <c r="D19" s="75" t="s">
        <v>277</v>
      </c>
      <c r="E19" s="75" t="s">
        <v>268</v>
      </c>
      <c r="F19" s="75" t="s">
        <v>278</v>
      </c>
      <c r="G19" s="75" t="s">
        <v>279</v>
      </c>
      <c r="H19" s="75" t="s">
        <v>280</v>
      </c>
      <c r="I19" s="75" t="s">
        <v>281</v>
      </c>
      <c r="J19" s="75" t="s">
        <v>282</v>
      </c>
      <c r="K19" s="75" t="s">
        <v>283</v>
      </c>
      <c r="L19" s="75" t="s">
        <v>269</v>
      </c>
      <c r="M19" s="75" t="s">
        <v>284</v>
      </c>
      <c r="N19" s="103" t="s">
        <v>275</v>
      </c>
      <c r="O19" s="75" t="s">
        <v>276</v>
      </c>
      <c r="P19" s="75" t="s">
        <v>277</v>
      </c>
      <c r="Q19" s="75" t="s">
        <v>268</v>
      </c>
      <c r="R19" s="75" t="s">
        <v>278</v>
      </c>
      <c r="S19" s="75" t="s">
        <v>279</v>
      </c>
      <c r="T19" s="75" t="s">
        <v>280</v>
      </c>
      <c r="U19" s="75" t="s">
        <v>281</v>
      </c>
      <c r="V19" s="75" t="s">
        <v>282</v>
      </c>
      <c r="W19" s="75" t="s">
        <v>283</v>
      </c>
      <c r="X19" s="75" t="s">
        <v>269</v>
      </c>
      <c r="Y19" s="75" t="s">
        <v>284</v>
      </c>
      <c r="Z19" s="75" t="s">
        <v>275</v>
      </c>
      <c r="AA19" s="75" t="s">
        <v>276</v>
      </c>
      <c r="AB19" s="75" t="s">
        <v>277</v>
      </c>
      <c r="AC19" s="122" t="s">
        <v>268</v>
      </c>
      <c r="AD19" s="122" t="s">
        <v>278</v>
      </c>
      <c r="AE19" s="122" t="s">
        <v>279</v>
      </c>
      <c r="AF19" s="122" t="s">
        <v>280</v>
      </c>
      <c r="AG19" s="122" t="s">
        <v>281</v>
      </c>
      <c r="AH19" s="122" t="s">
        <v>282</v>
      </c>
      <c r="AI19" s="122" t="s">
        <v>283</v>
      </c>
      <c r="AJ19" s="122" t="s">
        <v>269</v>
      </c>
      <c r="AK19" s="122" t="s">
        <v>284</v>
      </c>
      <c r="AL19" s="122" t="s">
        <v>275</v>
      </c>
      <c r="AM19" s="122" t="s">
        <v>276</v>
      </c>
      <c r="AN19" s="122" t="s">
        <v>277</v>
      </c>
      <c r="AO19" s="122" t="s">
        <v>268</v>
      </c>
      <c r="AP19" s="122" t="s">
        <v>278</v>
      </c>
      <c r="AQ19" s="122" t="s">
        <v>279</v>
      </c>
      <c r="AR19" s="122" t="s">
        <v>280</v>
      </c>
      <c r="AS19" s="122" t="s">
        <v>281</v>
      </c>
      <c r="AT19" s="122" t="s">
        <v>282</v>
      </c>
      <c r="AU19" s="122" t="s">
        <v>283</v>
      </c>
      <c r="AV19" s="122" t="s">
        <v>269</v>
      </c>
      <c r="AW19" s="122" t="s">
        <v>284</v>
      </c>
      <c r="AX19" s="122" t="s">
        <v>275</v>
      </c>
      <c r="AY19" s="122" t="s">
        <v>276</v>
      </c>
      <c r="AZ19" s="122" t="s">
        <v>277</v>
      </c>
      <c r="BA19" s="122" t="s">
        <v>268</v>
      </c>
      <c r="BB19" s="122" t="s">
        <v>278</v>
      </c>
      <c r="BC19" s="122" t="s">
        <v>279</v>
      </c>
      <c r="BD19" s="122" t="s">
        <v>280</v>
      </c>
      <c r="BE19" s="122" t="s">
        <v>281</v>
      </c>
      <c r="BF19" s="122" t="s">
        <v>282</v>
      </c>
      <c r="BG19" s="122" t="s">
        <v>283</v>
      </c>
      <c r="BH19" s="122" t="s">
        <v>269</v>
      </c>
      <c r="BI19" s="122" t="s">
        <v>284</v>
      </c>
      <c r="BJ19" s="122" t="s">
        <v>275</v>
      </c>
      <c r="BK19" s="122" t="s">
        <v>276</v>
      </c>
      <c r="BL19" s="122" t="s">
        <v>277</v>
      </c>
      <c r="BM19" s="122"/>
      <c r="BN19" s="122" t="s">
        <v>395</v>
      </c>
      <c r="BO19" s="122">
        <v>0</v>
      </c>
      <c r="BP19" s="122" t="s">
        <v>395</v>
      </c>
      <c r="BQ19" s="75"/>
      <c r="BR19" s="75" t="s">
        <v>285</v>
      </c>
      <c r="BS19" s="75" t="s">
        <v>286</v>
      </c>
      <c r="BT19" s="75" t="s">
        <v>287</v>
      </c>
      <c r="BU19" s="75" t="s">
        <v>288</v>
      </c>
      <c r="BV19" s="75" t="s">
        <v>289</v>
      </c>
      <c r="BW19" s="76" t="s">
        <v>289</v>
      </c>
      <c r="BX19" s="20"/>
      <c r="BY19" s="20"/>
      <c r="BZ19" s="20" t="s">
        <v>286</v>
      </c>
      <c r="CA19" s="20" t="s">
        <v>287</v>
      </c>
      <c r="CB19" s="20" t="s">
        <v>288</v>
      </c>
      <c r="CC19" s="20" t="s">
        <v>289</v>
      </c>
      <c r="CD19" s="16"/>
      <c r="CE19" s="274" t="e">
        <v>#REF!</v>
      </c>
      <c r="CF19" s="274" t="e">
        <v>#REF!</v>
      </c>
      <c r="CG19" s="274" t="e">
        <v>#REF!</v>
      </c>
      <c r="CH19" s="274" t="e">
        <v>#REF!</v>
      </c>
      <c r="CJ19" s="275" t="e">
        <v>#REF!</v>
      </c>
    </row>
    <row r="20" spans="1:90" ht="15.5">
      <c r="A20" t="s">
        <v>290</v>
      </c>
      <c r="B20" s="79">
        <v>120518</v>
      </c>
      <c r="C20" s="79">
        <v>318873</v>
      </c>
      <c r="D20" s="79">
        <v>501814</v>
      </c>
      <c r="E20" s="79">
        <v>648588</v>
      </c>
      <c r="F20" s="79">
        <v>688125</v>
      </c>
      <c r="G20" s="79">
        <v>595590</v>
      </c>
      <c r="H20" s="79">
        <v>440533</v>
      </c>
      <c r="I20" s="79">
        <v>235062</v>
      </c>
      <c r="J20" s="79">
        <v>129046</v>
      </c>
      <c r="K20" s="79">
        <v>91814</v>
      </c>
      <c r="L20" s="79">
        <v>85498</v>
      </c>
      <c r="M20" s="79">
        <v>88346</v>
      </c>
      <c r="N20" s="79">
        <v>121157</v>
      </c>
      <c r="O20" s="79">
        <v>289124</v>
      </c>
      <c r="P20" s="79">
        <v>478014</v>
      </c>
      <c r="Q20" s="79">
        <v>675005</v>
      </c>
      <c r="R20" s="79">
        <v>695640</v>
      </c>
      <c r="S20" s="79">
        <v>595377</v>
      </c>
      <c r="T20" s="79">
        <v>440088</v>
      </c>
      <c r="U20" s="79">
        <v>242313</v>
      </c>
      <c r="V20" s="79">
        <v>127060</v>
      </c>
      <c r="W20" s="79">
        <v>86961</v>
      </c>
      <c r="X20" s="79">
        <v>83913</v>
      </c>
      <c r="Y20" s="79">
        <v>86816</v>
      </c>
      <c r="Z20" s="79">
        <v>122429</v>
      </c>
      <c r="AA20" s="79">
        <v>292554</v>
      </c>
      <c r="AB20" s="79">
        <v>483830</v>
      </c>
      <c r="AC20" s="79">
        <v>693189</v>
      </c>
      <c r="AD20" s="79">
        <v>705211</v>
      </c>
      <c r="AE20" s="79">
        <v>588941</v>
      </c>
      <c r="AF20" s="79">
        <v>455229</v>
      </c>
      <c r="AG20" s="79">
        <v>255006</v>
      </c>
      <c r="AH20" s="79">
        <v>131517</v>
      </c>
      <c r="AI20" s="79">
        <v>88127</v>
      </c>
      <c r="AJ20" s="79">
        <v>83422</v>
      </c>
      <c r="AK20" s="79">
        <v>86711</v>
      </c>
      <c r="AL20" s="79">
        <v>125799</v>
      </c>
      <c r="AM20" s="79">
        <v>298335</v>
      </c>
      <c r="AN20" s="79">
        <v>491858</v>
      </c>
      <c r="AO20" s="79">
        <v>680660</v>
      </c>
      <c r="AP20" s="79">
        <v>713399</v>
      </c>
      <c r="AQ20" s="79">
        <v>591429</v>
      </c>
      <c r="AR20" s="79">
        <v>457416</v>
      </c>
      <c r="AS20" s="79">
        <v>269414</v>
      </c>
      <c r="AT20" s="79">
        <v>131742</v>
      </c>
      <c r="AU20" s="79">
        <v>85991</v>
      </c>
      <c r="AV20" s="79">
        <v>83144</v>
      </c>
      <c r="AW20" s="79">
        <v>89250.25</v>
      </c>
      <c r="AX20" s="79">
        <v>135372.25</v>
      </c>
      <c r="AY20" s="79">
        <v>299385.25</v>
      </c>
      <c r="AZ20" s="79">
        <v>496055.25</v>
      </c>
      <c r="BA20" s="79">
        <v>657433</v>
      </c>
      <c r="BB20" s="79">
        <v>686958</v>
      </c>
      <c r="BC20" s="79">
        <v>587956</v>
      </c>
      <c r="BD20" s="79">
        <v>450410</v>
      </c>
      <c r="BE20" s="79">
        <v>265467</v>
      </c>
      <c r="BF20" s="79">
        <v>132172</v>
      </c>
      <c r="BG20" s="79">
        <v>90400</v>
      </c>
      <c r="BH20" s="79">
        <v>84558</v>
      </c>
      <c r="BI20" s="79">
        <v>87307</v>
      </c>
      <c r="BJ20" s="79">
        <v>133139</v>
      </c>
      <c r="BK20" s="79">
        <v>297297</v>
      </c>
      <c r="BL20" s="79">
        <v>494324</v>
      </c>
      <c r="BM20" s="79"/>
      <c r="BN20" s="79">
        <v>4003392</v>
      </c>
      <c r="BO20" s="79">
        <v>0</v>
      </c>
      <c r="BP20" s="79">
        <v>4003345</v>
      </c>
      <c r="BQ20" s="79"/>
      <c r="BR20" s="79">
        <v>3890897</v>
      </c>
      <c r="BS20" s="79">
        <v>3931986</v>
      </c>
      <c r="BT20" s="79">
        <v>4003345</v>
      </c>
      <c r="BU20" s="79">
        <v>4033258</v>
      </c>
      <c r="BV20" s="79">
        <v>3967421</v>
      </c>
      <c r="BW20" s="150">
        <v>39674210</v>
      </c>
      <c r="BX20" s="80">
        <v>29913</v>
      </c>
      <c r="BZ20" s="80">
        <v>3931986</v>
      </c>
      <c r="CA20" s="80">
        <v>4003345</v>
      </c>
      <c r="CB20" s="79">
        <v>4033258</v>
      </c>
      <c r="CC20" s="79">
        <v>3967421</v>
      </c>
      <c r="CD20" s="16" t="s">
        <v>141</v>
      </c>
      <c r="CE20" s="274" t="e">
        <v>#REF!</v>
      </c>
      <c r="CF20" s="274" t="e">
        <v>#REF!</v>
      </c>
      <c r="CG20" s="274" t="e">
        <v>#REF!</v>
      </c>
      <c r="CH20" s="274" t="e">
        <v>#REF!</v>
      </c>
      <c r="CI20" s="8" t="e">
        <v>#REF!</v>
      </c>
      <c r="CJ20" s="8" t="e">
        <v>#REF!</v>
      </c>
      <c r="CK20" s="8" t="e">
        <v>#REF!</v>
      </c>
      <c r="CL20" s="8" t="e">
        <v>#REF!</v>
      </c>
    </row>
    <row r="21" spans="1:90" ht="15.5">
      <c r="A21" t="s">
        <v>291</v>
      </c>
      <c r="B21" s="79">
        <v>9190</v>
      </c>
      <c r="C21" s="79">
        <v>36622</v>
      </c>
      <c r="D21" s="79">
        <v>78086</v>
      </c>
      <c r="E21" s="79">
        <v>124169</v>
      </c>
      <c r="F21" s="79">
        <v>132361</v>
      </c>
      <c r="G21" s="79">
        <v>110930</v>
      </c>
      <c r="H21" s="79">
        <v>70068</v>
      </c>
      <c r="I21" s="79">
        <v>24864</v>
      </c>
      <c r="J21" s="79">
        <v>7939</v>
      </c>
      <c r="K21" s="79">
        <v>3801</v>
      </c>
      <c r="L21" s="79">
        <v>3270</v>
      </c>
      <c r="M21" s="79">
        <v>3945</v>
      </c>
      <c r="N21" s="79">
        <v>9666</v>
      </c>
      <c r="O21" s="79">
        <v>40600</v>
      </c>
      <c r="P21" s="79">
        <v>82987</v>
      </c>
      <c r="Q21" s="79">
        <v>131097</v>
      </c>
      <c r="R21" s="79">
        <v>132473</v>
      </c>
      <c r="S21" s="79">
        <v>106478</v>
      </c>
      <c r="T21" s="79">
        <v>69218</v>
      </c>
      <c r="U21" s="79">
        <v>26415</v>
      </c>
      <c r="V21" s="79">
        <v>7772</v>
      </c>
      <c r="W21" s="79">
        <v>3693</v>
      </c>
      <c r="X21" s="79">
        <v>3268</v>
      </c>
      <c r="Y21" s="79">
        <v>3270</v>
      </c>
      <c r="Z21" s="79">
        <v>9762</v>
      </c>
      <c r="AA21" s="79">
        <v>41233</v>
      </c>
      <c r="AB21" s="79">
        <v>83997</v>
      </c>
      <c r="AC21" s="79">
        <v>131597</v>
      </c>
      <c r="AD21" s="79">
        <v>133294</v>
      </c>
      <c r="AE21" s="79">
        <v>104194</v>
      </c>
      <c r="AF21" s="79">
        <v>71000</v>
      </c>
      <c r="AG21" s="79">
        <v>27878</v>
      </c>
      <c r="AH21" s="79">
        <v>7339</v>
      </c>
      <c r="AI21" s="79">
        <v>3816</v>
      </c>
      <c r="AJ21" s="79">
        <v>3747</v>
      </c>
      <c r="AK21" s="79">
        <v>3227</v>
      </c>
      <c r="AL21" s="79">
        <v>10046</v>
      </c>
      <c r="AM21" s="79">
        <v>42960</v>
      </c>
      <c r="AN21" s="79">
        <v>86667</v>
      </c>
      <c r="AO21" s="79">
        <v>129206</v>
      </c>
      <c r="AP21" s="79">
        <v>132483</v>
      </c>
      <c r="AQ21" s="79">
        <v>105594</v>
      </c>
      <c r="AR21" s="79">
        <v>69844</v>
      </c>
      <c r="AS21" s="79">
        <v>30568</v>
      </c>
      <c r="AT21" s="79">
        <v>7345</v>
      </c>
      <c r="AU21" s="79">
        <v>3616</v>
      </c>
      <c r="AV21" s="79">
        <v>3464</v>
      </c>
      <c r="AW21" s="79">
        <v>3421</v>
      </c>
      <c r="AX21" s="79">
        <v>11131</v>
      </c>
      <c r="AY21" s="79">
        <v>43730</v>
      </c>
      <c r="AZ21" s="79">
        <v>84842</v>
      </c>
      <c r="BA21" s="79">
        <v>128054</v>
      </c>
      <c r="BB21" s="79">
        <v>131290</v>
      </c>
      <c r="BC21" s="79">
        <v>104609</v>
      </c>
      <c r="BD21" s="79">
        <v>69390</v>
      </c>
      <c r="BE21" s="79">
        <v>30171</v>
      </c>
      <c r="BF21" s="79">
        <v>7261</v>
      </c>
      <c r="BG21" s="79">
        <v>3580</v>
      </c>
      <c r="BH21" s="79">
        <v>3426</v>
      </c>
      <c r="BI21" s="79">
        <v>3382</v>
      </c>
      <c r="BJ21" s="79">
        <v>10965</v>
      </c>
      <c r="BK21" s="79">
        <v>43026</v>
      </c>
      <c r="BL21" s="79">
        <v>83617</v>
      </c>
      <c r="BM21" s="79"/>
      <c r="BN21" s="79">
        <v>593761</v>
      </c>
      <c r="BO21" s="79">
        <v>0</v>
      </c>
      <c r="BP21" s="79">
        <v>625765</v>
      </c>
      <c r="BQ21" s="79"/>
      <c r="BR21" s="79">
        <v>614600</v>
      </c>
      <c r="BS21" s="79">
        <v>618676</v>
      </c>
      <c r="BT21" s="79">
        <v>625765</v>
      </c>
      <c r="BU21" s="79">
        <v>625244</v>
      </c>
      <c r="BV21" s="79">
        <v>618771</v>
      </c>
      <c r="BW21" s="150">
        <v>6187710</v>
      </c>
      <c r="BX21" s="80">
        <v>-521</v>
      </c>
      <c r="BZ21" s="80">
        <v>618676</v>
      </c>
      <c r="CA21" s="80">
        <v>625765</v>
      </c>
      <c r="CB21" s="79">
        <v>625244</v>
      </c>
      <c r="CC21" s="79">
        <v>618771</v>
      </c>
      <c r="CD21" s="16" t="s">
        <v>367</v>
      </c>
      <c r="CE21" s="274" t="e">
        <v>#REF!</v>
      </c>
      <c r="CF21" s="274" t="e">
        <v>#REF!</v>
      </c>
      <c r="CG21" s="274" t="e">
        <v>#REF!</v>
      </c>
      <c r="CH21" s="274" t="e">
        <v>#REF!</v>
      </c>
      <c r="CI21" s="8" t="e">
        <v>#REF!</v>
      </c>
      <c r="CJ21" s="8" t="e">
        <v>#REF!</v>
      </c>
      <c r="CK21" s="8" t="e">
        <v>#REF!</v>
      </c>
      <c r="CL21" s="8" t="e">
        <v>#REF!</v>
      </c>
    </row>
    <row r="22" spans="1:90" ht="15.5">
      <c r="A22" t="s">
        <v>292</v>
      </c>
      <c r="B22" s="79">
        <v>9815</v>
      </c>
      <c r="C22" s="79">
        <v>13190</v>
      </c>
      <c r="D22" s="79">
        <v>17658</v>
      </c>
      <c r="E22" s="79">
        <v>22342</v>
      </c>
      <c r="F22" s="79">
        <v>24510</v>
      </c>
      <c r="G22" s="79">
        <v>22609</v>
      </c>
      <c r="H22" s="79">
        <v>18720</v>
      </c>
      <c r="I22" s="79">
        <v>13342</v>
      </c>
      <c r="J22" s="79">
        <v>10188</v>
      </c>
      <c r="K22" s="79">
        <v>9134</v>
      </c>
      <c r="L22" s="79">
        <v>8658</v>
      </c>
      <c r="M22" s="79">
        <v>9886</v>
      </c>
      <c r="N22" s="79">
        <v>11080</v>
      </c>
      <c r="O22" s="79">
        <v>15437</v>
      </c>
      <c r="P22" s="79">
        <v>20839</v>
      </c>
      <c r="Q22" s="79">
        <v>25809</v>
      </c>
      <c r="R22" s="79">
        <v>27001</v>
      </c>
      <c r="S22" s="79">
        <v>23989</v>
      </c>
      <c r="T22" s="79">
        <v>20264</v>
      </c>
      <c r="U22" s="79">
        <v>14436</v>
      </c>
      <c r="V22" s="79">
        <v>11023</v>
      </c>
      <c r="W22" s="79">
        <v>9399</v>
      </c>
      <c r="X22" s="79">
        <v>9389</v>
      </c>
      <c r="Y22" s="79">
        <v>10159</v>
      </c>
      <c r="Z22" s="79">
        <v>11100</v>
      </c>
      <c r="AA22" s="79">
        <v>15408</v>
      </c>
      <c r="AB22" s="79">
        <v>20878</v>
      </c>
      <c r="AC22" s="79">
        <v>27333</v>
      </c>
      <c r="AD22" s="79">
        <v>28789</v>
      </c>
      <c r="AE22" s="79">
        <v>24365</v>
      </c>
      <c r="AF22" s="79">
        <v>21313</v>
      </c>
      <c r="AG22" s="79">
        <v>14612</v>
      </c>
      <c r="AH22" s="79">
        <v>10863</v>
      </c>
      <c r="AI22" s="79">
        <v>7922</v>
      </c>
      <c r="AJ22" s="79">
        <v>9190</v>
      </c>
      <c r="AK22" s="79">
        <v>10035</v>
      </c>
      <c r="AL22" s="79">
        <v>10914</v>
      </c>
      <c r="AM22" s="79">
        <v>15540</v>
      </c>
      <c r="AN22" s="79">
        <v>21665</v>
      </c>
      <c r="AO22" s="79">
        <v>27122</v>
      </c>
      <c r="AP22" s="79">
        <v>28901</v>
      </c>
      <c r="AQ22" s="79">
        <v>25339</v>
      </c>
      <c r="AR22" s="79">
        <v>17596</v>
      </c>
      <c r="AS22" s="79">
        <v>14223</v>
      </c>
      <c r="AT22" s="79">
        <v>9190</v>
      </c>
      <c r="AU22" s="79">
        <v>6086</v>
      </c>
      <c r="AV22" s="79">
        <v>8217</v>
      </c>
      <c r="AW22" s="79">
        <v>8527</v>
      </c>
      <c r="AX22" s="79">
        <v>11022</v>
      </c>
      <c r="AY22" s="79">
        <v>16296</v>
      </c>
      <c r="AZ22" s="79">
        <v>22299</v>
      </c>
      <c r="BA22" s="79">
        <v>28125</v>
      </c>
      <c r="BB22" s="79">
        <v>29826</v>
      </c>
      <c r="BC22" s="79">
        <v>26157</v>
      </c>
      <c r="BD22" s="79">
        <v>18241</v>
      </c>
      <c r="BE22" s="79">
        <v>14745</v>
      </c>
      <c r="BF22" s="79">
        <v>9526</v>
      </c>
      <c r="BG22" s="79">
        <v>6314</v>
      </c>
      <c r="BH22" s="79">
        <v>8518</v>
      </c>
      <c r="BI22" s="79">
        <v>8825</v>
      </c>
      <c r="BJ22" s="79">
        <v>11411</v>
      </c>
      <c r="BK22" s="79">
        <v>16871</v>
      </c>
      <c r="BL22" s="79">
        <v>23067</v>
      </c>
      <c r="BM22" s="79"/>
      <c r="BN22" s="79">
        <v>192343</v>
      </c>
      <c r="BO22" s="79">
        <v>0</v>
      </c>
      <c r="BP22" s="79">
        <v>202541</v>
      </c>
      <c r="BQ22" s="79"/>
      <c r="BR22" s="79">
        <v>186745</v>
      </c>
      <c r="BS22" s="79">
        <v>198855</v>
      </c>
      <c r="BT22" s="79">
        <v>202541</v>
      </c>
      <c r="BU22" s="79">
        <v>194818</v>
      </c>
      <c r="BV22" s="79">
        <v>201626</v>
      </c>
      <c r="BW22" s="150">
        <v>2016260</v>
      </c>
      <c r="BX22" s="80">
        <v>-7723</v>
      </c>
      <c r="BZ22" s="80">
        <v>198855</v>
      </c>
      <c r="CA22" s="80">
        <v>202541</v>
      </c>
      <c r="CB22" s="79">
        <v>194818</v>
      </c>
      <c r="CC22" s="79">
        <v>201626</v>
      </c>
      <c r="CD22" s="16" t="s">
        <v>142</v>
      </c>
      <c r="CE22" s="274" t="e">
        <v>#REF!</v>
      </c>
      <c r="CF22" s="274" t="e">
        <v>#REF!</v>
      </c>
      <c r="CG22" s="274" t="e">
        <v>#REF!</v>
      </c>
      <c r="CH22" s="274" t="e">
        <v>#REF!</v>
      </c>
      <c r="CI22" s="8" t="e">
        <v>#REF!</v>
      </c>
      <c r="CJ22" s="8" t="e">
        <v>#REF!</v>
      </c>
      <c r="CK22" s="8" t="e">
        <v>#REF!</v>
      </c>
      <c r="CL22" s="8" t="e">
        <v>#REF!</v>
      </c>
    </row>
    <row r="23" spans="1:90" ht="15.5">
      <c r="A23" t="s">
        <v>293</v>
      </c>
      <c r="B23" s="79">
        <v>16909</v>
      </c>
      <c r="C23" s="79">
        <v>51067</v>
      </c>
      <c r="D23" s="79">
        <v>95473</v>
      </c>
      <c r="E23" s="79">
        <v>142875</v>
      </c>
      <c r="F23" s="79">
        <v>148401</v>
      </c>
      <c r="G23" s="79">
        <v>125185</v>
      </c>
      <c r="H23" s="79">
        <v>84050</v>
      </c>
      <c r="I23" s="79">
        <v>35575</v>
      </c>
      <c r="J23" s="79">
        <v>12526</v>
      </c>
      <c r="K23" s="79">
        <v>6980</v>
      </c>
      <c r="L23" s="79">
        <v>5818</v>
      </c>
      <c r="M23" s="79">
        <v>8095</v>
      </c>
      <c r="N23" s="79">
        <v>16626</v>
      </c>
      <c r="O23" s="79">
        <v>51976</v>
      </c>
      <c r="P23" s="79">
        <v>93797</v>
      </c>
      <c r="Q23" s="79">
        <v>136611</v>
      </c>
      <c r="R23" s="79">
        <v>137902</v>
      </c>
      <c r="S23" s="79">
        <v>113365</v>
      </c>
      <c r="T23" s="79">
        <v>76751</v>
      </c>
      <c r="U23" s="79">
        <v>34044</v>
      </c>
      <c r="V23" s="79">
        <v>11564</v>
      </c>
      <c r="W23" s="79">
        <v>5804</v>
      </c>
      <c r="X23" s="79">
        <v>5229</v>
      </c>
      <c r="Y23" s="79">
        <v>5638</v>
      </c>
      <c r="Z23" s="79">
        <v>16718</v>
      </c>
      <c r="AA23" s="79">
        <v>52164</v>
      </c>
      <c r="AB23" s="79">
        <v>94125</v>
      </c>
      <c r="AC23" s="79">
        <v>144506</v>
      </c>
      <c r="AD23" s="79">
        <v>146807</v>
      </c>
      <c r="AE23" s="79">
        <v>116900</v>
      </c>
      <c r="AF23" s="79">
        <v>82832</v>
      </c>
      <c r="AG23" s="79">
        <v>36908</v>
      </c>
      <c r="AH23" s="79">
        <v>11614</v>
      </c>
      <c r="AI23" s="79">
        <v>5403</v>
      </c>
      <c r="AJ23" s="79">
        <v>5275</v>
      </c>
      <c r="AK23" s="79">
        <v>6197</v>
      </c>
      <c r="AL23" s="79">
        <v>17661</v>
      </c>
      <c r="AM23" s="79">
        <v>57126</v>
      </c>
      <c r="AN23" s="79">
        <v>101572</v>
      </c>
      <c r="AO23" s="79">
        <v>146652</v>
      </c>
      <c r="AP23" s="79">
        <v>151996</v>
      </c>
      <c r="AQ23" s="79">
        <v>123489</v>
      </c>
      <c r="AR23" s="79">
        <v>86522</v>
      </c>
      <c r="AS23" s="79">
        <v>41149</v>
      </c>
      <c r="AT23" s="79">
        <v>12005</v>
      </c>
      <c r="AU23" s="79">
        <v>4978</v>
      </c>
      <c r="AV23" s="79">
        <v>5067</v>
      </c>
      <c r="AW23" s="79">
        <v>6627</v>
      </c>
      <c r="AX23" s="79">
        <v>20117</v>
      </c>
      <c r="AY23" s="79">
        <v>60532</v>
      </c>
      <c r="AZ23" s="79">
        <v>104843</v>
      </c>
      <c r="BA23" s="79">
        <v>145193</v>
      </c>
      <c r="BB23" s="79">
        <v>150486</v>
      </c>
      <c r="BC23" s="79">
        <v>122181</v>
      </c>
      <c r="BD23" s="79">
        <v>85571</v>
      </c>
      <c r="BE23" s="79">
        <v>40703</v>
      </c>
      <c r="BF23" s="79">
        <v>11844</v>
      </c>
      <c r="BG23" s="79">
        <v>4890</v>
      </c>
      <c r="BH23" s="79">
        <v>4965</v>
      </c>
      <c r="BI23" s="79">
        <v>6502</v>
      </c>
      <c r="BJ23" s="79">
        <v>19781</v>
      </c>
      <c r="BK23" s="79">
        <v>59501</v>
      </c>
      <c r="BL23" s="79">
        <v>102891</v>
      </c>
      <c r="BM23" s="79"/>
      <c r="BN23" s="79">
        <v>732797</v>
      </c>
      <c r="BO23" s="79">
        <v>0</v>
      </c>
      <c r="BP23" s="79">
        <v>732801</v>
      </c>
      <c r="BQ23" s="79"/>
      <c r="BR23" s="79">
        <v>731904</v>
      </c>
      <c r="BS23" s="79">
        <v>689915</v>
      </c>
      <c r="BT23" s="79">
        <v>732801</v>
      </c>
      <c r="BU23" s="79">
        <v>763977</v>
      </c>
      <c r="BV23" s="79">
        <v>754508</v>
      </c>
      <c r="BW23" s="150">
        <v>7545080</v>
      </c>
      <c r="BX23" s="80">
        <v>31176</v>
      </c>
      <c r="BZ23" s="80">
        <v>689915</v>
      </c>
      <c r="CA23" s="80">
        <v>732801</v>
      </c>
      <c r="CB23" s="79">
        <v>763977</v>
      </c>
      <c r="CC23" s="79">
        <v>754508</v>
      </c>
      <c r="CD23" s="16" t="s">
        <v>143</v>
      </c>
      <c r="CE23" s="274" t="e">
        <v>#REF!</v>
      </c>
      <c r="CF23" s="274" t="e">
        <v>#REF!</v>
      </c>
      <c r="CG23" s="274" t="e">
        <v>#REF!</v>
      </c>
      <c r="CH23" s="274" t="e">
        <v>#REF!</v>
      </c>
      <c r="CI23" s="8" t="e">
        <v>#REF!</v>
      </c>
      <c r="CJ23" s="8" t="e">
        <v>#REF!</v>
      </c>
      <c r="CK23" s="8" t="e">
        <v>#REF!</v>
      </c>
      <c r="CL23" s="8" t="e">
        <v>#REF!</v>
      </c>
    </row>
    <row r="24" spans="1:90" ht="15.5">
      <c r="A24" t="s">
        <v>294</v>
      </c>
      <c r="B24" s="79">
        <v>87642</v>
      </c>
      <c r="C24" s="79">
        <v>111387</v>
      </c>
      <c r="D24" s="79">
        <v>136446</v>
      </c>
      <c r="E24" s="79">
        <v>163453</v>
      </c>
      <c r="F24" s="79">
        <v>170671</v>
      </c>
      <c r="G24" s="79">
        <v>160357</v>
      </c>
      <c r="H24" s="79">
        <v>136474</v>
      </c>
      <c r="I24" s="79">
        <v>104211</v>
      </c>
      <c r="J24" s="79">
        <v>85726</v>
      </c>
      <c r="K24" s="79">
        <v>77394</v>
      </c>
      <c r="L24" s="79">
        <v>75324</v>
      </c>
      <c r="M24" s="79">
        <v>85981</v>
      </c>
      <c r="N24" s="79">
        <v>92234</v>
      </c>
      <c r="O24" s="79">
        <v>121353</v>
      </c>
      <c r="P24" s="79">
        <v>145820</v>
      </c>
      <c r="Q24" s="79">
        <v>177539</v>
      </c>
      <c r="R24" s="79">
        <v>178314</v>
      </c>
      <c r="S24" s="79">
        <v>166268</v>
      </c>
      <c r="T24" s="79">
        <v>143563</v>
      </c>
      <c r="U24" s="79">
        <v>112293</v>
      </c>
      <c r="V24" s="79">
        <v>91074</v>
      </c>
      <c r="W24" s="79">
        <v>79101</v>
      </c>
      <c r="X24" s="79">
        <v>78408</v>
      </c>
      <c r="Y24" s="79">
        <v>85668</v>
      </c>
      <c r="Z24" s="79">
        <v>93062</v>
      </c>
      <c r="AA24" s="79">
        <v>122131</v>
      </c>
      <c r="AB24" s="79">
        <v>146660</v>
      </c>
      <c r="AC24" s="79">
        <v>187150</v>
      </c>
      <c r="AD24" s="79">
        <v>186764</v>
      </c>
      <c r="AE24" s="79">
        <v>171175</v>
      </c>
      <c r="AF24" s="79">
        <v>151038</v>
      </c>
      <c r="AG24" s="79">
        <v>118570</v>
      </c>
      <c r="AH24" s="79">
        <v>96080</v>
      </c>
      <c r="AI24" s="79">
        <v>77521</v>
      </c>
      <c r="AJ24" s="79">
        <v>87384</v>
      </c>
      <c r="AK24" s="79">
        <v>89390</v>
      </c>
      <c r="AL24" s="79">
        <v>96591</v>
      </c>
      <c r="AM24" s="79">
        <v>127548</v>
      </c>
      <c r="AN24" s="79">
        <v>155960</v>
      </c>
      <c r="AO24" s="79">
        <v>190948</v>
      </c>
      <c r="AP24" s="79">
        <v>191901</v>
      </c>
      <c r="AQ24" s="79">
        <v>172348</v>
      </c>
      <c r="AR24" s="79">
        <v>148108</v>
      </c>
      <c r="AS24" s="79">
        <v>119427</v>
      </c>
      <c r="AT24" s="79">
        <v>92742</v>
      </c>
      <c r="AU24" s="79">
        <v>71597</v>
      </c>
      <c r="AV24" s="79">
        <v>81769</v>
      </c>
      <c r="AW24" s="79">
        <v>87668</v>
      </c>
      <c r="AX24" s="79">
        <v>100901</v>
      </c>
      <c r="AY24" s="79">
        <v>135168</v>
      </c>
      <c r="AZ24" s="79">
        <v>161861</v>
      </c>
      <c r="BA24" s="79">
        <v>193913</v>
      </c>
      <c r="BB24" s="79">
        <v>194846</v>
      </c>
      <c r="BC24" s="79">
        <v>175041</v>
      </c>
      <c r="BD24" s="79">
        <v>150496</v>
      </c>
      <c r="BE24" s="79">
        <v>121459</v>
      </c>
      <c r="BF24" s="79">
        <v>94375</v>
      </c>
      <c r="BG24" s="79">
        <v>72982</v>
      </c>
      <c r="BH24" s="79">
        <v>83265</v>
      </c>
      <c r="BI24" s="79">
        <v>89215</v>
      </c>
      <c r="BJ24" s="79">
        <v>102615</v>
      </c>
      <c r="BK24" s="79">
        <v>137015</v>
      </c>
      <c r="BL24" s="79">
        <v>164035</v>
      </c>
      <c r="BM24" s="79"/>
      <c r="BN24" s="79">
        <v>1545332</v>
      </c>
      <c r="BO24" s="79">
        <v>0</v>
      </c>
      <c r="BP24" s="79">
        <v>1545171</v>
      </c>
      <c r="BQ24" s="79"/>
      <c r="BR24" s="79">
        <v>1418998</v>
      </c>
      <c r="BS24" s="79">
        <v>1474081</v>
      </c>
      <c r="BT24" s="79">
        <v>1545171</v>
      </c>
      <c r="BU24" s="79">
        <v>1554438</v>
      </c>
      <c r="BV24" s="79">
        <v>1579257</v>
      </c>
      <c r="BW24" s="150">
        <v>15792570</v>
      </c>
      <c r="BX24" s="80">
        <v>9267</v>
      </c>
      <c r="BZ24" s="80">
        <v>1474081</v>
      </c>
      <c r="CA24" s="80">
        <v>1545171</v>
      </c>
      <c r="CB24" s="79">
        <v>1554438</v>
      </c>
      <c r="CC24" s="79">
        <v>1579257</v>
      </c>
      <c r="CD24" s="16" t="s">
        <v>144</v>
      </c>
      <c r="CE24" s="274" t="e">
        <v>#REF!</v>
      </c>
      <c r="CF24" s="274" t="e">
        <v>#REF!</v>
      </c>
      <c r="CG24" s="274" t="e">
        <v>#REF!</v>
      </c>
      <c r="CH24" s="274" t="e">
        <v>#REF!</v>
      </c>
      <c r="CI24" s="8" t="e">
        <v>#REF!</v>
      </c>
      <c r="CJ24" s="8" t="e">
        <v>#REF!</v>
      </c>
      <c r="CK24" s="8" t="e">
        <v>#REF!</v>
      </c>
      <c r="CL24" s="8" t="e">
        <v>#REF!</v>
      </c>
    </row>
    <row r="25" spans="1:90" ht="15.5">
      <c r="A25" t="s">
        <v>302</v>
      </c>
      <c r="B25" s="79">
        <v>244074</v>
      </c>
      <c r="C25" s="79">
        <v>531139</v>
      </c>
      <c r="D25" s="79">
        <v>829477</v>
      </c>
      <c r="E25" s="79">
        <v>1101427</v>
      </c>
      <c r="F25" s="79">
        <v>1164068</v>
      </c>
      <c r="G25" s="79">
        <v>1014671</v>
      </c>
      <c r="H25" s="79">
        <v>749845</v>
      </c>
      <c r="I25" s="79">
        <v>413054</v>
      </c>
      <c r="J25" s="79">
        <v>245425</v>
      </c>
      <c r="K25" s="79">
        <v>189123</v>
      </c>
      <c r="L25" s="79">
        <v>178568</v>
      </c>
      <c r="M25" s="79">
        <v>196253</v>
      </c>
      <c r="N25" s="79">
        <v>250763</v>
      </c>
      <c r="O25" s="79">
        <v>518490</v>
      </c>
      <c r="P25" s="79">
        <v>821457</v>
      </c>
      <c r="Q25" s="79">
        <v>1146061</v>
      </c>
      <c r="R25" s="79">
        <v>1171330</v>
      </c>
      <c r="S25" s="79">
        <v>1005477</v>
      </c>
      <c r="T25" s="79">
        <v>749884</v>
      </c>
      <c r="U25" s="79">
        <v>429501</v>
      </c>
      <c r="V25" s="79">
        <v>248493</v>
      </c>
      <c r="W25" s="79">
        <v>184958</v>
      </c>
      <c r="X25" s="79">
        <v>180207</v>
      </c>
      <c r="Y25" s="79">
        <v>191551</v>
      </c>
      <c r="Z25" s="79">
        <v>253071</v>
      </c>
      <c r="AA25" s="79">
        <v>523490</v>
      </c>
      <c r="AB25" s="79">
        <v>829490</v>
      </c>
      <c r="AC25" s="79">
        <v>1183775</v>
      </c>
      <c r="AD25" s="79">
        <v>1200865</v>
      </c>
      <c r="AE25" s="79">
        <v>1005575</v>
      </c>
      <c r="AF25" s="79">
        <v>781412</v>
      </c>
      <c r="AG25" s="79">
        <v>452974</v>
      </c>
      <c r="AH25" s="79">
        <v>257413</v>
      </c>
      <c r="AI25" s="79">
        <v>182789</v>
      </c>
      <c r="AJ25" s="79">
        <v>189018</v>
      </c>
      <c r="AK25" s="79">
        <v>195560</v>
      </c>
      <c r="AL25" s="79">
        <v>261011</v>
      </c>
      <c r="AM25" s="79">
        <v>541509</v>
      </c>
      <c r="AN25" s="79">
        <v>857722</v>
      </c>
      <c r="AO25" s="79">
        <v>1174588</v>
      </c>
      <c r="AP25" s="79">
        <v>1218680</v>
      </c>
      <c r="AQ25" s="79">
        <v>1018199</v>
      </c>
      <c r="AR25" s="79">
        <v>779486</v>
      </c>
      <c r="AS25" s="79">
        <v>474781</v>
      </c>
      <c r="AT25" s="79">
        <v>253024</v>
      </c>
      <c r="AU25" s="79">
        <v>172268</v>
      </c>
      <c r="AV25" s="79">
        <v>181661</v>
      </c>
      <c r="AW25" s="79">
        <v>195493.25</v>
      </c>
      <c r="AX25" s="79">
        <v>278543.25</v>
      </c>
      <c r="AY25" s="79">
        <v>555111.25</v>
      </c>
      <c r="AZ25" s="79">
        <v>869900.25</v>
      </c>
      <c r="BA25" s="79">
        <v>1152718</v>
      </c>
      <c r="BB25" s="79">
        <v>1193406</v>
      </c>
      <c r="BC25" s="79">
        <v>1015944</v>
      </c>
      <c r="BD25" s="79">
        <v>774108</v>
      </c>
      <c r="BE25" s="79">
        <v>472545</v>
      </c>
      <c r="BF25" s="79">
        <v>255178</v>
      </c>
      <c r="BG25" s="79">
        <v>178166</v>
      </c>
      <c r="BH25" s="79">
        <v>184732</v>
      </c>
      <c r="BI25" s="79">
        <v>195231</v>
      </c>
      <c r="BJ25" s="79">
        <v>277911</v>
      </c>
      <c r="BK25" s="79">
        <v>553710</v>
      </c>
      <c r="BL25" s="79">
        <v>867934</v>
      </c>
      <c r="BM25" s="79"/>
      <c r="BN25" s="79">
        <v>7067625</v>
      </c>
      <c r="BO25" s="79">
        <v>0</v>
      </c>
      <c r="BP25" s="79">
        <v>7109623</v>
      </c>
      <c r="BQ25" s="79"/>
      <c r="BR25" s="79">
        <v>6843144</v>
      </c>
      <c r="BS25" s="79">
        <v>6913513</v>
      </c>
      <c r="BT25" s="79">
        <v>7109623</v>
      </c>
      <c r="BU25" s="79">
        <v>7171735</v>
      </c>
      <c r="BV25" s="79">
        <v>7121583</v>
      </c>
      <c r="BW25" s="150">
        <v>71215830</v>
      </c>
      <c r="BX25" s="80">
        <v>62112</v>
      </c>
      <c r="BZ25" s="20">
        <v>6913513</v>
      </c>
      <c r="CA25" s="20">
        <v>7109623</v>
      </c>
      <c r="CB25" s="79">
        <v>7171735</v>
      </c>
      <c r="CC25" s="79">
        <v>7121583</v>
      </c>
      <c r="CD25" s="16" t="s">
        <v>145</v>
      </c>
      <c r="CE25" s="274" t="e">
        <v>#REF!</v>
      </c>
      <c r="CF25" s="274" t="e">
        <v>#REF!</v>
      </c>
      <c r="CG25" s="274" t="e">
        <v>#REF!</v>
      </c>
      <c r="CH25" s="274" t="e">
        <v>#REF!</v>
      </c>
      <c r="CI25" s="8" t="e">
        <v>#REF!</v>
      </c>
      <c r="CJ25" s="8" t="e">
        <v>#REF!</v>
      </c>
      <c r="CK25" s="8" t="e">
        <v>#REF!</v>
      </c>
      <c r="CL25" s="8" t="e">
        <v>#REF!</v>
      </c>
    </row>
    <row r="26" spans="1:90" ht="15.5">
      <c r="A26" t="s">
        <v>303</v>
      </c>
      <c r="B26" s="79">
        <v>476924</v>
      </c>
      <c r="C26" s="79">
        <v>561831</v>
      </c>
      <c r="D26" s="79">
        <v>622645</v>
      </c>
      <c r="E26" s="79">
        <v>690420</v>
      </c>
      <c r="F26" s="79">
        <v>581872</v>
      </c>
      <c r="G26" s="79">
        <v>581569</v>
      </c>
      <c r="H26" s="79">
        <v>406794</v>
      </c>
      <c r="I26" s="79">
        <v>380665</v>
      </c>
      <c r="J26" s="79">
        <v>398603</v>
      </c>
      <c r="K26" s="79">
        <v>379282</v>
      </c>
      <c r="L26" s="79">
        <v>404222</v>
      </c>
      <c r="M26" s="79">
        <v>426467</v>
      </c>
      <c r="N26" s="79">
        <v>510113</v>
      </c>
      <c r="O26" s="79">
        <v>684692</v>
      </c>
      <c r="P26" s="79">
        <v>754364</v>
      </c>
      <c r="Q26" s="79">
        <v>754724</v>
      </c>
      <c r="R26" s="79">
        <v>609943</v>
      </c>
      <c r="S26" s="79">
        <v>612894</v>
      </c>
      <c r="T26" s="79">
        <v>548714</v>
      </c>
      <c r="U26" s="79">
        <v>378130</v>
      </c>
      <c r="V26" s="79">
        <v>432003</v>
      </c>
      <c r="W26" s="79">
        <v>429007</v>
      </c>
      <c r="X26" s="79">
        <v>444910</v>
      </c>
      <c r="Y26" s="79">
        <v>459197</v>
      </c>
      <c r="Z26" s="79">
        <v>510805</v>
      </c>
      <c r="AA26" s="79">
        <v>684279</v>
      </c>
      <c r="AB26" s="79">
        <v>756810</v>
      </c>
      <c r="AC26" s="79">
        <v>774990</v>
      </c>
      <c r="AD26" s="79">
        <v>716045</v>
      </c>
      <c r="AE26" s="79">
        <v>651653</v>
      </c>
      <c r="AF26" s="79">
        <v>470251</v>
      </c>
      <c r="AG26" s="79">
        <v>361805</v>
      </c>
      <c r="AH26" s="79">
        <v>427391</v>
      </c>
      <c r="AI26" s="79">
        <v>434369</v>
      </c>
      <c r="AJ26" s="79">
        <v>430210</v>
      </c>
      <c r="AK26" s="79">
        <v>418538</v>
      </c>
      <c r="AL26" s="79">
        <v>497889</v>
      </c>
      <c r="AM26" s="79">
        <v>554633</v>
      </c>
      <c r="AN26" s="79">
        <v>756049</v>
      </c>
      <c r="AO26" s="79">
        <v>767124</v>
      </c>
      <c r="AP26" s="79">
        <v>713333</v>
      </c>
      <c r="AQ26" s="79">
        <v>641265</v>
      </c>
      <c r="AR26" s="79">
        <v>453945</v>
      </c>
      <c r="AS26" s="79">
        <v>368257</v>
      </c>
      <c r="AT26" s="79">
        <v>428037</v>
      </c>
      <c r="AU26" s="79">
        <v>439116</v>
      </c>
      <c r="AV26" s="79">
        <v>430992</v>
      </c>
      <c r="AW26" s="79">
        <v>438597.5</v>
      </c>
      <c r="AX26" s="79">
        <v>508899.5</v>
      </c>
      <c r="AY26" s="79">
        <v>615780.5</v>
      </c>
      <c r="AZ26" s="79">
        <v>659221.5</v>
      </c>
      <c r="BA26" s="79">
        <v>717950</v>
      </c>
      <c r="BB26" s="79">
        <v>651666</v>
      </c>
      <c r="BC26" s="79">
        <v>644028</v>
      </c>
      <c r="BD26" s="79">
        <v>516620</v>
      </c>
      <c r="BE26" s="79">
        <v>453520</v>
      </c>
      <c r="BF26" s="79">
        <v>446117</v>
      </c>
      <c r="BG26" s="79">
        <v>448215</v>
      </c>
      <c r="BH26" s="79">
        <v>506205</v>
      </c>
      <c r="BI26" s="79">
        <v>435049</v>
      </c>
      <c r="BJ26" s="79">
        <v>502489</v>
      </c>
      <c r="BK26" s="79">
        <v>609370</v>
      </c>
      <c r="BL26" s="79">
        <v>652811</v>
      </c>
      <c r="BM26" s="79"/>
      <c r="BN26" s="79">
        <v>6493823</v>
      </c>
      <c r="BO26" s="79">
        <v>6493823</v>
      </c>
      <c r="BP26" s="79">
        <v>6493823</v>
      </c>
      <c r="BQ26" s="79"/>
      <c r="BR26" s="79">
        <v>6199063</v>
      </c>
      <c r="BS26" s="79">
        <v>6621416</v>
      </c>
      <c r="BT26" s="79">
        <v>6493823</v>
      </c>
      <c r="BU26" s="79">
        <v>6464568</v>
      </c>
      <c r="BV26" s="79">
        <v>6584040</v>
      </c>
      <c r="BW26" s="150">
        <v>65840400</v>
      </c>
      <c r="BX26" s="80">
        <v>-29255</v>
      </c>
      <c r="BZ26" s="80">
        <v>6621416</v>
      </c>
      <c r="CA26" s="80">
        <v>6493823</v>
      </c>
      <c r="CB26" s="79">
        <v>6464568</v>
      </c>
      <c r="CC26" s="79">
        <v>6584040</v>
      </c>
      <c r="CD26" s="16" t="s">
        <v>368</v>
      </c>
      <c r="CE26" s="274" t="e">
        <v>#REF!</v>
      </c>
      <c r="CF26" s="274" t="e">
        <v>#REF!</v>
      </c>
      <c r="CG26" s="274" t="e">
        <v>#REF!</v>
      </c>
      <c r="CH26" s="274" t="e">
        <v>#REF!</v>
      </c>
      <c r="CI26" s="8" t="e">
        <v>#REF!</v>
      </c>
      <c r="CJ26" s="8" t="e">
        <v>#REF!</v>
      </c>
      <c r="CK26" s="8" t="e">
        <v>#REF!</v>
      </c>
      <c r="CL26" s="8" t="e">
        <v>#REF!</v>
      </c>
    </row>
    <row r="27" spans="1:90" ht="15.5">
      <c r="A27" t="s">
        <v>297</v>
      </c>
      <c r="B27" s="79">
        <v>248124</v>
      </c>
      <c r="C27" s="79">
        <v>315351</v>
      </c>
      <c r="D27" s="79">
        <v>347396</v>
      </c>
      <c r="E27" s="79">
        <v>401100</v>
      </c>
      <c r="F27" s="79">
        <v>325915</v>
      </c>
      <c r="G27" s="79">
        <v>309344</v>
      </c>
      <c r="H27" s="79">
        <v>198314</v>
      </c>
      <c r="I27" s="79">
        <v>188237</v>
      </c>
      <c r="J27" s="79">
        <v>201971</v>
      </c>
      <c r="K27" s="79">
        <v>181150</v>
      </c>
      <c r="L27" s="79">
        <v>200365</v>
      </c>
      <c r="M27" s="79">
        <v>216402</v>
      </c>
      <c r="N27" s="79">
        <v>281181</v>
      </c>
      <c r="O27" s="79">
        <v>445826</v>
      </c>
      <c r="P27" s="79">
        <v>480525</v>
      </c>
      <c r="Q27" s="79">
        <v>444539</v>
      </c>
      <c r="R27" s="79">
        <v>345279</v>
      </c>
      <c r="S27" s="79">
        <v>348604</v>
      </c>
      <c r="T27" s="79">
        <v>324973</v>
      </c>
      <c r="U27" s="79">
        <v>174330</v>
      </c>
      <c r="V27" s="79">
        <v>241778</v>
      </c>
      <c r="W27" s="79">
        <v>221735</v>
      </c>
      <c r="X27" s="79">
        <v>235637</v>
      </c>
      <c r="Y27" s="79">
        <v>257720</v>
      </c>
      <c r="Z27" s="79">
        <v>281181</v>
      </c>
      <c r="AA27" s="79">
        <v>445826</v>
      </c>
      <c r="AB27" s="79">
        <v>480525</v>
      </c>
      <c r="AC27" s="79">
        <v>474430</v>
      </c>
      <c r="AD27" s="79">
        <v>449292</v>
      </c>
      <c r="AE27" s="79">
        <v>384187</v>
      </c>
      <c r="AF27" s="79">
        <v>236883</v>
      </c>
      <c r="AG27" s="79">
        <v>155845</v>
      </c>
      <c r="AH27" s="79">
        <v>225716</v>
      </c>
      <c r="AI27" s="79">
        <v>231535</v>
      </c>
      <c r="AJ27" s="79">
        <v>227242</v>
      </c>
      <c r="AK27" s="79">
        <v>233671</v>
      </c>
      <c r="AL27" s="79">
        <v>270473</v>
      </c>
      <c r="AM27" s="79">
        <v>311694</v>
      </c>
      <c r="AN27" s="79">
        <v>480960</v>
      </c>
      <c r="AO27" s="79">
        <v>472447</v>
      </c>
      <c r="AP27" s="79">
        <v>447793</v>
      </c>
      <c r="AQ27" s="79">
        <v>382163</v>
      </c>
      <c r="AR27" s="79">
        <v>235076</v>
      </c>
      <c r="AS27" s="79">
        <v>160462</v>
      </c>
      <c r="AT27" s="79">
        <v>224095</v>
      </c>
      <c r="AU27" s="79">
        <v>230988</v>
      </c>
      <c r="AV27" s="79">
        <v>226695</v>
      </c>
      <c r="AW27" s="79">
        <v>234573</v>
      </c>
      <c r="AX27" s="79">
        <v>296307</v>
      </c>
      <c r="AY27" s="79">
        <v>358025</v>
      </c>
      <c r="AZ27" s="79">
        <v>401833</v>
      </c>
      <c r="BA27" s="79">
        <v>438253</v>
      </c>
      <c r="BB27" s="79">
        <v>405930</v>
      </c>
      <c r="BC27" s="79">
        <v>381861</v>
      </c>
      <c r="BD27" s="79">
        <v>296035</v>
      </c>
      <c r="BE27" s="79">
        <v>261161</v>
      </c>
      <c r="BF27" s="79">
        <v>231707</v>
      </c>
      <c r="BG27" s="79">
        <v>252597</v>
      </c>
      <c r="BH27" s="79">
        <v>267337</v>
      </c>
      <c r="BI27" s="79">
        <v>261875</v>
      </c>
      <c r="BJ27" s="79">
        <v>296307</v>
      </c>
      <c r="BK27" s="79">
        <v>358025</v>
      </c>
      <c r="BL27" s="79">
        <v>401833</v>
      </c>
      <c r="BM27" s="79"/>
      <c r="BN27" s="79">
        <v>3681928</v>
      </c>
      <c r="BO27" s="79">
        <v>3681928</v>
      </c>
      <c r="BP27" s="79">
        <v>3681928</v>
      </c>
      <c r="BQ27" s="79"/>
      <c r="BR27" s="79">
        <v>3430330</v>
      </c>
      <c r="BS27" s="79">
        <v>3802127</v>
      </c>
      <c r="BT27" s="79">
        <v>3681928</v>
      </c>
      <c r="BU27" s="79">
        <v>3670457</v>
      </c>
      <c r="BV27" s="79">
        <v>3852921</v>
      </c>
      <c r="BW27" s="150">
        <v>38529210</v>
      </c>
      <c r="BX27" s="80">
        <v>-11471</v>
      </c>
      <c r="BZ27" s="20">
        <v>3802127</v>
      </c>
      <c r="CA27" s="20">
        <v>3681928</v>
      </c>
      <c r="CB27" s="79">
        <v>3670457</v>
      </c>
      <c r="CC27" s="79">
        <v>3852921</v>
      </c>
      <c r="CD27" s="16"/>
      <c r="CE27" s="16"/>
      <c r="CF27" s="16"/>
      <c r="CG27" s="16"/>
      <c r="CH27" s="9"/>
    </row>
    <row r="28" spans="1:90" ht="15.5">
      <c r="A28" t="s">
        <v>304</v>
      </c>
      <c r="B28" s="79">
        <v>228800</v>
      </c>
      <c r="C28" s="79">
        <v>246480</v>
      </c>
      <c r="D28" s="79">
        <v>275249</v>
      </c>
      <c r="E28" s="79">
        <v>289320</v>
      </c>
      <c r="F28" s="79">
        <v>255957</v>
      </c>
      <c r="G28" s="79">
        <v>272225</v>
      </c>
      <c r="H28" s="79">
        <v>208480</v>
      </c>
      <c r="I28" s="79">
        <v>192428</v>
      </c>
      <c r="J28" s="79">
        <v>196632</v>
      </c>
      <c r="K28" s="79">
        <v>198132</v>
      </c>
      <c r="L28" s="79">
        <v>203857</v>
      </c>
      <c r="M28" s="79">
        <v>210065</v>
      </c>
      <c r="N28" s="79">
        <v>228932</v>
      </c>
      <c r="O28" s="79">
        <v>238866</v>
      </c>
      <c r="P28" s="79">
        <v>273839</v>
      </c>
      <c r="Q28" s="79">
        <v>310185</v>
      </c>
      <c r="R28" s="79">
        <v>264664</v>
      </c>
      <c r="S28" s="79">
        <v>264290</v>
      </c>
      <c r="T28" s="79">
        <v>223741</v>
      </c>
      <c r="U28" s="79">
        <v>203800</v>
      </c>
      <c r="V28" s="79">
        <v>190225</v>
      </c>
      <c r="W28" s="79">
        <v>207272</v>
      </c>
      <c r="X28" s="79">
        <v>209273</v>
      </c>
      <c r="Y28" s="79">
        <v>201477</v>
      </c>
      <c r="Z28" s="79">
        <v>229624</v>
      </c>
      <c r="AA28" s="79">
        <v>238453</v>
      </c>
      <c r="AB28" s="79">
        <v>276285</v>
      </c>
      <c r="AC28" s="79">
        <v>300560</v>
      </c>
      <c r="AD28" s="79">
        <v>266753</v>
      </c>
      <c r="AE28" s="79">
        <v>267466</v>
      </c>
      <c r="AF28" s="79">
        <v>233368</v>
      </c>
      <c r="AG28" s="79">
        <v>205960</v>
      </c>
      <c r="AH28" s="79">
        <v>201675</v>
      </c>
      <c r="AI28" s="79">
        <v>202834</v>
      </c>
      <c r="AJ28" s="79">
        <v>202968</v>
      </c>
      <c r="AK28" s="79">
        <v>184867</v>
      </c>
      <c r="AL28" s="79">
        <v>227416</v>
      </c>
      <c r="AM28" s="79">
        <v>242939</v>
      </c>
      <c r="AN28" s="79">
        <v>275089</v>
      </c>
      <c r="AO28" s="79">
        <v>294677</v>
      </c>
      <c r="AP28" s="79">
        <v>265540</v>
      </c>
      <c r="AQ28" s="79">
        <v>259102</v>
      </c>
      <c r="AR28" s="79">
        <v>218869</v>
      </c>
      <c r="AS28" s="79">
        <v>207795</v>
      </c>
      <c r="AT28" s="79">
        <v>203942</v>
      </c>
      <c r="AU28" s="79">
        <v>208128</v>
      </c>
      <c r="AV28" s="79">
        <v>204297</v>
      </c>
      <c r="AW28" s="79">
        <v>204024.5</v>
      </c>
      <c r="AX28" s="79">
        <v>212592.5</v>
      </c>
      <c r="AY28" s="79">
        <v>257755.5</v>
      </c>
      <c r="AZ28" s="79">
        <v>257388.5</v>
      </c>
      <c r="BA28" s="79">
        <v>279697</v>
      </c>
      <c r="BB28" s="79">
        <v>245736</v>
      </c>
      <c r="BC28" s="79">
        <v>262167</v>
      </c>
      <c r="BD28" s="79">
        <v>220585</v>
      </c>
      <c r="BE28" s="79">
        <v>192359</v>
      </c>
      <c r="BF28" s="79">
        <v>214410</v>
      </c>
      <c r="BG28" s="79">
        <v>195618</v>
      </c>
      <c r="BH28" s="79">
        <v>238868</v>
      </c>
      <c r="BI28" s="79">
        <v>173174</v>
      </c>
      <c r="BJ28" s="79">
        <v>206182</v>
      </c>
      <c r="BK28" s="79">
        <v>251345</v>
      </c>
      <c r="BL28" s="79">
        <v>250978</v>
      </c>
      <c r="BM28" s="79"/>
      <c r="BN28" s="79">
        <v>2811895</v>
      </c>
      <c r="BO28" s="79">
        <v>2811895</v>
      </c>
      <c r="BP28" s="79">
        <v>2811895</v>
      </c>
      <c r="BQ28" s="79"/>
      <c r="BR28" s="79">
        <v>2768733</v>
      </c>
      <c r="BS28" s="79">
        <v>2819289</v>
      </c>
      <c r="BT28" s="79">
        <v>2811895</v>
      </c>
      <c r="BU28" s="79">
        <v>2794111</v>
      </c>
      <c r="BV28" s="79">
        <v>2731119</v>
      </c>
      <c r="BW28" s="150">
        <v>27311190</v>
      </c>
      <c r="BX28" s="80">
        <v>-17784</v>
      </c>
      <c r="BZ28" s="20">
        <v>2819289</v>
      </c>
      <c r="CA28" s="20">
        <v>2811895</v>
      </c>
      <c r="CB28" s="79">
        <v>2794111</v>
      </c>
      <c r="CC28" s="79">
        <v>2731119</v>
      </c>
      <c r="CJ28" s="8"/>
      <c r="CK28" s="8"/>
    </row>
    <row r="29" spans="1:90" ht="15.5">
      <c r="A29" t="s">
        <v>305</v>
      </c>
      <c r="B29" s="79">
        <v>472874</v>
      </c>
      <c r="C29" s="79">
        <v>777619</v>
      </c>
      <c r="D29" s="79">
        <v>1104726</v>
      </c>
      <c r="E29" s="79">
        <v>1390747</v>
      </c>
      <c r="F29" s="79">
        <v>1420025</v>
      </c>
      <c r="G29" s="79">
        <v>1286896</v>
      </c>
      <c r="H29" s="79">
        <v>958325</v>
      </c>
      <c r="I29" s="79">
        <v>605482</v>
      </c>
      <c r="J29" s="79">
        <v>442057</v>
      </c>
      <c r="K29" s="79">
        <v>387255</v>
      </c>
      <c r="L29" s="79">
        <v>382425</v>
      </c>
      <c r="M29" s="79">
        <v>406318</v>
      </c>
      <c r="N29" s="79">
        <v>479695</v>
      </c>
      <c r="O29" s="79">
        <v>757356</v>
      </c>
      <c r="P29" s="79">
        <v>1095296</v>
      </c>
      <c r="Q29" s="79">
        <v>1456246</v>
      </c>
      <c r="R29" s="79">
        <v>1435994</v>
      </c>
      <c r="S29" s="79">
        <v>1269767</v>
      </c>
      <c r="T29" s="79">
        <v>973625</v>
      </c>
      <c r="U29" s="79">
        <v>633301</v>
      </c>
      <c r="V29" s="79">
        <v>438718</v>
      </c>
      <c r="W29" s="79">
        <v>392230</v>
      </c>
      <c r="X29" s="79">
        <v>389480</v>
      </c>
      <c r="Y29" s="79">
        <v>393028</v>
      </c>
      <c r="Z29" s="79">
        <v>482695</v>
      </c>
      <c r="AA29" s="79">
        <v>761943</v>
      </c>
      <c r="AB29" s="79">
        <v>1105775</v>
      </c>
      <c r="AC29" s="79">
        <v>1484335</v>
      </c>
      <c r="AD29" s="79">
        <v>1467618</v>
      </c>
      <c r="AE29" s="79">
        <v>1273041</v>
      </c>
      <c r="AF29" s="79">
        <v>1014780</v>
      </c>
      <c r="AG29" s="79">
        <v>658934</v>
      </c>
      <c r="AH29" s="79">
        <v>459088</v>
      </c>
      <c r="AI29" s="79">
        <v>385623</v>
      </c>
      <c r="AJ29" s="79">
        <v>391986</v>
      </c>
      <c r="AK29" s="79">
        <v>380427</v>
      </c>
      <c r="AL29" s="79">
        <v>488427</v>
      </c>
      <c r="AM29" s="79">
        <v>784448</v>
      </c>
      <c r="AN29" s="79">
        <v>1132811</v>
      </c>
      <c r="AO29" s="79">
        <v>1469265</v>
      </c>
      <c r="AP29" s="79">
        <v>1484220</v>
      </c>
      <c r="AQ29" s="79">
        <v>1277301</v>
      </c>
      <c r="AR29" s="79">
        <v>998355</v>
      </c>
      <c r="AS29" s="79">
        <v>682576</v>
      </c>
      <c r="AT29" s="79">
        <v>456966</v>
      </c>
      <c r="AU29" s="79">
        <v>380396</v>
      </c>
      <c r="AV29" s="79">
        <v>385958</v>
      </c>
      <c r="AW29" s="79">
        <v>399517.75</v>
      </c>
      <c r="AX29" s="79">
        <v>491135.75</v>
      </c>
      <c r="AY29" s="79">
        <v>812866.75</v>
      </c>
      <c r="AZ29" s="79">
        <v>1127288.75</v>
      </c>
      <c r="BA29" s="79">
        <v>1432415</v>
      </c>
      <c r="BB29" s="79">
        <v>1439142</v>
      </c>
      <c r="BC29" s="79">
        <v>1278111</v>
      </c>
      <c r="BD29" s="79">
        <v>994693</v>
      </c>
      <c r="BE29" s="79">
        <v>664904</v>
      </c>
      <c r="BF29" s="79">
        <v>469588</v>
      </c>
      <c r="BG29" s="79">
        <v>373784</v>
      </c>
      <c r="BH29" s="79">
        <v>423600</v>
      </c>
      <c r="BI29" s="79">
        <v>368405</v>
      </c>
      <c r="BJ29" s="79">
        <v>484093</v>
      </c>
      <c r="BK29" s="79">
        <v>805055</v>
      </c>
      <c r="BL29" s="79">
        <v>1118912</v>
      </c>
      <c r="BM29" s="79"/>
      <c r="BN29" s="79">
        <v>9879520</v>
      </c>
      <c r="BO29" s="79">
        <v>2811895</v>
      </c>
      <c r="BP29" s="79">
        <v>9921518</v>
      </c>
      <c r="BQ29" s="79"/>
      <c r="BR29" s="79">
        <v>9611877</v>
      </c>
      <c r="BS29" s="79">
        <v>9732802</v>
      </c>
      <c r="BT29" s="79">
        <v>9921518</v>
      </c>
      <c r="BU29" s="79">
        <v>9965846</v>
      </c>
      <c r="BV29" s="79">
        <v>9852702</v>
      </c>
      <c r="BW29" s="150">
        <v>98527020</v>
      </c>
      <c r="BX29" s="80">
        <v>44328</v>
      </c>
      <c r="BZ29" s="20">
        <v>9732802</v>
      </c>
      <c r="CA29" s="20">
        <v>9921518</v>
      </c>
      <c r="CB29" s="79">
        <v>9965846</v>
      </c>
      <c r="CC29" s="79">
        <v>9852702</v>
      </c>
    </row>
    <row r="30" spans="1:90">
      <c r="AK30" s="80"/>
      <c r="BR30" s="80"/>
      <c r="BS30" s="80"/>
      <c r="BT30" s="80"/>
      <c r="BU30" s="80"/>
      <c r="BV30" s="80"/>
      <c r="CD30" s="85"/>
      <c r="CE30" s="85"/>
      <c r="CF30" s="85"/>
      <c r="CG30" s="85"/>
      <c r="CJ30">
        <v>1886899</v>
      </c>
      <c r="CK30">
        <v>1975963</v>
      </c>
    </row>
    <row r="31" spans="1:90">
      <c r="N31" s="20">
        <v>2019</v>
      </c>
      <c r="CB31" s="20">
        <v>2794111</v>
      </c>
      <c r="CC31" s="80">
        <v>0</v>
      </c>
      <c r="CJ31">
        <v>74907</v>
      </c>
      <c r="CK31">
        <v>77832</v>
      </c>
    </row>
    <row r="32" spans="1:90">
      <c r="A32" t="s">
        <v>306</v>
      </c>
      <c r="N32" s="20" t="s">
        <v>275</v>
      </c>
      <c r="BR32" s="105" t="s">
        <v>307</v>
      </c>
      <c r="BS32" s="105" t="s">
        <v>307</v>
      </c>
      <c r="BT32" s="105" t="s">
        <v>307</v>
      </c>
      <c r="BU32" s="105" t="s">
        <v>307</v>
      </c>
      <c r="BV32" s="105" t="s">
        <v>307</v>
      </c>
      <c r="BW32" s="105"/>
      <c r="BZ32" s="20" t="s">
        <v>307</v>
      </c>
      <c r="CA32" s="20" t="s">
        <v>307</v>
      </c>
      <c r="CB32" s="20" t="s">
        <v>307</v>
      </c>
      <c r="CJ32">
        <v>1961806</v>
      </c>
      <c r="CK32">
        <v>2053795</v>
      </c>
    </row>
    <row r="33" spans="1:80">
      <c r="A33" t="s">
        <v>290</v>
      </c>
      <c r="B33" s="81">
        <v>45831</v>
      </c>
      <c r="C33" s="81">
        <v>46471</v>
      </c>
      <c r="D33" s="81">
        <v>46838</v>
      </c>
      <c r="E33" s="81">
        <v>46977</v>
      </c>
      <c r="F33" s="81">
        <v>47038</v>
      </c>
      <c r="G33" s="81">
        <v>47078</v>
      </c>
      <c r="H33" s="81">
        <v>47071</v>
      </c>
      <c r="I33" s="81">
        <v>46919</v>
      </c>
      <c r="J33" s="81">
        <v>46567</v>
      </c>
      <c r="K33" s="81">
        <v>46175</v>
      </c>
      <c r="L33" s="81">
        <v>46053</v>
      </c>
      <c r="M33" s="81">
        <v>46109</v>
      </c>
      <c r="N33" s="81">
        <v>46469</v>
      </c>
      <c r="O33" s="81">
        <v>47037</v>
      </c>
      <c r="P33" s="81">
        <v>47365</v>
      </c>
      <c r="Q33" s="81">
        <v>47508</v>
      </c>
      <c r="R33" s="81">
        <v>47557</v>
      </c>
      <c r="S33" s="81">
        <v>47610</v>
      </c>
      <c r="T33" s="81">
        <v>47614</v>
      </c>
      <c r="U33" s="81">
        <v>47493</v>
      </c>
      <c r="V33" s="81">
        <v>47164</v>
      </c>
      <c r="W33" s="81">
        <v>46806</v>
      </c>
      <c r="X33" s="81">
        <v>46717</v>
      </c>
      <c r="Y33" s="81">
        <v>46767</v>
      </c>
      <c r="Z33" s="81">
        <v>47090</v>
      </c>
      <c r="AA33" s="81">
        <v>47658</v>
      </c>
      <c r="AB33" s="81">
        <v>47985</v>
      </c>
      <c r="AC33" s="81">
        <v>48293</v>
      </c>
      <c r="AD33" s="81">
        <v>48343</v>
      </c>
      <c r="AE33" s="81">
        <v>48399</v>
      </c>
      <c r="AF33" s="81">
        <v>48407</v>
      </c>
      <c r="AG33" s="81">
        <v>48278</v>
      </c>
      <c r="AH33" s="81">
        <v>48004</v>
      </c>
      <c r="AI33" s="81">
        <v>47687</v>
      </c>
      <c r="AJ33" s="81">
        <v>47600</v>
      </c>
      <c r="AK33" s="81">
        <v>47647</v>
      </c>
      <c r="AL33" s="81">
        <v>47381</v>
      </c>
      <c r="AM33" s="81">
        <v>47864</v>
      </c>
      <c r="AN33" s="81">
        <v>48156</v>
      </c>
      <c r="AO33" s="81">
        <v>48685</v>
      </c>
      <c r="AP33" s="81">
        <v>48749</v>
      </c>
      <c r="AQ33" s="81">
        <v>48818</v>
      </c>
      <c r="AR33" s="81">
        <v>48829</v>
      </c>
      <c r="AS33" s="81">
        <v>48736</v>
      </c>
      <c r="AT33" s="81">
        <v>48516</v>
      </c>
      <c r="AU33" s="81">
        <v>48292</v>
      </c>
      <c r="AV33" s="81">
        <v>48241</v>
      </c>
      <c r="AW33" s="81">
        <v>48308</v>
      </c>
      <c r="AX33" s="81">
        <v>48512</v>
      </c>
      <c r="AY33" s="81">
        <v>48858</v>
      </c>
      <c r="AZ33" s="81">
        <v>49025</v>
      </c>
      <c r="BA33" s="81">
        <v>49136</v>
      </c>
      <c r="BB33" s="81">
        <v>49191</v>
      </c>
      <c r="BC33" s="81">
        <v>49242</v>
      </c>
      <c r="BD33" s="81">
        <v>49255</v>
      </c>
      <c r="BE33" s="81">
        <v>49184</v>
      </c>
      <c r="BF33" s="81">
        <v>49026</v>
      </c>
      <c r="BG33" s="81">
        <v>48840</v>
      </c>
      <c r="BH33" s="81">
        <v>48794</v>
      </c>
      <c r="BI33" s="81">
        <v>48865</v>
      </c>
      <c r="BJ33" s="81">
        <v>49074</v>
      </c>
      <c r="BK33" s="81">
        <v>49416</v>
      </c>
      <c r="BL33" s="81">
        <v>49580</v>
      </c>
      <c r="BM33" s="81"/>
      <c r="BN33" s="81">
        <v>48004.916666666664</v>
      </c>
      <c r="BO33" s="81">
        <v>0</v>
      </c>
      <c r="BP33" s="81">
        <v>48004.916666666664</v>
      </c>
      <c r="BQ33" s="81"/>
      <c r="BR33" s="79">
        <v>46738.166666666664</v>
      </c>
      <c r="BS33" s="79">
        <v>47330.75</v>
      </c>
      <c r="BT33" s="79">
        <v>48004.916666666664</v>
      </c>
      <c r="BU33" s="79">
        <v>48630.75</v>
      </c>
      <c r="BV33" s="79">
        <v>49133.583333333336</v>
      </c>
      <c r="BW33" s="79"/>
      <c r="BZ33" s="20">
        <v>47330.75</v>
      </c>
      <c r="CA33" s="20">
        <v>48004.916666666664</v>
      </c>
      <c r="CB33" s="20">
        <v>48652.666666666664</v>
      </c>
    </row>
    <row r="34" spans="1:80">
      <c r="A34" t="s">
        <v>291</v>
      </c>
      <c r="B34" s="81">
        <v>3927</v>
      </c>
      <c r="C34" s="81">
        <v>4052</v>
      </c>
      <c r="D34" s="81">
        <v>4099</v>
      </c>
      <c r="E34" s="81">
        <v>4124</v>
      </c>
      <c r="F34" s="81">
        <v>4132</v>
      </c>
      <c r="G34" s="81">
        <v>4133</v>
      </c>
      <c r="H34" s="81">
        <v>4133</v>
      </c>
      <c r="I34" s="81">
        <v>4095</v>
      </c>
      <c r="J34" s="81">
        <v>4016</v>
      </c>
      <c r="K34" s="81">
        <v>3968</v>
      </c>
      <c r="L34" s="81">
        <v>3950</v>
      </c>
      <c r="M34" s="81">
        <v>3954</v>
      </c>
      <c r="N34" s="81">
        <v>3925</v>
      </c>
      <c r="O34" s="81">
        <v>4054</v>
      </c>
      <c r="P34" s="81">
        <v>4101</v>
      </c>
      <c r="Q34" s="81">
        <v>4132</v>
      </c>
      <c r="R34" s="81">
        <v>4141</v>
      </c>
      <c r="S34" s="81">
        <v>4143</v>
      </c>
      <c r="T34" s="81">
        <v>4146</v>
      </c>
      <c r="U34" s="81">
        <v>4112</v>
      </c>
      <c r="V34" s="81">
        <v>4033</v>
      </c>
      <c r="W34" s="81">
        <v>3985</v>
      </c>
      <c r="X34" s="81">
        <v>3967</v>
      </c>
      <c r="Y34" s="81">
        <v>3973</v>
      </c>
      <c r="Z34" s="81">
        <v>4016</v>
      </c>
      <c r="AA34" s="81">
        <v>4144</v>
      </c>
      <c r="AB34" s="81">
        <v>4190</v>
      </c>
      <c r="AC34" s="81">
        <v>4099</v>
      </c>
      <c r="AD34" s="81">
        <v>4111</v>
      </c>
      <c r="AE34" s="81">
        <v>4112</v>
      </c>
      <c r="AF34" s="81">
        <v>4113</v>
      </c>
      <c r="AG34" s="81">
        <v>4083</v>
      </c>
      <c r="AH34" s="81">
        <v>4012</v>
      </c>
      <c r="AI34" s="81">
        <v>3962</v>
      </c>
      <c r="AJ34" s="81">
        <v>3943</v>
      </c>
      <c r="AK34" s="81">
        <v>3893</v>
      </c>
      <c r="AL34" s="81">
        <v>3899</v>
      </c>
      <c r="AM34" s="81">
        <v>4016</v>
      </c>
      <c r="AN34" s="81">
        <v>4066</v>
      </c>
      <c r="AO34" s="81">
        <v>4070</v>
      </c>
      <c r="AP34" s="81">
        <v>4077</v>
      </c>
      <c r="AQ34" s="81">
        <v>4080</v>
      </c>
      <c r="AR34" s="81">
        <v>4077</v>
      </c>
      <c r="AS34" s="81">
        <v>4051</v>
      </c>
      <c r="AT34" s="81">
        <v>3993</v>
      </c>
      <c r="AU34" s="81">
        <v>3938</v>
      </c>
      <c r="AV34" s="81">
        <v>3921</v>
      </c>
      <c r="AW34" s="81">
        <v>3868</v>
      </c>
      <c r="AX34" s="81">
        <v>4039</v>
      </c>
      <c r="AY34" s="81">
        <v>4124</v>
      </c>
      <c r="AZ34" s="81">
        <v>4171</v>
      </c>
      <c r="BA34" s="81">
        <v>4190</v>
      </c>
      <c r="BB34" s="81">
        <v>4199</v>
      </c>
      <c r="BC34" s="81">
        <v>4212</v>
      </c>
      <c r="BD34" s="81">
        <v>4208</v>
      </c>
      <c r="BE34" s="81">
        <v>4179</v>
      </c>
      <c r="BF34" s="81">
        <v>4137</v>
      </c>
      <c r="BG34" s="81">
        <v>4084</v>
      </c>
      <c r="BH34" s="81">
        <v>4070</v>
      </c>
      <c r="BI34" s="81">
        <v>4048</v>
      </c>
      <c r="BJ34" s="81">
        <v>4084</v>
      </c>
      <c r="BK34" s="81">
        <v>4160</v>
      </c>
      <c r="BL34" s="81">
        <v>4199</v>
      </c>
      <c r="BM34" s="81"/>
      <c r="BN34" s="81">
        <v>4025.75</v>
      </c>
      <c r="BO34" s="81">
        <v>0</v>
      </c>
      <c r="BP34" s="81">
        <v>4025.75</v>
      </c>
      <c r="BQ34" s="81"/>
      <c r="BR34" s="79">
        <v>4048.75</v>
      </c>
      <c r="BS34" s="79">
        <v>4081.8333333333335</v>
      </c>
      <c r="BT34" s="79">
        <v>4025.75</v>
      </c>
      <c r="BU34" s="79">
        <v>4034.0833333333335</v>
      </c>
      <c r="BV34" s="79">
        <v>4147.5</v>
      </c>
      <c r="BW34" s="79"/>
      <c r="BZ34" s="20">
        <v>4081.8333333333335</v>
      </c>
      <c r="CA34" s="20">
        <v>4025.75</v>
      </c>
      <c r="CB34" s="20">
        <v>4001.9166666666665</v>
      </c>
    </row>
    <row r="35" spans="1:80">
      <c r="A35" t="s">
        <v>292</v>
      </c>
      <c r="B35" s="81">
        <v>883</v>
      </c>
      <c r="C35" s="81">
        <v>887</v>
      </c>
      <c r="D35" s="81">
        <v>891</v>
      </c>
      <c r="E35" s="81">
        <v>892</v>
      </c>
      <c r="F35" s="81">
        <v>892</v>
      </c>
      <c r="G35" s="81">
        <v>893</v>
      </c>
      <c r="H35" s="81">
        <v>894</v>
      </c>
      <c r="I35" s="81">
        <v>894</v>
      </c>
      <c r="J35" s="81">
        <v>889</v>
      </c>
      <c r="K35" s="81">
        <v>888</v>
      </c>
      <c r="L35" s="81">
        <v>885</v>
      </c>
      <c r="M35" s="81">
        <v>879</v>
      </c>
      <c r="N35" s="81">
        <v>983</v>
      </c>
      <c r="O35" s="81">
        <v>988</v>
      </c>
      <c r="P35" s="81">
        <v>991</v>
      </c>
      <c r="Q35" s="81">
        <v>992</v>
      </c>
      <c r="R35" s="81">
        <v>992</v>
      </c>
      <c r="S35" s="81">
        <v>990</v>
      </c>
      <c r="T35" s="81">
        <v>989</v>
      </c>
      <c r="U35" s="81">
        <v>990</v>
      </c>
      <c r="V35" s="81">
        <v>987</v>
      </c>
      <c r="W35" s="81">
        <v>985</v>
      </c>
      <c r="X35" s="81">
        <v>984</v>
      </c>
      <c r="Y35" s="81">
        <v>982</v>
      </c>
      <c r="Z35" s="81">
        <v>985</v>
      </c>
      <c r="AA35" s="81">
        <v>990</v>
      </c>
      <c r="AB35" s="81">
        <v>993</v>
      </c>
      <c r="AC35" s="81">
        <v>1032</v>
      </c>
      <c r="AD35" s="81">
        <v>1034</v>
      </c>
      <c r="AE35" s="81">
        <v>1032</v>
      </c>
      <c r="AF35" s="81">
        <v>1032</v>
      </c>
      <c r="AG35" s="81">
        <v>1028</v>
      </c>
      <c r="AH35" s="81">
        <v>1022</v>
      </c>
      <c r="AI35" s="81">
        <v>1018</v>
      </c>
      <c r="AJ35" s="81">
        <v>1018</v>
      </c>
      <c r="AK35" s="81">
        <v>1067</v>
      </c>
      <c r="AL35" s="81">
        <v>1021</v>
      </c>
      <c r="AM35" s="81">
        <v>1029</v>
      </c>
      <c r="AN35" s="81">
        <v>1032</v>
      </c>
      <c r="AO35" s="81">
        <v>1069</v>
      </c>
      <c r="AP35" s="81">
        <v>1072</v>
      </c>
      <c r="AQ35" s="81">
        <v>1071</v>
      </c>
      <c r="AR35" s="81">
        <v>1070</v>
      </c>
      <c r="AS35" s="81">
        <v>1066</v>
      </c>
      <c r="AT35" s="81">
        <v>1059</v>
      </c>
      <c r="AU35" s="81">
        <v>1053</v>
      </c>
      <c r="AV35" s="81">
        <v>1052</v>
      </c>
      <c r="AW35" s="81">
        <v>1100</v>
      </c>
      <c r="AX35" s="81">
        <v>1044</v>
      </c>
      <c r="AY35" s="81">
        <v>1052</v>
      </c>
      <c r="AZ35" s="81">
        <v>1053</v>
      </c>
      <c r="BA35" s="81">
        <v>1055</v>
      </c>
      <c r="BB35" s="81">
        <v>1057</v>
      </c>
      <c r="BC35" s="81">
        <v>1058</v>
      </c>
      <c r="BD35" s="81">
        <v>1057</v>
      </c>
      <c r="BE35" s="81">
        <v>1055</v>
      </c>
      <c r="BF35" s="81">
        <v>1047</v>
      </c>
      <c r="BG35" s="81">
        <v>1042</v>
      </c>
      <c r="BH35" s="81">
        <v>1042</v>
      </c>
      <c r="BI35" s="81">
        <v>1061</v>
      </c>
      <c r="BJ35" s="81">
        <v>1062</v>
      </c>
      <c r="BK35" s="81">
        <v>1070</v>
      </c>
      <c r="BL35" s="81">
        <v>1071</v>
      </c>
      <c r="BM35" s="81"/>
      <c r="BN35" s="81">
        <v>1030.4166666666667</v>
      </c>
      <c r="BO35" s="81">
        <v>0</v>
      </c>
      <c r="BP35" s="81">
        <v>1030.4166666666667</v>
      </c>
      <c r="BQ35" s="81"/>
      <c r="BR35" s="79">
        <v>914</v>
      </c>
      <c r="BS35" s="79">
        <v>988.25</v>
      </c>
      <c r="BT35" s="79">
        <v>1030.4166666666667</v>
      </c>
      <c r="BU35" s="79">
        <v>1063.4166666666667</v>
      </c>
      <c r="BV35" s="79">
        <v>1056.4166666666667</v>
      </c>
      <c r="BW35" s="79"/>
      <c r="BZ35" s="20">
        <v>988.25</v>
      </c>
      <c r="CA35" s="20">
        <v>1030.4166666666667</v>
      </c>
      <c r="CB35" s="20">
        <v>1077.5</v>
      </c>
    </row>
    <row r="36" spans="1:80">
      <c r="A36" t="s">
        <v>293</v>
      </c>
      <c r="B36" s="81">
        <v>500</v>
      </c>
      <c r="C36" s="81">
        <v>504</v>
      </c>
      <c r="D36" s="81">
        <v>509</v>
      </c>
      <c r="E36" s="81">
        <v>513</v>
      </c>
      <c r="F36" s="81">
        <v>513</v>
      </c>
      <c r="G36" s="81">
        <v>513</v>
      </c>
      <c r="H36" s="81">
        <v>513</v>
      </c>
      <c r="I36" s="81">
        <v>514</v>
      </c>
      <c r="J36" s="81">
        <v>512</v>
      </c>
      <c r="K36" s="81">
        <v>513</v>
      </c>
      <c r="L36" s="81">
        <v>512</v>
      </c>
      <c r="M36" s="81">
        <v>509</v>
      </c>
      <c r="N36" s="81">
        <v>476</v>
      </c>
      <c r="O36" s="81">
        <v>478</v>
      </c>
      <c r="P36" s="81">
        <v>481</v>
      </c>
      <c r="Q36" s="81">
        <v>482</v>
      </c>
      <c r="R36" s="81">
        <v>483</v>
      </c>
      <c r="S36" s="81">
        <v>484</v>
      </c>
      <c r="T36" s="81">
        <v>484</v>
      </c>
      <c r="U36" s="81">
        <v>487</v>
      </c>
      <c r="V36" s="81">
        <v>483</v>
      </c>
      <c r="W36" s="81">
        <v>482</v>
      </c>
      <c r="X36" s="81">
        <v>484</v>
      </c>
      <c r="Y36" s="81">
        <v>483</v>
      </c>
      <c r="Z36" s="81">
        <v>483</v>
      </c>
      <c r="AA36" s="81">
        <v>484</v>
      </c>
      <c r="AB36" s="81">
        <v>487</v>
      </c>
      <c r="AC36" s="81">
        <v>507</v>
      </c>
      <c r="AD36" s="81">
        <v>508</v>
      </c>
      <c r="AE36" s="81">
        <v>506</v>
      </c>
      <c r="AF36" s="81">
        <v>501</v>
      </c>
      <c r="AG36" s="81">
        <v>504</v>
      </c>
      <c r="AH36" s="81">
        <v>501</v>
      </c>
      <c r="AI36" s="81">
        <v>497</v>
      </c>
      <c r="AJ36" s="81">
        <v>497</v>
      </c>
      <c r="AK36" s="81">
        <v>490</v>
      </c>
      <c r="AL36" s="81">
        <v>498</v>
      </c>
      <c r="AM36" s="81">
        <v>502</v>
      </c>
      <c r="AN36" s="81">
        <v>507</v>
      </c>
      <c r="AO36" s="81">
        <v>524</v>
      </c>
      <c r="AP36" s="81">
        <v>525</v>
      </c>
      <c r="AQ36" s="81">
        <v>524</v>
      </c>
      <c r="AR36" s="81">
        <v>519</v>
      </c>
      <c r="AS36" s="81">
        <v>520</v>
      </c>
      <c r="AT36" s="81">
        <v>517</v>
      </c>
      <c r="AU36" s="81">
        <v>512</v>
      </c>
      <c r="AV36" s="81">
        <v>512</v>
      </c>
      <c r="AW36" s="81">
        <v>509</v>
      </c>
      <c r="AX36" s="81">
        <v>526</v>
      </c>
      <c r="AY36" s="81">
        <v>530</v>
      </c>
      <c r="AZ36" s="81">
        <v>533</v>
      </c>
      <c r="BA36" s="81">
        <v>537</v>
      </c>
      <c r="BB36" s="81">
        <v>537</v>
      </c>
      <c r="BC36" s="81">
        <v>537</v>
      </c>
      <c r="BD36" s="81">
        <v>533</v>
      </c>
      <c r="BE36" s="81">
        <v>534</v>
      </c>
      <c r="BF36" s="81">
        <v>533</v>
      </c>
      <c r="BG36" s="81">
        <v>526</v>
      </c>
      <c r="BH36" s="81">
        <v>525</v>
      </c>
      <c r="BI36" s="81">
        <v>535</v>
      </c>
      <c r="BJ36" s="81">
        <v>542</v>
      </c>
      <c r="BK36" s="81">
        <v>545</v>
      </c>
      <c r="BL36" s="81">
        <v>547</v>
      </c>
      <c r="BM36" s="81"/>
      <c r="BN36" s="81">
        <v>501.5</v>
      </c>
      <c r="BO36" s="81">
        <v>0</v>
      </c>
      <c r="BP36" s="81">
        <v>501.5</v>
      </c>
      <c r="BQ36" s="81"/>
      <c r="BR36" s="79">
        <v>503.91666666666669</v>
      </c>
      <c r="BS36" s="79">
        <v>483.83333333333331</v>
      </c>
      <c r="BT36" s="79">
        <v>501.5</v>
      </c>
      <c r="BU36" s="79">
        <v>520.91666666666663</v>
      </c>
      <c r="BV36" s="79">
        <v>535.91666666666663</v>
      </c>
      <c r="BW36" s="79"/>
      <c r="BZ36" s="20">
        <v>483.83333333333331</v>
      </c>
      <c r="CA36" s="20">
        <v>501.5</v>
      </c>
      <c r="CB36" s="20">
        <v>518.33333333333337</v>
      </c>
    </row>
    <row r="37" spans="1:80">
      <c r="A37" t="s">
        <v>294</v>
      </c>
      <c r="B37" s="81">
        <v>515</v>
      </c>
      <c r="C37" s="81">
        <v>517</v>
      </c>
      <c r="D37" s="81">
        <v>518</v>
      </c>
      <c r="E37" s="81">
        <v>519</v>
      </c>
      <c r="F37" s="81">
        <v>521</v>
      </c>
      <c r="G37" s="81">
        <v>522</v>
      </c>
      <c r="H37" s="81">
        <v>521</v>
      </c>
      <c r="I37" s="81">
        <v>524</v>
      </c>
      <c r="J37" s="81">
        <v>520</v>
      </c>
      <c r="K37" s="81">
        <v>522</v>
      </c>
      <c r="L37" s="81">
        <v>522</v>
      </c>
      <c r="M37" s="81">
        <v>522</v>
      </c>
      <c r="N37" s="81">
        <v>534</v>
      </c>
      <c r="O37" s="81">
        <v>536</v>
      </c>
      <c r="P37" s="81">
        <v>537</v>
      </c>
      <c r="Q37" s="81">
        <v>538</v>
      </c>
      <c r="R37" s="81">
        <v>539</v>
      </c>
      <c r="S37" s="81">
        <v>540</v>
      </c>
      <c r="T37" s="81">
        <v>540</v>
      </c>
      <c r="U37" s="81">
        <v>543</v>
      </c>
      <c r="V37" s="81">
        <v>539</v>
      </c>
      <c r="W37" s="81">
        <v>538</v>
      </c>
      <c r="X37" s="81">
        <v>540</v>
      </c>
      <c r="Y37" s="81">
        <v>539</v>
      </c>
      <c r="Z37" s="81">
        <v>540</v>
      </c>
      <c r="AA37" s="81">
        <v>542</v>
      </c>
      <c r="AB37" s="81">
        <v>543</v>
      </c>
      <c r="AC37" s="81">
        <v>554</v>
      </c>
      <c r="AD37" s="81">
        <v>555</v>
      </c>
      <c r="AE37" s="81">
        <v>555</v>
      </c>
      <c r="AF37" s="81">
        <v>556</v>
      </c>
      <c r="AG37" s="81">
        <v>558</v>
      </c>
      <c r="AH37" s="81">
        <v>555</v>
      </c>
      <c r="AI37" s="81">
        <v>555</v>
      </c>
      <c r="AJ37" s="81">
        <v>557</v>
      </c>
      <c r="AK37" s="81">
        <v>562</v>
      </c>
      <c r="AL37" s="81">
        <v>547</v>
      </c>
      <c r="AM37" s="81">
        <v>548</v>
      </c>
      <c r="AN37" s="81">
        <v>552</v>
      </c>
      <c r="AO37" s="81">
        <v>564</v>
      </c>
      <c r="AP37" s="81">
        <v>565</v>
      </c>
      <c r="AQ37" s="81">
        <v>565</v>
      </c>
      <c r="AR37" s="81">
        <v>566</v>
      </c>
      <c r="AS37" s="81">
        <v>565</v>
      </c>
      <c r="AT37" s="81">
        <v>565</v>
      </c>
      <c r="AU37" s="81">
        <v>564</v>
      </c>
      <c r="AV37" s="81">
        <v>565</v>
      </c>
      <c r="AW37" s="81">
        <v>571</v>
      </c>
      <c r="AX37" s="81">
        <v>549</v>
      </c>
      <c r="AY37" s="81">
        <v>550</v>
      </c>
      <c r="AZ37" s="81">
        <v>551</v>
      </c>
      <c r="BA37" s="81">
        <v>550</v>
      </c>
      <c r="BB37" s="81">
        <v>552</v>
      </c>
      <c r="BC37" s="81">
        <v>552</v>
      </c>
      <c r="BD37" s="81">
        <v>553</v>
      </c>
      <c r="BE37" s="81">
        <v>552</v>
      </c>
      <c r="BF37" s="81">
        <v>553</v>
      </c>
      <c r="BG37" s="81">
        <v>553</v>
      </c>
      <c r="BH37" s="81">
        <v>553</v>
      </c>
      <c r="BI37" s="81">
        <v>553</v>
      </c>
      <c r="BJ37" s="81">
        <v>553</v>
      </c>
      <c r="BK37" s="81">
        <v>554</v>
      </c>
      <c r="BL37" s="81">
        <v>555</v>
      </c>
      <c r="BM37" s="81"/>
      <c r="BN37" s="81">
        <v>554.5</v>
      </c>
      <c r="BO37" s="81">
        <v>0</v>
      </c>
      <c r="BP37" s="81">
        <v>554.5</v>
      </c>
      <c r="BQ37" s="81"/>
      <c r="BR37" s="79">
        <v>525</v>
      </c>
      <c r="BS37" s="79">
        <v>540.08333333333337</v>
      </c>
      <c r="BT37" s="79">
        <v>554.5</v>
      </c>
      <c r="BU37" s="79">
        <v>561.66666666666663</v>
      </c>
      <c r="BV37" s="79">
        <v>552.75</v>
      </c>
      <c r="BW37" s="79"/>
      <c r="BZ37" s="20">
        <v>540.08333333333337</v>
      </c>
      <c r="CA37" s="20">
        <v>554.5</v>
      </c>
      <c r="CB37" s="20">
        <v>567.41666666666663</v>
      </c>
    </row>
    <row r="38" spans="1:80">
      <c r="A38" t="s">
        <v>302</v>
      </c>
      <c r="B38" s="81">
        <v>51656</v>
      </c>
      <c r="C38" s="81">
        <v>52431</v>
      </c>
      <c r="D38" s="81">
        <v>52855</v>
      </c>
      <c r="E38" s="81">
        <v>53025</v>
      </c>
      <c r="F38" s="81">
        <v>53096</v>
      </c>
      <c r="G38" s="81">
        <v>53139</v>
      </c>
      <c r="H38" s="81">
        <v>53132</v>
      </c>
      <c r="I38" s="81">
        <v>52946</v>
      </c>
      <c r="J38" s="81">
        <v>52504</v>
      </c>
      <c r="K38" s="81">
        <v>52066</v>
      </c>
      <c r="L38" s="81">
        <v>51922</v>
      </c>
      <c r="M38" s="81">
        <v>51973</v>
      </c>
      <c r="N38" s="81">
        <v>52387</v>
      </c>
      <c r="O38" s="81">
        <v>53093</v>
      </c>
      <c r="P38" s="81">
        <v>53475</v>
      </c>
      <c r="Q38" s="81">
        <v>53652</v>
      </c>
      <c r="R38" s="81">
        <v>53712</v>
      </c>
      <c r="S38" s="81">
        <v>53767</v>
      </c>
      <c r="T38" s="81">
        <v>53773</v>
      </c>
      <c r="U38" s="81">
        <v>53625</v>
      </c>
      <c r="V38" s="81">
        <v>53206</v>
      </c>
      <c r="W38" s="81">
        <v>52796</v>
      </c>
      <c r="X38" s="81">
        <v>52692</v>
      </c>
      <c r="Y38" s="81">
        <v>52744</v>
      </c>
      <c r="Z38" s="81">
        <v>53114</v>
      </c>
      <c r="AA38" s="81">
        <v>53818</v>
      </c>
      <c r="AB38" s="81">
        <v>54198</v>
      </c>
      <c r="AC38" s="81">
        <v>54485</v>
      </c>
      <c r="AD38" s="81">
        <v>54551</v>
      </c>
      <c r="AE38" s="81">
        <v>54604</v>
      </c>
      <c r="AF38" s="81">
        <v>54609</v>
      </c>
      <c r="AG38" s="81">
        <v>54451</v>
      </c>
      <c r="AH38" s="81">
        <v>54094</v>
      </c>
      <c r="AI38" s="81">
        <v>53719</v>
      </c>
      <c r="AJ38" s="81">
        <v>53615</v>
      </c>
      <c r="AK38" s="81">
        <v>53659</v>
      </c>
      <c r="AL38" s="81">
        <v>53346</v>
      </c>
      <c r="AM38" s="81">
        <v>53959</v>
      </c>
      <c r="AN38" s="81">
        <v>54313</v>
      </c>
      <c r="AO38" s="81">
        <v>54912</v>
      </c>
      <c r="AP38" s="81">
        <v>54988</v>
      </c>
      <c r="AQ38" s="81">
        <v>55058</v>
      </c>
      <c r="AR38" s="81">
        <v>55061</v>
      </c>
      <c r="AS38" s="81">
        <v>54938</v>
      </c>
      <c r="AT38" s="81">
        <v>54650</v>
      </c>
      <c r="AU38" s="81">
        <v>54359</v>
      </c>
      <c r="AV38" s="81">
        <v>54291</v>
      </c>
      <c r="AW38" s="81">
        <v>54356</v>
      </c>
      <c r="AX38" s="81">
        <v>54670</v>
      </c>
      <c r="AY38" s="81">
        <v>55114</v>
      </c>
      <c r="AZ38" s="81">
        <v>55333</v>
      </c>
      <c r="BA38" s="81">
        <v>55468</v>
      </c>
      <c r="BB38" s="81">
        <v>55536</v>
      </c>
      <c r="BC38" s="81">
        <v>55601</v>
      </c>
      <c r="BD38" s="81">
        <v>55606</v>
      </c>
      <c r="BE38" s="81">
        <v>55504</v>
      </c>
      <c r="BF38" s="81">
        <v>55296</v>
      </c>
      <c r="BG38" s="81">
        <v>55045</v>
      </c>
      <c r="BH38" s="81">
        <v>54984</v>
      </c>
      <c r="BI38" s="81">
        <v>55062</v>
      </c>
      <c r="BJ38" s="81">
        <v>55315</v>
      </c>
      <c r="BK38" s="81">
        <v>55745</v>
      </c>
      <c r="BL38" s="81">
        <v>55952</v>
      </c>
      <c r="BM38" s="81"/>
      <c r="BN38" s="81">
        <v>54117.083333333328</v>
      </c>
      <c r="BO38" s="81">
        <v>0</v>
      </c>
      <c r="BP38" s="81">
        <v>54117.083333333328</v>
      </c>
      <c r="BQ38" s="81"/>
      <c r="BR38" s="79">
        <v>52729.833333333336</v>
      </c>
      <c r="BS38" s="79">
        <v>53424.75</v>
      </c>
      <c r="BT38" s="79">
        <v>54117.083333333336</v>
      </c>
      <c r="BU38" s="79">
        <v>54810.833333333336</v>
      </c>
      <c r="BV38" s="79">
        <v>55426.166666666664</v>
      </c>
      <c r="BW38" s="79"/>
      <c r="BZ38" s="20">
        <v>53424.75</v>
      </c>
      <c r="CA38" s="20">
        <v>54117.083333333336</v>
      </c>
      <c r="CB38" s="20">
        <v>54817.833333333336</v>
      </c>
    </row>
    <row r="39" spans="1:80">
      <c r="A39" t="s">
        <v>303</v>
      </c>
      <c r="B39" s="81">
        <v>46</v>
      </c>
      <c r="C39" s="81">
        <v>44</v>
      </c>
      <c r="D39" s="81">
        <v>44</v>
      </c>
      <c r="E39" s="81">
        <v>43</v>
      </c>
      <c r="F39" s="81">
        <v>43</v>
      </c>
      <c r="G39" s="81">
        <v>43</v>
      </c>
      <c r="H39" s="81">
        <v>46</v>
      </c>
      <c r="I39" s="81">
        <v>47</v>
      </c>
      <c r="J39" s="81">
        <v>46</v>
      </c>
      <c r="K39" s="81">
        <v>46</v>
      </c>
      <c r="L39" s="81">
        <v>46</v>
      </c>
      <c r="M39" s="81">
        <v>46</v>
      </c>
      <c r="N39" s="81">
        <v>46</v>
      </c>
      <c r="O39" s="81">
        <v>45</v>
      </c>
      <c r="P39" s="81">
        <v>44</v>
      </c>
      <c r="Q39" s="81">
        <v>43</v>
      </c>
      <c r="R39" s="81">
        <v>43</v>
      </c>
      <c r="S39" s="81">
        <v>43</v>
      </c>
      <c r="T39" s="81">
        <v>45</v>
      </c>
      <c r="U39" s="81">
        <v>46</v>
      </c>
      <c r="V39" s="81">
        <v>46</v>
      </c>
      <c r="W39" s="81">
        <v>46</v>
      </c>
      <c r="X39" s="81">
        <v>46</v>
      </c>
      <c r="Y39" s="81">
        <v>46</v>
      </c>
      <c r="Z39" s="81">
        <v>46</v>
      </c>
      <c r="AA39" s="81">
        <v>45</v>
      </c>
      <c r="AB39" s="81">
        <v>44</v>
      </c>
      <c r="AC39" s="81">
        <v>43</v>
      </c>
      <c r="AD39" s="81">
        <v>43</v>
      </c>
      <c r="AE39" s="81">
        <v>43</v>
      </c>
      <c r="AF39" s="81">
        <v>45</v>
      </c>
      <c r="AG39" s="81">
        <v>46</v>
      </c>
      <c r="AH39" s="81">
        <v>46</v>
      </c>
      <c r="AI39" s="81">
        <v>46</v>
      </c>
      <c r="AJ39" s="81">
        <v>46</v>
      </c>
      <c r="AK39" s="81">
        <v>46</v>
      </c>
      <c r="AL39" s="81">
        <v>46</v>
      </c>
      <c r="AM39" s="81">
        <v>45</v>
      </c>
      <c r="AN39" s="81">
        <v>44</v>
      </c>
      <c r="AO39" s="81">
        <v>43</v>
      </c>
      <c r="AP39" s="81">
        <v>43</v>
      </c>
      <c r="AQ39" s="81">
        <v>43</v>
      </c>
      <c r="AR39" s="81">
        <v>45</v>
      </c>
      <c r="AS39" s="81">
        <v>46</v>
      </c>
      <c r="AT39" s="81">
        <v>46</v>
      </c>
      <c r="AU39" s="81">
        <v>46</v>
      </c>
      <c r="AV39" s="81">
        <v>46</v>
      </c>
      <c r="AW39" s="81">
        <v>46</v>
      </c>
      <c r="AX39" s="81">
        <v>46</v>
      </c>
      <c r="AY39" s="81">
        <v>45</v>
      </c>
      <c r="AZ39" s="81">
        <v>44</v>
      </c>
      <c r="BA39" s="81">
        <v>43</v>
      </c>
      <c r="BB39" s="81">
        <v>43</v>
      </c>
      <c r="BC39" s="81">
        <v>43</v>
      </c>
      <c r="BD39" s="81">
        <v>45</v>
      </c>
      <c r="BE39" s="81">
        <v>46</v>
      </c>
      <c r="BF39" s="81">
        <v>46</v>
      </c>
      <c r="BG39" s="81">
        <v>46</v>
      </c>
      <c r="BH39" s="81">
        <v>46</v>
      </c>
      <c r="BI39" s="81">
        <v>46</v>
      </c>
      <c r="BJ39" s="81">
        <v>46</v>
      </c>
      <c r="BK39" s="81">
        <v>45</v>
      </c>
      <c r="BL39" s="81">
        <v>44</v>
      </c>
      <c r="BM39" s="81"/>
      <c r="BN39" s="81">
        <v>46</v>
      </c>
      <c r="BO39" s="81">
        <v>0</v>
      </c>
      <c r="BP39" s="81">
        <v>44.916666666666664</v>
      </c>
      <c r="BQ39" s="81"/>
      <c r="BR39" s="79">
        <v>45.083333333333336</v>
      </c>
      <c r="BS39" s="79">
        <v>44.916666666666664</v>
      </c>
      <c r="BT39" s="79">
        <v>44.916666666666664</v>
      </c>
      <c r="BU39" s="79">
        <v>44.916666666666664</v>
      </c>
      <c r="BV39" s="79">
        <v>44.916666666666664</v>
      </c>
      <c r="BW39" s="79"/>
      <c r="BZ39" s="20">
        <v>44.916666666666664</v>
      </c>
      <c r="CA39" s="20">
        <v>44.916666666666664</v>
      </c>
      <c r="CB39" s="20">
        <v>44.916666666666664</v>
      </c>
    </row>
    <row r="40" spans="1:80">
      <c r="A40" t="s">
        <v>297</v>
      </c>
      <c r="B40" s="20">
        <v>3</v>
      </c>
      <c r="C40" s="20">
        <v>3</v>
      </c>
      <c r="D40" s="20">
        <v>3</v>
      </c>
      <c r="E40" s="20">
        <v>3</v>
      </c>
      <c r="F40" s="20">
        <v>3</v>
      </c>
      <c r="G40" s="20">
        <v>3</v>
      </c>
      <c r="H40" s="20">
        <v>3</v>
      </c>
      <c r="I40" s="20">
        <v>3</v>
      </c>
      <c r="J40" s="20">
        <v>3</v>
      </c>
      <c r="K40" s="20">
        <v>3</v>
      </c>
      <c r="L40" s="20">
        <v>3</v>
      </c>
      <c r="M40" s="20">
        <v>3</v>
      </c>
      <c r="N40" s="20">
        <v>3</v>
      </c>
      <c r="O40" s="20">
        <v>3</v>
      </c>
      <c r="P40" s="20">
        <v>3</v>
      </c>
      <c r="Q40" s="20">
        <v>3</v>
      </c>
      <c r="R40" s="20">
        <v>3</v>
      </c>
      <c r="S40" s="20">
        <v>3</v>
      </c>
      <c r="T40" s="20">
        <v>3</v>
      </c>
      <c r="U40" s="20">
        <v>3</v>
      </c>
      <c r="V40" s="20">
        <v>3</v>
      </c>
      <c r="W40" s="20">
        <v>3</v>
      </c>
      <c r="X40" s="20">
        <v>3</v>
      </c>
      <c r="Y40" s="20">
        <v>3</v>
      </c>
      <c r="Z40" s="20">
        <v>3</v>
      </c>
      <c r="AA40" s="20">
        <v>3</v>
      </c>
      <c r="AB40" s="20">
        <v>3</v>
      </c>
      <c r="AC40" s="20">
        <v>3</v>
      </c>
      <c r="AD40" s="20">
        <v>3</v>
      </c>
      <c r="AE40" s="20">
        <v>3</v>
      </c>
      <c r="AF40" s="20">
        <v>3</v>
      </c>
      <c r="AG40" s="20">
        <v>3</v>
      </c>
      <c r="AH40" s="20">
        <v>3</v>
      </c>
      <c r="AI40" s="20">
        <v>3</v>
      </c>
      <c r="AJ40" s="20">
        <v>3</v>
      </c>
      <c r="AK40" s="20">
        <v>3</v>
      </c>
      <c r="AL40" s="20">
        <v>3</v>
      </c>
      <c r="AM40" s="20">
        <v>3</v>
      </c>
      <c r="AN40" s="20">
        <v>3</v>
      </c>
      <c r="AO40" s="20">
        <v>3</v>
      </c>
      <c r="AP40" s="20">
        <v>3</v>
      </c>
      <c r="AQ40" s="20">
        <v>3</v>
      </c>
      <c r="AR40" s="20">
        <v>3</v>
      </c>
      <c r="AS40" s="20">
        <v>3</v>
      </c>
      <c r="AT40" s="20">
        <v>3</v>
      </c>
      <c r="AU40" s="20">
        <v>3</v>
      </c>
      <c r="AV40" s="20">
        <v>3</v>
      </c>
      <c r="AW40" s="20">
        <v>3</v>
      </c>
      <c r="AX40" s="20">
        <v>3</v>
      </c>
      <c r="AY40" s="20">
        <v>3</v>
      </c>
      <c r="AZ40" s="20">
        <v>3</v>
      </c>
      <c r="BA40" s="20">
        <v>3</v>
      </c>
      <c r="BB40" s="20">
        <v>3</v>
      </c>
      <c r="BC40" s="20">
        <v>3</v>
      </c>
      <c r="BD40" s="20">
        <v>3</v>
      </c>
      <c r="BE40" s="20">
        <v>3</v>
      </c>
      <c r="BF40" s="20">
        <v>3</v>
      </c>
      <c r="BG40" s="20">
        <v>3</v>
      </c>
      <c r="BH40" s="20">
        <v>3</v>
      </c>
      <c r="BI40" s="20">
        <v>3</v>
      </c>
      <c r="BJ40" s="20">
        <v>3</v>
      </c>
      <c r="BK40" s="20">
        <v>3</v>
      </c>
      <c r="BL40" s="20">
        <v>3</v>
      </c>
      <c r="BN40" s="20">
        <v>3</v>
      </c>
      <c r="BO40" s="20">
        <v>3</v>
      </c>
      <c r="BP40" s="20">
        <v>3</v>
      </c>
      <c r="BR40" s="79">
        <v>3</v>
      </c>
      <c r="BS40" s="79">
        <v>3</v>
      </c>
      <c r="BT40" s="79">
        <v>3</v>
      </c>
      <c r="BU40" s="79">
        <v>3</v>
      </c>
      <c r="BV40" s="79">
        <v>3</v>
      </c>
      <c r="BW40" s="79"/>
      <c r="BZ40" s="20">
        <v>3</v>
      </c>
      <c r="CA40" s="20">
        <v>3</v>
      </c>
      <c r="CB40" s="20">
        <v>3</v>
      </c>
    </row>
    <row r="41" spans="1:80">
      <c r="A41" t="s">
        <v>304</v>
      </c>
      <c r="B41" s="81">
        <v>43</v>
      </c>
      <c r="C41" s="81">
        <v>41</v>
      </c>
      <c r="D41" s="81">
        <v>41</v>
      </c>
      <c r="E41" s="81">
        <v>40</v>
      </c>
      <c r="F41" s="81">
        <v>40</v>
      </c>
      <c r="G41" s="81">
        <v>40</v>
      </c>
      <c r="H41" s="81">
        <v>43</v>
      </c>
      <c r="I41" s="81">
        <v>44</v>
      </c>
      <c r="J41" s="81">
        <v>43</v>
      </c>
      <c r="K41" s="81">
        <v>43</v>
      </c>
      <c r="L41" s="81">
        <v>43</v>
      </c>
      <c r="M41" s="81">
        <v>43</v>
      </c>
      <c r="N41" s="81">
        <v>43</v>
      </c>
      <c r="O41" s="81">
        <v>42</v>
      </c>
      <c r="P41" s="81">
        <v>41</v>
      </c>
      <c r="Q41" s="81">
        <v>40</v>
      </c>
      <c r="R41" s="81">
        <v>40</v>
      </c>
      <c r="S41" s="81">
        <v>40</v>
      </c>
      <c r="T41" s="81">
        <v>42</v>
      </c>
      <c r="U41" s="81">
        <v>43</v>
      </c>
      <c r="V41" s="81">
        <v>43</v>
      </c>
      <c r="W41" s="81">
        <v>43</v>
      </c>
      <c r="X41" s="81">
        <v>43</v>
      </c>
      <c r="Y41" s="81">
        <v>43</v>
      </c>
      <c r="Z41" s="81">
        <v>43</v>
      </c>
      <c r="AA41" s="81">
        <v>42</v>
      </c>
      <c r="AB41" s="81">
        <v>41</v>
      </c>
      <c r="AC41" s="81">
        <v>40</v>
      </c>
      <c r="AD41" s="81">
        <v>40</v>
      </c>
      <c r="AE41" s="81">
        <v>40</v>
      </c>
      <c r="AF41" s="81">
        <v>42</v>
      </c>
      <c r="AG41" s="81">
        <v>43</v>
      </c>
      <c r="AH41" s="81">
        <v>43</v>
      </c>
      <c r="AI41" s="81">
        <v>43</v>
      </c>
      <c r="AJ41" s="81">
        <v>43</v>
      </c>
      <c r="AK41" s="81">
        <v>43</v>
      </c>
      <c r="AL41" s="81">
        <v>43</v>
      </c>
      <c r="AM41" s="81">
        <v>42</v>
      </c>
      <c r="AN41" s="81">
        <v>41</v>
      </c>
      <c r="AO41" s="81">
        <v>40</v>
      </c>
      <c r="AP41" s="81">
        <v>40</v>
      </c>
      <c r="AQ41" s="81">
        <v>40</v>
      </c>
      <c r="AR41" s="81">
        <v>42</v>
      </c>
      <c r="AS41" s="81">
        <v>43</v>
      </c>
      <c r="AT41" s="81">
        <v>43</v>
      </c>
      <c r="AU41" s="81">
        <v>43</v>
      </c>
      <c r="AV41" s="81">
        <v>43</v>
      </c>
      <c r="AW41" s="81">
        <v>43</v>
      </c>
      <c r="AX41" s="81">
        <v>43</v>
      </c>
      <c r="AY41" s="81">
        <v>42</v>
      </c>
      <c r="AZ41" s="81">
        <v>41</v>
      </c>
      <c r="BA41" s="81">
        <v>40</v>
      </c>
      <c r="BB41" s="81">
        <v>40</v>
      </c>
      <c r="BC41" s="81">
        <v>40</v>
      </c>
      <c r="BD41" s="81">
        <v>42</v>
      </c>
      <c r="BE41" s="81">
        <v>43</v>
      </c>
      <c r="BF41" s="81">
        <v>43</v>
      </c>
      <c r="BG41" s="81">
        <v>43</v>
      </c>
      <c r="BH41" s="81">
        <v>43</v>
      </c>
      <c r="BI41" s="81">
        <v>43</v>
      </c>
      <c r="BJ41" s="81">
        <v>43</v>
      </c>
      <c r="BK41" s="81">
        <v>42</v>
      </c>
      <c r="BL41" s="81">
        <v>41</v>
      </c>
      <c r="BM41" s="81"/>
      <c r="BN41" s="81">
        <v>43</v>
      </c>
      <c r="BO41" s="81">
        <v>-3</v>
      </c>
      <c r="BP41" s="81">
        <v>41.916666666666664</v>
      </c>
      <c r="BQ41" s="81"/>
      <c r="BR41" s="79">
        <v>42.083333333333336</v>
      </c>
      <c r="BS41" s="79">
        <v>41.916666666666664</v>
      </c>
      <c r="BT41" s="79">
        <v>41.916666666666664</v>
      </c>
      <c r="BU41" s="79">
        <v>41.916666666666664</v>
      </c>
      <c r="BV41" s="79">
        <v>41.916666666666664</v>
      </c>
      <c r="BW41" s="79"/>
      <c r="BZ41" s="20">
        <v>41.916666666666664</v>
      </c>
      <c r="CA41" s="20">
        <v>41.916666666666664</v>
      </c>
      <c r="CB41" s="20">
        <v>41.916666666666664</v>
      </c>
    </row>
    <row r="42" spans="1:80">
      <c r="A42" t="s">
        <v>308</v>
      </c>
      <c r="B42" s="81">
        <v>51699</v>
      </c>
      <c r="C42" s="81">
        <v>52472</v>
      </c>
      <c r="D42" s="81">
        <v>52896</v>
      </c>
      <c r="E42" s="81">
        <v>53065</v>
      </c>
      <c r="F42" s="81">
        <v>53136</v>
      </c>
      <c r="G42" s="81">
        <v>53179</v>
      </c>
      <c r="H42" s="81">
        <v>53175</v>
      </c>
      <c r="I42" s="81">
        <v>52990</v>
      </c>
      <c r="J42" s="81">
        <v>52547</v>
      </c>
      <c r="K42" s="81">
        <v>52109</v>
      </c>
      <c r="L42" s="81">
        <v>51965</v>
      </c>
      <c r="M42" s="81">
        <v>52016</v>
      </c>
      <c r="N42" s="81">
        <v>52430</v>
      </c>
      <c r="O42" s="81">
        <v>53135</v>
      </c>
      <c r="P42" s="81">
        <v>53516</v>
      </c>
      <c r="Q42" s="81">
        <v>53692</v>
      </c>
      <c r="R42" s="81">
        <v>53752</v>
      </c>
      <c r="S42" s="81">
        <v>53807</v>
      </c>
      <c r="T42" s="81">
        <v>53815</v>
      </c>
      <c r="U42" s="81">
        <v>53668</v>
      </c>
      <c r="V42" s="81">
        <v>53249</v>
      </c>
      <c r="W42" s="81">
        <v>52839</v>
      </c>
      <c r="X42" s="81">
        <v>52735</v>
      </c>
      <c r="Y42" s="81">
        <v>52787</v>
      </c>
      <c r="Z42" s="81">
        <v>53157</v>
      </c>
      <c r="AA42" s="81">
        <v>53860</v>
      </c>
      <c r="AB42" s="81">
        <v>54239</v>
      </c>
      <c r="AC42" s="81">
        <v>54525</v>
      </c>
      <c r="AD42" s="81">
        <v>54591</v>
      </c>
      <c r="AE42" s="81">
        <v>54644</v>
      </c>
      <c r="AF42" s="81">
        <v>54651</v>
      </c>
      <c r="AG42" s="81">
        <v>54494</v>
      </c>
      <c r="AH42" s="81">
        <v>54137</v>
      </c>
      <c r="AI42" s="81">
        <v>53762</v>
      </c>
      <c r="AJ42" s="81">
        <v>53658</v>
      </c>
      <c r="AK42" s="81">
        <v>53702</v>
      </c>
      <c r="AL42" s="81">
        <v>53389</v>
      </c>
      <c r="AM42" s="81">
        <v>54001</v>
      </c>
      <c r="AN42" s="81">
        <v>54354</v>
      </c>
      <c r="AO42" s="81">
        <v>54952</v>
      </c>
      <c r="AP42" s="81">
        <v>55028</v>
      </c>
      <c r="AQ42" s="81">
        <v>55098</v>
      </c>
      <c r="AR42" s="81">
        <v>55103</v>
      </c>
      <c r="AS42" s="81">
        <v>54981</v>
      </c>
      <c r="AT42" s="81">
        <v>54693</v>
      </c>
      <c r="AU42" s="81">
        <v>54402</v>
      </c>
      <c r="AV42" s="81">
        <v>54334</v>
      </c>
      <c r="AW42" s="81">
        <v>54399</v>
      </c>
      <c r="AX42" s="81">
        <v>54713</v>
      </c>
      <c r="AY42" s="81">
        <v>55156</v>
      </c>
      <c r="AZ42" s="81">
        <v>55374</v>
      </c>
      <c r="BA42" s="81">
        <v>55508</v>
      </c>
      <c r="BB42" s="81">
        <v>55576</v>
      </c>
      <c r="BC42" s="81">
        <v>55641</v>
      </c>
      <c r="BD42" s="81">
        <v>55648</v>
      </c>
      <c r="BE42" s="81">
        <v>55547</v>
      </c>
      <c r="BF42" s="81">
        <v>55339</v>
      </c>
      <c r="BG42" s="81">
        <v>55088</v>
      </c>
      <c r="BH42" s="81">
        <v>55027</v>
      </c>
      <c r="BI42" s="81">
        <v>55105</v>
      </c>
      <c r="BJ42" s="81">
        <v>55358</v>
      </c>
      <c r="BK42" s="81">
        <v>55787</v>
      </c>
      <c r="BL42" s="81">
        <v>55993</v>
      </c>
      <c r="BM42" s="81"/>
      <c r="BN42" s="81">
        <v>54160.083333333328</v>
      </c>
      <c r="BO42" s="81">
        <v>-3</v>
      </c>
      <c r="BP42" s="81">
        <v>54158.999999999993</v>
      </c>
      <c r="BQ42" s="81"/>
      <c r="BR42" s="79">
        <v>52771.916666666664</v>
      </c>
      <c r="BS42" s="79">
        <v>53466.666666666664</v>
      </c>
      <c r="BT42" s="79">
        <v>54159</v>
      </c>
      <c r="BU42" s="79">
        <v>54852.75</v>
      </c>
      <c r="BV42" s="79">
        <v>55468.083333333336</v>
      </c>
      <c r="BW42" s="79"/>
      <c r="BZ42" s="20">
        <v>53466.666666666664</v>
      </c>
      <c r="CA42" s="20">
        <v>54159</v>
      </c>
      <c r="CB42" s="20">
        <v>54859.75</v>
      </c>
    </row>
    <row r="45" spans="1:80">
      <c r="A45" t="s">
        <v>309</v>
      </c>
    </row>
    <row r="46" spans="1:80" ht="15.5">
      <c r="A46" t="s">
        <v>310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5"/>
      <c r="BP46" s="75"/>
      <c r="BQ46" s="75"/>
      <c r="BR46" s="75"/>
      <c r="BS46" s="75"/>
      <c r="BT46" s="75"/>
      <c r="BU46" s="75"/>
      <c r="BV46" s="75"/>
    </row>
    <row r="47" spans="1:80">
      <c r="A47" s="20" t="s">
        <v>311</v>
      </c>
    </row>
    <row r="48" spans="1:80" ht="15.5">
      <c r="A48" s="1" t="s">
        <v>312</v>
      </c>
    </row>
    <row r="49" spans="1:74" ht="15.5">
      <c r="A49" s="1"/>
    </row>
    <row r="50" spans="1:74" ht="15.5">
      <c r="A50" s="1"/>
    </row>
    <row r="51" spans="1:74" ht="15.5">
      <c r="A51" s="1"/>
    </row>
    <row r="52" spans="1:74" ht="15.5">
      <c r="A52" s="1"/>
    </row>
    <row r="53" spans="1:74" ht="15.5">
      <c r="A53" s="1"/>
    </row>
    <row r="54" spans="1:74" ht="15.5">
      <c r="A54" s="1"/>
      <c r="U54" s="20" t="s">
        <v>260</v>
      </c>
      <c r="V54" s="20" t="s">
        <v>261</v>
      </c>
      <c r="W54" s="20" t="s">
        <v>262</v>
      </c>
      <c r="X54" s="20" t="s">
        <v>263</v>
      </c>
      <c r="Y54" s="20" t="s">
        <v>264</v>
      </c>
      <c r="Z54" s="20" t="s">
        <v>97</v>
      </c>
    </row>
    <row r="55" spans="1:74" ht="15.5">
      <c r="A55" s="1"/>
      <c r="S55" s="178">
        <v>0</v>
      </c>
      <c r="T55" s="178">
        <v>0</v>
      </c>
      <c r="U55" s="178">
        <v>0</v>
      </c>
      <c r="V55" s="178">
        <v>0</v>
      </c>
      <c r="W55" s="178">
        <v>0</v>
      </c>
      <c r="X55" s="178">
        <v>0</v>
      </c>
      <c r="Y55" s="178">
        <v>0</v>
      </c>
      <c r="Z55" s="178">
        <v>0</v>
      </c>
    </row>
    <row r="56" spans="1:74" ht="15.5">
      <c r="A56" s="1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178">
        <v>0</v>
      </c>
      <c r="T56" s="178">
        <v>0</v>
      </c>
      <c r="U56" s="178">
        <v>0</v>
      </c>
      <c r="V56" s="178">
        <v>0</v>
      </c>
      <c r="W56" s="178">
        <v>0</v>
      </c>
      <c r="X56" s="178">
        <v>0</v>
      </c>
      <c r="Y56" s="178">
        <v>0</v>
      </c>
      <c r="Z56" s="178">
        <v>0</v>
      </c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</row>
    <row r="57" spans="1:74" ht="15.5">
      <c r="A57" s="1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178">
        <v>0</v>
      </c>
      <c r="T57" s="178">
        <v>0</v>
      </c>
      <c r="U57" s="178">
        <v>0</v>
      </c>
      <c r="V57" s="178">
        <v>0</v>
      </c>
      <c r="W57" s="178">
        <v>0</v>
      </c>
      <c r="X57" s="178">
        <v>0</v>
      </c>
      <c r="Y57" s="178">
        <v>0</v>
      </c>
      <c r="Z57" s="178">
        <v>0</v>
      </c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</row>
    <row r="58" spans="1:74">
      <c r="S58" s="178">
        <v>0</v>
      </c>
      <c r="T58" s="178">
        <v>0</v>
      </c>
      <c r="U58" s="178">
        <v>0</v>
      </c>
      <c r="V58" s="178">
        <v>0</v>
      </c>
      <c r="W58" s="178">
        <v>0</v>
      </c>
      <c r="X58" s="178">
        <v>0</v>
      </c>
      <c r="Y58" s="178">
        <v>0</v>
      </c>
      <c r="Z58" s="178">
        <v>0</v>
      </c>
    </row>
    <row r="59" spans="1:74">
      <c r="S59" s="178">
        <v>0</v>
      </c>
      <c r="T59" s="178">
        <v>0</v>
      </c>
      <c r="U59" s="178">
        <v>0</v>
      </c>
      <c r="V59" s="178">
        <v>0</v>
      </c>
      <c r="W59" s="178">
        <v>0</v>
      </c>
      <c r="X59" s="178">
        <v>0</v>
      </c>
      <c r="Y59" s="178">
        <v>0</v>
      </c>
      <c r="Z59" s="178">
        <v>0</v>
      </c>
    </row>
    <row r="60" spans="1:74">
      <c r="S60" s="178">
        <v>0</v>
      </c>
      <c r="T60" s="178">
        <v>0</v>
      </c>
      <c r="U60" s="178">
        <v>0</v>
      </c>
      <c r="V60" s="178">
        <v>0</v>
      </c>
      <c r="W60" s="178">
        <v>0</v>
      </c>
      <c r="X60" s="178">
        <v>0</v>
      </c>
      <c r="Y60" s="178">
        <v>0</v>
      </c>
      <c r="Z60" s="178">
        <v>0</v>
      </c>
    </row>
    <row r="61" spans="1:74">
      <c r="S61" s="178">
        <v>0</v>
      </c>
      <c r="T61" s="178">
        <v>0</v>
      </c>
      <c r="U61" s="178">
        <v>0</v>
      </c>
      <c r="V61" s="178">
        <v>0</v>
      </c>
      <c r="W61" s="178">
        <v>0</v>
      </c>
      <c r="X61" s="178">
        <v>0</v>
      </c>
      <c r="Y61" s="178">
        <v>0</v>
      </c>
      <c r="Z61" s="178">
        <v>0</v>
      </c>
    </row>
    <row r="62" spans="1:74" ht="15.5">
      <c r="A62" s="1"/>
      <c r="S62" s="178">
        <v>0</v>
      </c>
      <c r="T62" s="178">
        <v>0</v>
      </c>
      <c r="U62" s="178">
        <v>0</v>
      </c>
      <c r="V62" s="178">
        <v>0</v>
      </c>
      <c r="W62" s="178">
        <v>0</v>
      </c>
      <c r="X62" s="178">
        <v>0</v>
      </c>
      <c r="Y62" s="178">
        <v>0</v>
      </c>
      <c r="Z62" s="178">
        <v>0</v>
      </c>
    </row>
    <row r="63" spans="1:74">
      <c r="B63" s="81"/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178">
        <v>0</v>
      </c>
      <c r="T63" s="178">
        <v>0</v>
      </c>
      <c r="U63" s="178">
        <v>0</v>
      </c>
      <c r="V63" s="178">
        <v>0</v>
      </c>
      <c r="W63" s="178">
        <v>0</v>
      </c>
      <c r="X63" s="178">
        <v>0</v>
      </c>
      <c r="Y63" s="178">
        <v>0</v>
      </c>
      <c r="Z63" s="178">
        <v>0</v>
      </c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81"/>
      <c r="BR63" s="81"/>
      <c r="BS63" s="81"/>
      <c r="BT63" s="81"/>
      <c r="BU63" s="81"/>
      <c r="BV63" s="81"/>
    </row>
    <row r="64" spans="1:74"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178">
        <v>0</v>
      </c>
      <c r="T64" s="178">
        <v>0</v>
      </c>
      <c r="U64" s="178">
        <v>0</v>
      </c>
      <c r="V64" s="178">
        <v>0</v>
      </c>
      <c r="W64" s="178">
        <v>0</v>
      </c>
      <c r="X64" s="178">
        <v>0</v>
      </c>
      <c r="Y64" s="178">
        <v>0</v>
      </c>
      <c r="Z64" s="178">
        <v>0</v>
      </c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</row>
    <row r="65" spans="2:74"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178">
        <v>0</v>
      </c>
      <c r="T65" s="178">
        <v>0</v>
      </c>
      <c r="U65" s="178">
        <v>0</v>
      </c>
      <c r="V65" s="178">
        <v>0</v>
      </c>
      <c r="W65" s="178">
        <v>0</v>
      </c>
      <c r="X65" s="178">
        <v>0</v>
      </c>
      <c r="Y65" s="178">
        <v>0</v>
      </c>
      <c r="Z65" s="178">
        <v>0</v>
      </c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1"/>
      <c r="BT65" s="81"/>
      <c r="BU65" s="81"/>
      <c r="BV65" s="81"/>
    </row>
    <row r="66" spans="2:74"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178">
        <v>0</v>
      </c>
      <c r="T66" s="178">
        <v>0</v>
      </c>
      <c r="U66" s="178">
        <v>0</v>
      </c>
      <c r="V66" s="178">
        <v>0</v>
      </c>
      <c r="W66" s="178">
        <v>0</v>
      </c>
      <c r="X66" s="178">
        <v>0</v>
      </c>
      <c r="Y66" s="178">
        <v>0</v>
      </c>
      <c r="Z66" s="178">
        <v>0</v>
      </c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81"/>
      <c r="BN66" s="81"/>
      <c r="BO66" s="81"/>
      <c r="BP66" s="81"/>
      <c r="BQ66" s="81"/>
      <c r="BR66" s="81"/>
      <c r="BS66" s="81"/>
      <c r="BT66" s="81"/>
      <c r="BU66" s="81"/>
      <c r="BV66" s="81"/>
    </row>
    <row r="67" spans="2:74">
      <c r="B67" s="81"/>
      <c r="C67" s="81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178">
        <v>0</v>
      </c>
      <c r="T67" s="178" t="s">
        <v>114</v>
      </c>
      <c r="U67" s="178">
        <v>0</v>
      </c>
      <c r="V67" s="178">
        <v>0</v>
      </c>
      <c r="W67" s="178">
        <v>0</v>
      </c>
      <c r="X67" s="178" t="s">
        <v>313</v>
      </c>
      <c r="Y67" s="178" t="e">
        <v>#VALUE!</v>
      </c>
      <c r="Z67" s="178" t="e">
        <v>#VALUE!</v>
      </c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</row>
    <row r="68" spans="2:74"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178">
        <v>0</v>
      </c>
      <c r="T68" s="178">
        <v>4352.4836617500005</v>
      </c>
      <c r="U68" s="178">
        <v>0</v>
      </c>
      <c r="V68" s="178">
        <v>0</v>
      </c>
      <c r="W68" s="178">
        <v>0</v>
      </c>
      <c r="X68" s="178">
        <v>4136.87</v>
      </c>
      <c r="Y68" s="178">
        <v>-4136.87</v>
      </c>
      <c r="Z68" s="178">
        <v>4352.4836617499996</v>
      </c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1"/>
      <c r="BP68" s="81"/>
      <c r="BQ68" s="81"/>
      <c r="BR68" s="81"/>
      <c r="BS68" s="81"/>
      <c r="BT68" s="81"/>
      <c r="BU68" s="81"/>
      <c r="BV68" s="81"/>
    </row>
    <row r="69" spans="2:74"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178">
        <v>0</v>
      </c>
      <c r="T69" s="178" t="s">
        <v>314</v>
      </c>
      <c r="U69" s="178">
        <v>0</v>
      </c>
      <c r="V69" s="178">
        <v>0</v>
      </c>
      <c r="W69" s="178">
        <v>0</v>
      </c>
      <c r="X69" s="178" t="s">
        <v>315</v>
      </c>
      <c r="Y69" s="178" t="e">
        <v>#VALUE!</v>
      </c>
      <c r="Z69" s="178" t="e">
        <v>#VALUE!</v>
      </c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</row>
    <row r="70" spans="2:74"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178">
        <v>0</v>
      </c>
      <c r="T70" s="178">
        <v>0</v>
      </c>
      <c r="U70" s="178">
        <v>0</v>
      </c>
      <c r="V70" s="178">
        <v>0</v>
      </c>
      <c r="W70" s="178">
        <v>0</v>
      </c>
      <c r="X70" s="178">
        <v>0</v>
      </c>
      <c r="Y70" s="178">
        <v>0</v>
      </c>
      <c r="Z70" s="178">
        <v>0</v>
      </c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81"/>
      <c r="BR70" s="81"/>
      <c r="BS70" s="81"/>
      <c r="BT70" s="81"/>
      <c r="BU70" s="81"/>
      <c r="BV70" s="81"/>
    </row>
    <row r="71" spans="2:74"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178">
        <v>0</v>
      </c>
      <c r="T71" s="178" t="s">
        <v>316</v>
      </c>
      <c r="U71" s="178">
        <v>0</v>
      </c>
      <c r="V71" s="178">
        <v>0</v>
      </c>
      <c r="W71" s="178">
        <v>0</v>
      </c>
      <c r="X71" s="178">
        <v>0</v>
      </c>
      <c r="Y71" s="178">
        <v>0</v>
      </c>
      <c r="Z71" s="178">
        <v>0</v>
      </c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1"/>
      <c r="BT71" s="81"/>
      <c r="BU71" s="81"/>
      <c r="BV71" s="81"/>
    </row>
    <row r="72" spans="2:74">
      <c r="B72" s="81"/>
      <c r="C72" s="81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178">
        <v>0</v>
      </c>
      <c r="T72" s="178">
        <v>0</v>
      </c>
      <c r="U72" s="178">
        <v>0</v>
      </c>
      <c r="V72" s="178">
        <v>0</v>
      </c>
      <c r="W72" s="178">
        <v>0</v>
      </c>
      <c r="X72" s="178">
        <v>0</v>
      </c>
      <c r="Y72" s="178">
        <v>0</v>
      </c>
      <c r="Z72" s="178">
        <v>0</v>
      </c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</row>
    <row r="73" spans="2:74">
      <c r="S73" s="178">
        <v>0</v>
      </c>
      <c r="T73" s="178">
        <v>0</v>
      </c>
      <c r="U73" s="178">
        <v>0</v>
      </c>
      <c r="V73" s="178">
        <v>0</v>
      </c>
      <c r="W73" s="178">
        <v>0</v>
      </c>
      <c r="X73" s="178">
        <v>0</v>
      </c>
      <c r="Y73" s="178">
        <v>0</v>
      </c>
      <c r="Z73" s="178">
        <v>0</v>
      </c>
    </row>
    <row r="74" spans="2:74">
      <c r="S74" s="178">
        <v>0</v>
      </c>
      <c r="T74" s="178">
        <v>0</v>
      </c>
      <c r="U74" s="178">
        <v>0</v>
      </c>
      <c r="V74" s="178">
        <v>0</v>
      </c>
      <c r="W74" s="178">
        <v>0</v>
      </c>
      <c r="X74" s="178">
        <v>0</v>
      </c>
      <c r="Y74" s="178">
        <v>0</v>
      </c>
      <c r="Z74" s="178">
        <v>0</v>
      </c>
    </row>
    <row r="75" spans="2:74">
      <c r="S75" s="178">
        <v>0</v>
      </c>
      <c r="T75" s="178">
        <v>0</v>
      </c>
      <c r="U75" s="178">
        <v>0</v>
      </c>
      <c r="V75" s="178">
        <v>0</v>
      </c>
      <c r="W75" s="178">
        <v>0</v>
      </c>
      <c r="X75" s="178">
        <v>0</v>
      </c>
      <c r="Y75" s="178">
        <v>0</v>
      </c>
      <c r="Z75" s="178">
        <v>0</v>
      </c>
    </row>
    <row r="76" spans="2:74"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178">
        <v>0</v>
      </c>
      <c r="T76" s="178">
        <v>0</v>
      </c>
      <c r="U76" s="178">
        <v>0</v>
      </c>
      <c r="V76" s="178">
        <v>0</v>
      </c>
      <c r="W76" s="178">
        <v>0</v>
      </c>
      <c r="X76" s="178">
        <v>0</v>
      </c>
      <c r="Y76" s="178">
        <v>0</v>
      </c>
      <c r="Z76" s="178">
        <v>0</v>
      </c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</row>
    <row r="77" spans="2:74"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178">
        <v>0</v>
      </c>
      <c r="T77" s="178">
        <v>0</v>
      </c>
      <c r="U77" s="178">
        <v>0</v>
      </c>
      <c r="V77" s="178">
        <v>0</v>
      </c>
      <c r="W77" s="178">
        <v>0</v>
      </c>
      <c r="X77" s="178">
        <v>0</v>
      </c>
      <c r="Y77" s="178">
        <v>0</v>
      </c>
      <c r="Z77" s="178">
        <v>0</v>
      </c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  <c r="BH77" s="81"/>
      <c r="BI77" s="81"/>
      <c r="BJ77" s="81"/>
      <c r="BK77" s="81"/>
      <c r="BL77" s="81"/>
      <c r="BM77" s="81"/>
      <c r="BN77" s="81"/>
      <c r="BO77" s="81"/>
      <c r="BP77" s="81"/>
      <c r="BQ77" s="81"/>
      <c r="BR77" s="81"/>
      <c r="BS77" s="81"/>
      <c r="BT77" s="81"/>
      <c r="BU77" s="81"/>
      <c r="BV77" s="81"/>
    </row>
    <row r="78" spans="2:74"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178">
        <v>0</v>
      </c>
      <c r="T78" s="178">
        <v>0</v>
      </c>
      <c r="U78" s="178">
        <v>0</v>
      </c>
      <c r="V78" s="178">
        <v>0</v>
      </c>
      <c r="W78" s="178">
        <v>0</v>
      </c>
      <c r="X78" s="178">
        <v>0</v>
      </c>
      <c r="Y78" s="178">
        <v>0</v>
      </c>
      <c r="Z78" s="178">
        <v>0</v>
      </c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  <c r="BM78" s="81"/>
      <c r="BN78" s="81"/>
      <c r="BO78" s="81"/>
      <c r="BP78" s="81"/>
      <c r="BQ78" s="81"/>
      <c r="BR78" s="81"/>
      <c r="BS78" s="81"/>
      <c r="BT78" s="81"/>
      <c r="BU78" s="81"/>
      <c r="BV78" s="81"/>
    </row>
    <row r="79" spans="2:74"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178">
        <v>0</v>
      </c>
      <c r="T79" s="178">
        <v>0</v>
      </c>
      <c r="U79" s="178">
        <v>0</v>
      </c>
      <c r="V79" s="178">
        <v>0</v>
      </c>
      <c r="W79" s="178">
        <v>0</v>
      </c>
      <c r="X79" s="178">
        <v>0</v>
      </c>
      <c r="Y79" s="178">
        <v>0</v>
      </c>
      <c r="Z79" s="178">
        <v>0</v>
      </c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/>
      <c r="BF79" s="81"/>
      <c r="BG79" s="81"/>
      <c r="BH79" s="81"/>
      <c r="BI79" s="81"/>
      <c r="BJ79" s="81"/>
      <c r="BK79" s="81"/>
      <c r="BL79" s="81"/>
      <c r="BM79" s="81"/>
      <c r="BN79" s="81"/>
      <c r="BO79" s="81"/>
      <c r="BP79" s="81"/>
      <c r="BQ79" s="81"/>
      <c r="BR79" s="81"/>
      <c r="BS79" s="81"/>
      <c r="BT79" s="81"/>
      <c r="BU79" s="81"/>
      <c r="BV79" s="81"/>
    </row>
    <row r="80" spans="2:74"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178">
        <v>0</v>
      </c>
      <c r="T80" s="178">
        <v>0</v>
      </c>
      <c r="U80" s="178">
        <v>0</v>
      </c>
      <c r="V80" s="178">
        <v>0</v>
      </c>
      <c r="W80" s="178">
        <v>0</v>
      </c>
      <c r="X80" s="178">
        <v>0</v>
      </c>
      <c r="Y80" s="178">
        <v>0</v>
      </c>
      <c r="Z80" s="178">
        <v>0</v>
      </c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</row>
    <row r="81" spans="2:74"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178">
        <v>0</v>
      </c>
      <c r="T81" s="178">
        <v>0</v>
      </c>
      <c r="U81" s="178">
        <v>0</v>
      </c>
      <c r="V81" s="178">
        <v>0</v>
      </c>
      <c r="W81" s="178">
        <v>0</v>
      </c>
      <c r="X81" s="178">
        <v>0</v>
      </c>
      <c r="Y81" s="178">
        <v>0</v>
      </c>
      <c r="Z81" s="178">
        <v>0</v>
      </c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</row>
    <row r="82" spans="2:74"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178">
        <v>0</v>
      </c>
      <c r="T82" s="178">
        <v>0</v>
      </c>
      <c r="U82" s="178">
        <v>0</v>
      </c>
      <c r="V82" s="178">
        <v>0</v>
      </c>
      <c r="W82" s="178">
        <v>0</v>
      </c>
      <c r="X82" s="178">
        <v>0</v>
      </c>
      <c r="Y82" s="178">
        <v>0</v>
      </c>
      <c r="Z82" s="178">
        <v>0</v>
      </c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</row>
    <row r="83" spans="2:74">
      <c r="S83" s="178">
        <v>0</v>
      </c>
      <c r="T83" s="178">
        <v>0</v>
      </c>
      <c r="U83" s="178">
        <v>0</v>
      </c>
      <c r="V83" s="178">
        <v>0</v>
      </c>
      <c r="W83" s="178">
        <v>0</v>
      </c>
      <c r="X83" s="178">
        <v>0</v>
      </c>
      <c r="Y83" s="178">
        <v>0</v>
      </c>
      <c r="Z83" s="178">
        <v>0</v>
      </c>
      <c r="BR83" s="81"/>
      <c r="BS83" s="81"/>
      <c r="BT83" s="81"/>
      <c r="BU83" s="81"/>
      <c r="BV83" s="81"/>
    </row>
    <row r="84" spans="2:74"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178">
        <v>0</v>
      </c>
      <c r="T84" s="178">
        <v>0</v>
      </c>
      <c r="U84" s="178">
        <v>0</v>
      </c>
      <c r="V84" s="178">
        <v>0</v>
      </c>
      <c r="W84" s="178">
        <v>0</v>
      </c>
      <c r="X84" s="178">
        <v>0</v>
      </c>
      <c r="Y84" s="178">
        <v>0</v>
      </c>
      <c r="Z84" s="178">
        <v>0</v>
      </c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</row>
    <row r="85" spans="2:74"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178">
        <v>0</v>
      </c>
      <c r="T85" s="178">
        <v>0</v>
      </c>
      <c r="U85" s="178">
        <v>0</v>
      </c>
      <c r="V85" s="178">
        <v>0</v>
      </c>
      <c r="W85" s="178">
        <v>0</v>
      </c>
      <c r="X85" s="178">
        <v>0</v>
      </c>
      <c r="Y85" s="178">
        <v>0</v>
      </c>
      <c r="Z85" s="178">
        <v>0</v>
      </c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</row>
    <row r="86" spans="2:74">
      <c r="S86" s="178">
        <v>0</v>
      </c>
      <c r="T86" s="178">
        <v>0</v>
      </c>
      <c r="U86" s="178">
        <v>0</v>
      </c>
      <c r="V86" s="178">
        <v>0</v>
      </c>
      <c r="W86" s="178">
        <v>0</v>
      </c>
      <c r="X86" s="178">
        <v>0</v>
      </c>
      <c r="Y86" s="178">
        <v>0</v>
      </c>
      <c r="Z86" s="178">
        <v>0</v>
      </c>
    </row>
    <row r="87" spans="2:74">
      <c r="S87" s="178">
        <v>0</v>
      </c>
      <c r="T87" s="178">
        <v>0</v>
      </c>
      <c r="U87" s="178">
        <v>0</v>
      </c>
      <c r="V87" s="178">
        <v>0</v>
      </c>
      <c r="W87" s="178">
        <v>0</v>
      </c>
      <c r="X87" s="178">
        <v>0</v>
      </c>
      <c r="Y87" s="178">
        <v>0</v>
      </c>
      <c r="Z87" s="178">
        <v>0</v>
      </c>
    </row>
    <row r="88" spans="2:74">
      <c r="S88" s="178">
        <v>0</v>
      </c>
      <c r="T88" s="178">
        <v>0</v>
      </c>
      <c r="U88" s="178">
        <v>0</v>
      </c>
      <c r="V88" s="178">
        <v>0</v>
      </c>
      <c r="W88" s="178">
        <v>0</v>
      </c>
      <c r="X88" s="178">
        <v>0</v>
      </c>
      <c r="Y88" s="178">
        <v>0</v>
      </c>
      <c r="Z88" s="178">
        <v>0</v>
      </c>
    </row>
    <row r="89" spans="2:74">
      <c r="S89" s="178">
        <v>0</v>
      </c>
      <c r="T89" s="178">
        <v>0</v>
      </c>
      <c r="U89" s="178">
        <v>0</v>
      </c>
      <c r="V89" s="178">
        <v>0</v>
      </c>
      <c r="W89" s="178">
        <v>0</v>
      </c>
      <c r="X89" s="178">
        <v>0</v>
      </c>
      <c r="Y89" s="178">
        <v>0</v>
      </c>
      <c r="Z89" s="178">
        <v>0</v>
      </c>
    </row>
    <row r="90" spans="2:74">
      <c r="S90" s="178">
        <v>0</v>
      </c>
      <c r="T90" s="178">
        <v>0</v>
      </c>
      <c r="U90" s="178">
        <v>0</v>
      </c>
      <c r="V90" s="178">
        <v>0</v>
      </c>
      <c r="W90" s="178">
        <v>0</v>
      </c>
      <c r="X90" s="178">
        <v>0</v>
      </c>
      <c r="Y90" s="178">
        <v>0</v>
      </c>
      <c r="Z90" s="178">
        <v>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R27"/>
  <sheetViews>
    <sheetView zoomScale="55" zoomScaleNormal="55" workbookViewId="0">
      <selection activeCell="A6" sqref="A6"/>
    </sheetView>
  </sheetViews>
  <sheetFormatPr defaultColWidth="8.7265625" defaultRowHeight="18.5"/>
  <cols>
    <col min="1" max="1" width="23.81640625" style="37" customWidth="1"/>
    <col min="2" max="2" width="47.81640625" style="37" bestFit="1" customWidth="1"/>
    <col min="3" max="3" width="47.81640625" style="37" customWidth="1"/>
    <col min="4" max="4" width="31.453125" style="37" bestFit="1" customWidth="1"/>
    <col min="5" max="5" width="12.54296875" style="37" bestFit="1" customWidth="1"/>
    <col min="6" max="12" width="14" style="37" bestFit="1" customWidth="1"/>
    <col min="13" max="17" width="12.54296875" style="37" bestFit="1" customWidth="1"/>
    <col min="18" max="24" width="14" style="37" bestFit="1" customWidth="1"/>
    <col min="25" max="29" width="12.54296875" style="37" bestFit="1" customWidth="1"/>
    <col min="30" max="35" width="14" style="37" bestFit="1" customWidth="1"/>
    <col min="36" max="42" width="12.54296875" style="37" bestFit="1" customWidth="1"/>
    <col min="43" max="49" width="14" style="37" bestFit="1" customWidth="1"/>
    <col min="50" max="52" width="12.54296875" style="37" bestFit="1" customWidth="1"/>
    <col min="53" max="61" width="14" style="37" bestFit="1" customWidth="1"/>
    <col min="62" max="63" width="12.54296875" style="37" bestFit="1" customWidth="1"/>
    <col min="64" max="64" width="7" style="37" bestFit="1" customWidth="1"/>
    <col min="65" max="16384" width="8.7265625" style="37"/>
  </cols>
  <sheetData>
    <row r="1" spans="1:18">
      <c r="C1" s="37" t="str">
        <f>'VGS forecast'!BZ19</f>
        <v>CY 2020 Total</v>
      </c>
      <c r="D1" s="37" t="str">
        <f>'VGS forecast'!CA19</f>
        <v>CY 2021 Total</v>
      </c>
      <c r="E1" s="37" t="str">
        <f>'VGS forecast'!CB19</f>
        <v>CY 2022 Total</v>
      </c>
      <c r="F1" s="37" t="str">
        <f>'VGS forecast'!CC19</f>
        <v>CY 2023 Total</v>
      </c>
    </row>
    <row r="2" spans="1:18">
      <c r="A2" s="37" t="s">
        <v>18</v>
      </c>
      <c r="C2" s="121">
        <f>'VGS forecast'!BS20</f>
        <v>3931986</v>
      </c>
      <c r="D2" s="121">
        <f>'VGS forecast'!BT20</f>
        <v>4003345</v>
      </c>
      <c r="E2" s="121">
        <f>'VGS forecast'!BU20</f>
        <v>4033258</v>
      </c>
      <c r="F2" s="121">
        <f>'VGS forecast'!BV20</f>
        <v>3967421</v>
      </c>
    </row>
    <row r="3" spans="1:18">
      <c r="A3" s="37" t="s">
        <v>19</v>
      </c>
      <c r="B3" s="47"/>
      <c r="C3" s="121">
        <f>C24</f>
        <v>189266.59816144611</v>
      </c>
      <c r="D3" s="121">
        <f>C3</f>
        <v>189266.59816144611</v>
      </c>
      <c r="E3" s="47">
        <f>C3</f>
        <v>189266.59816144611</v>
      </c>
      <c r="F3" s="47">
        <f>D3</f>
        <v>189266.59816144611</v>
      </c>
    </row>
    <row r="5" spans="1:18">
      <c r="A5" s="37" t="s">
        <v>317</v>
      </c>
      <c r="C5" s="120">
        <f>C3/C2</f>
        <v>4.8135114967715067E-2</v>
      </c>
      <c r="D5" s="120">
        <f>D3/D2</f>
        <v>4.7277114053734089E-2</v>
      </c>
      <c r="E5" s="120">
        <f>E3/E2</f>
        <v>4.6926479327988962E-2</v>
      </c>
      <c r="F5" s="120">
        <f>F3/F2</f>
        <v>4.7705196439058552E-2</v>
      </c>
    </row>
    <row r="6" spans="1:18">
      <c r="A6" s="37" t="s">
        <v>318</v>
      </c>
      <c r="C6" s="272">
        <f>(1-C5)</f>
        <v>0.95186488503228495</v>
      </c>
      <c r="D6" s="273">
        <f>(1-D5)</f>
        <v>0.95272288594626586</v>
      </c>
      <c r="E6" s="273">
        <f>(1-E5)</f>
        <v>0.95307352067201101</v>
      </c>
      <c r="F6" s="273">
        <f>(1-F5)</f>
        <v>0.95229480356094143</v>
      </c>
    </row>
    <row r="16" spans="1:18" customFormat="1" ht="14.5">
      <c r="D16" s="335"/>
      <c r="E16" s="336"/>
      <c r="F16" s="336"/>
      <c r="G16" s="336"/>
      <c r="H16" s="336"/>
      <c r="I16" s="336"/>
      <c r="J16" s="336"/>
      <c r="K16" s="336"/>
      <c r="L16" s="336"/>
      <c r="M16" s="336"/>
      <c r="N16" s="336"/>
      <c r="O16" s="102"/>
      <c r="P16" s="102"/>
      <c r="Q16" s="102"/>
      <c r="R16" s="102"/>
    </row>
    <row r="17" spans="1:18" s="94" customFormat="1" ht="14.5">
      <c r="A17" s="95" t="s">
        <v>319</v>
      </c>
      <c r="B17" s="95" t="s">
        <v>319</v>
      </c>
      <c r="C17" s="95" t="s">
        <v>63</v>
      </c>
      <c r="D17" s="97" t="s">
        <v>320</v>
      </c>
      <c r="E17" s="97" t="s">
        <v>321</v>
      </c>
      <c r="F17" s="97" t="s">
        <v>322</v>
      </c>
      <c r="G17" s="97" t="s">
        <v>323</v>
      </c>
      <c r="H17" s="97" t="s">
        <v>324</v>
      </c>
      <c r="I17" s="97" t="s">
        <v>325</v>
      </c>
      <c r="J17" s="97" t="s">
        <v>326</v>
      </c>
      <c r="K17" s="97" t="s">
        <v>281</v>
      </c>
      <c r="L17" s="97" t="s">
        <v>282</v>
      </c>
      <c r="M17" s="97" t="s">
        <v>283</v>
      </c>
      <c r="N17" s="97" t="s">
        <v>327</v>
      </c>
      <c r="O17" s="97" t="s">
        <v>328</v>
      </c>
      <c r="P17" s="97" t="s">
        <v>320</v>
      </c>
      <c r="Q17" s="97" t="s">
        <v>321</v>
      </c>
      <c r="R17" s="98" t="s">
        <v>322</v>
      </c>
    </row>
    <row r="19" spans="1:18" customFormat="1" ht="14.5">
      <c r="A19" t="s">
        <v>329</v>
      </c>
      <c r="B19" t="s">
        <v>330</v>
      </c>
      <c r="C19" s="8">
        <f>SUM(G19:R19)</f>
        <v>24511</v>
      </c>
      <c r="D19" s="99">
        <v>2069</v>
      </c>
      <c r="E19" s="99">
        <v>2032</v>
      </c>
      <c r="F19" s="99">
        <v>2185</v>
      </c>
      <c r="G19" s="99">
        <v>2521</v>
      </c>
      <c r="H19" s="100">
        <v>2176</v>
      </c>
      <c r="I19" s="100">
        <v>1967</v>
      </c>
      <c r="J19" s="100">
        <v>1948</v>
      </c>
      <c r="K19" s="100">
        <v>1909</v>
      </c>
      <c r="L19" s="100">
        <v>1935</v>
      </c>
      <c r="M19" s="100">
        <v>1861</v>
      </c>
      <c r="N19" s="100">
        <v>1782</v>
      </c>
      <c r="O19" s="8">
        <v>2126</v>
      </c>
      <c r="P19" s="8">
        <v>2069</v>
      </c>
      <c r="Q19" s="8">
        <v>2032</v>
      </c>
      <c r="R19" s="8">
        <v>2185</v>
      </c>
    </row>
    <row r="20" spans="1:18" customFormat="1" ht="14.5"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</row>
    <row r="21" spans="1:18">
      <c r="A21" s="37" t="s">
        <v>331</v>
      </c>
      <c r="B21" s="37" t="s">
        <v>331</v>
      </c>
      <c r="D21" s="96">
        <v>2.7961059325725239</v>
      </c>
      <c r="E21" s="96">
        <v>7.8934073500301229</v>
      </c>
      <c r="F21" s="96">
        <v>11.433276972797124</v>
      </c>
      <c r="G21" s="96">
        <v>14.367548538510775</v>
      </c>
      <c r="H21" s="96">
        <v>16.045734238933719</v>
      </c>
      <c r="I21" s="96">
        <v>12.531163611619105</v>
      </c>
      <c r="J21" s="96">
        <v>9.7805223785438002</v>
      </c>
      <c r="K21" s="96">
        <v>5.7932131901840487</v>
      </c>
      <c r="L21" s="96">
        <v>3.2413866130446873</v>
      </c>
      <c r="M21" s="96">
        <v>1.7685862861808883</v>
      </c>
      <c r="N21" s="96">
        <v>1.7523215016036333</v>
      </c>
      <c r="O21" s="9">
        <v>1.8239294489294489</v>
      </c>
      <c r="P21" s="9">
        <v>2.7961059325725239</v>
      </c>
      <c r="Q21" s="9">
        <v>7.8934073500301229</v>
      </c>
      <c r="R21" s="9">
        <v>11.433276972797124</v>
      </c>
    </row>
    <row r="22" spans="1:18"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</row>
    <row r="24" spans="1:18">
      <c r="A24" s="37" t="s">
        <v>332</v>
      </c>
      <c r="B24" s="37" t="s">
        <v>332</v>
      </c>
      <c r="C24" s="8">
        <f>SUM(G24:R24)</f>
        <v>189266.59816144611</v>
      </c>
      <c r="D24" s="96">
        <f t="shared" ref="D24:R24" si="0">D21*D19</f>
        <v>5785.1431744925521</v>
      </c>
      <c r="E24" s="96">
        <f t="shared" si="0"/>
        <v>16039.40373526121</v>
      </c>
      <c r="F24" s="96">
        <f t="shared" si="0"/>
        <v>24981.710185561715</v>
      </c>
      <c r="G24" s="96">
        <f>G21*G19</f>
        <v>36220.589865585665</v>
      </c>
      <c r="H24" s="96">
        <f t="shared" si="0"/>
        <v>34915.517703919773</v>
      </c>
      <c r="I24" s="96">
        <f t="shared" si="0"/>
        <v>24648.798824054778</v>
      </c>
      <c r="J24" s="96">
        <f t="shared" si="0"/>
        <v>19052.457593403324</v>
      </c>
      <c r="K24" s="96">
        <f t="shared" si="0"/>
        <v>11059.243980061348</v>
      </c>
      <c r="L24" s="96">
        <f t="shared" si="0"/>
        <v>6272.0830962414702</v>
      </c>
      <c r="M24" s="96">
        <f t="shared" si="0"/>
        <v>3291.3390785826332</v>
      </c>
      <c r="N24" s="96">
        <f t="shared" si="0"/>
        <v>3122.6369158576745</v>
      </c>
      <c r="O24" s="96">
        <f t="shared" si="0"/>
        <v>3877.6740084240082</v>
      </c>
      <c r="P24" s="96">
        <f t="shared" si="0"/>
        <v>5785.1431744925521</v>
      </c>
      <c r="Q24" s="96">
        <f t="shared" si="0"/>
        <v>16039.40373526121</v>
      </c>
      <c r="R24" s="96">
        <f t="shared" si="0"/>
        <v>24981.710185561715</v>
      </c>
    </row>
    <row r="27" spans="1:18">
      <c r="B27" s="37" t="s">
        <v>333</v>
      </c>
      <c r="C27" s="48">
        <f>C19/12</f>
        <v>2042.5833333333333</v>
      </c>
    </row>
  </sheetData>
  <mergeCells count="1">
    <mergeCell ref="D16:N1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1403E-E607-472D-A136-0828C0931B57}">
  <sheetPr>
    <tabColor rgb="FFFFFF00"/>
  </sheetPr>
  <dimension ref="A1:AK269"/>
  <sheetViews>
    <sheetView zoomScale="80" zoomScaleNormal="80" workbookViewId="0">
      <pane ySplit="2" topLeftCell="A65" activePane="bottomLeft" state="frozen"/>
      <selection pane="bottomLeft" activeCell="E80" sqref="E80"/>
    </sheetView>
  </sheetViews>
  <sheetFormatPr defaultRowHeight="14.5"/>
  <cols>
    <col min="1" max="1" width="10.54296875" customWidth="1"/>
    <col min="2" max="2" width="27.81640625" customWidth="1"/>
    <col min="3" max="3" width="13.81640625" customWidth="1"/>
    <col min="4" max="4" width="8.453125" customWidth="1"/>
    <col min="5" max="5" width="15" bestFit="1" customWidth="1"/>
    <col min="6" max="6" width="15.26953125" bestFit="1" customWidth="1"/>
    <col min="7" max="7" width="14.81640625" customWidth="1"/>
    <col min="8" max="8" width="13.54296875" bestFit="1" customWidth="1"/>
    <col min="9" max="9" width="15.453125" customWidth="1"/>
    <col min="10" max="10" width="13.7265625" customWidth="1"/>
    <col min="11" max="11" width="16.26953125" bestFit="1" customWidth="1"/>
    <col min="12" max="14" width="13.26953125" bestFit="1" customWidth="1"/>
    <col min="15" max="25" width="14.81640625" customWidth="1"/>
    <col min="26" max="27" width="12.1796875" hidden="1" customWidth="1"/>
    <col min="28" max="35" width="11.54296875" hidden="1" customWidth="1"/>
  </cols>
  <sheetData>
    <row r="1" spans="1:35" ht="15.5">
      <c r="A1" s="182" t="s">
        <v>138</v>
      </c>
      <c r="K1" s="8"/>
      <c r="L1" s="8">
        <f t="shared" ref="L1:Y1" si="0">K75-L73-L75</f>
        <v>-2913286.9081592113</v>
      </c>
      <c r="M1" s="8">
        <f t="shared" si="0"/>
        <v>-2414799.8669416085</v>
      </c>
      <c r="N1" s="8">
        <f t="shared" si="0"/>
        <v>-2091465.502948625</v>
      </c>
      <c r="O1" s="8">
        <f t="shared" si="0"/>
        <v>-1693283.1698812693</v>
      </c>
      <c r="P1" s="8">
        <f t="shared" si="0"/>
        <v>-1645404.0090928599</v>
      </c>
      <c r="Q1" s="8">
        <f t="shared" si="0"/>
        <v>-1551248.2943073269</v>
      </c>
      <c r="R1" s="8">
        <f t="shared" si="0"/>
        <v>-1435923.671731811</v>
      </c>
      <c r="S1" s="8">
        <f t="shared" si="0"/>
        <v>-1324541.0361451413</v>
      </c>
      <c r="T1" s="8">
        <f t="shared" si="0"/>
        <v>-1167214.6280270554</v>
      </c>
      <c r="U1" s="8">
        <f t="shared" si="0"/>
        <v>-914062.13360594027</v>
      </c>
      <c r="V1" s="8">
        <f t="shared" si="0"/>
        <v>-665204.78791253269</v>
      </c>
      <c r="W1" s="8">
        <f t="shared" si="0"/>
        <v>-320767.48092961498</v>
      </c>
      <c r="X1" s="8">
        <f t="shared" si="0"/>
        <v>0.13306954503059387</v>
      </c>
      <c r="Y1" s="8">
        <f t="shared" si="0"/>
        <v>-0.4771015290170908</v>
      </c>
    </row>
    <row r="2" spans="1:35">
      <c r="C2" s="17"/>
      <c r="E2" s="11">
        <v>2020</v>
      </c>
      <c r="F2" s="11">
        <v>2021</v>
      </c>
      <c r="G2" s="11">
        <v>2022</v>
      </c>
      <c r="H2" s="11">
        <v>2023</v>
      </c>
      <c r="I2" s="11">
        <v>2024</v>
      </c>
      <c r="J2" s="11">
        <v>2025</v>
      </c>
      <c r="K2" s="11">
        <v>2026</v>
      </c>
      <c r="L2" s="11">
        <v>2027</v>
      </c>
      <c r="M2" s="11">
        <v>2028</v>
      </c>
      <c r="N2" s="11">
        <v>2029</v>
      </c>
      <c r="O2" s="11">
        <v>2030</v>
      </c>
      <c r="P2" s="11">
        <v>2031</v>
      </c>
      <c r="Q2" s="11">
        <v>2032</v>
      </c>
      <c r="R2" s="11">
        <v>2033</v>
      </c>
      <c r="S2" s="11">
        <v>2034</v>
      </c>
      <c r="T2" s="11">
        <v>2035</v>
      </c>
      <c r="U2" s="11">
        <v>2036</v>
      </c>
      <c r="V2" s="11">
        <v>2037</v>
      </c>
      <c r="W2" s="11">
        <v>2038</v>
      </c>
      <c r="X2" s="11">
        <v>2039</v>
      </c>
      <c r="Y2" s="11">
        <v>2040</v>
      </c>
      <c r="Z2" s="11">
        <v>2041</v>
      </c>
      <c r="AA2" s="11">
        <v>2042</v>
      </c>
      <c r="AB2" s="11">
        <v>2043</v>
      </c>
      <c r="AC2" s="11">
        <v>2044</v>
      </c>
      <c r="AD2" s="11">
        <v>2045</v>
      </c>
      <c r="AE2" s="11">
        <v>2046</v>
      </c>
      <c r="AF2" s="11">
        <v>2047</v>
      </c>
      <c r="AG2" s="11">
        <v>2048</v>
      </c>
      <c r="AH2" s="11">
        <v>2049</v>
      </c>
      <c r="AI2" s="11">
        <v>2050</v>
      </c>
    </row>
    <row r="3" spans="1:35">
      <c r="A3" s="183" t="s">
        <v>139</v>
      </c>
      <c r="C3" s="17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</row>
    <row r="4" spans="1:35">
      <c r="A4" s="183"/>
      <c r="B4" s="14" t="s">
        <v>140</v>
      </c>
      <c r="C4" s="17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35">
      <c r="A5" s="183"/>
      <c r="B5" t="s">
        <v>141</v>
      </c>
      <c r="C5" s="17"/>
      <c r="E5" s="184">
        <v>47295.583333333336</v>
      </c>
      <c r="F5" s="184">
        <v>47894.916666666664</v>
      </c>
      <c r="G5" s="184">
        <v>48513.916666666664</v>
      </c>
      <c r="H5" s="184">
        <v>49139.083333333336</v>
      </c>
      <c r="I5" s="184">
        <v>49770.666666666664</v>
      </c>
      <c r="J5" s="184">
        <v>50091.666666666664</v>
      </c>
      <c r="K5" s="184">
        <v>50411.666666666664</v>
      </c>
      <c r="L5" s="184">
        <v>50730.666666666664</v>
      </c>
      <c r="M5" s="184">
        <v>51048.666666666664</v>
      </c>
      <c r="N5" s="184">
        <v>51365.666666666664</v>
      </c>
      <c r="O5" s="184">
        <v>51681.666666666664</v>
      </c>
      <c r="P5" s="184">
        <v>51910.666666666664</v>
      </c>
      <c r="Q5" s="184">
        <v>52138.666666666664</v>
      </c>
      <c r="R5" s="184">
        <v>52365.666666666664</v>
      </c>
      <c r="S5" s="184">
        <v>52591.666666666664</v>
      </c>
      <c r="T5" s="184">
        <v>52816.666666666664</v>
      </c>
      <c r="U5" s="184">
        <v>53040.666666666664</v>
      </c>
      <c r="V5" s="184">
        <v>53263.666666666664</v>
      </c>
      <c r="W5" s="184">
        <v>53485.666666666664</v>
      </c>
      <c r="X5" s="184">
        <v>53706.666666666664</v>
      </c>
      <c r="Y5" s="184">
        <v>53926.666666666664</v>
      </c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35">
      <c r="A6" s="183"/>
      <c r="B6" t="s">
        <v>142</v>
      </c>
      <c r="C6" s="17"/>
      <c r="E6" s="184">
        <v>4052.3333333333335</v>
      </c>
      <c r="F6" s="184">
        <v>4140</v>
      </c>
      <c r="G6" s="184">
        <v>4222.083333333333</v>
      </c>
      <c r="H6" s="184">
        <v>4297.5</v>
      </c>
      <c r="I6" s="184">
        <v>4365.916666666667</v>
      </c>
      <c r="J6" s="184">
        <v>4404.916666666667</v>
      </c>
      <c r="K6" s="184">
        <v>4443.916666666667</v>
      </c>
      <c r="L6" s="184">
        <v>4482.916666666667</v>
      </c>
      <c r="M6" s="184">
        <v>4521.916666666667</v>
      </c>
      <c r="N6" s="184">
        <v>4560.916666666667</v>
      </c>
      <c r="O6" s="184">
        <v>4599.916666666667</v>
      </c>
      <c r="P6" s="184">
        <v>4627.916666666667</v>
      </c>
      <c r="Q6" s="184">
        <v>4655.916666666667</v>
      </c>
      <c r="R6" s="184">
        <v>4683.916666666667</v>
      </c>
      <c r="S6" s="184">
        <v>4711.916666666667</v>
      </c>
      <c r="T6" s="184">
        <v>4739.916666666667</v>
      </c>
      <c r="U6" s="184">
        <v>4767.916666666667</v>
      </c>
      <c r="V6" s="184">
        <v>4795.916666666667</v>
      </c>
      <c r="W6" s="184">
        <v>4823.916666666667</v>
      </c>
      <c r="X6" s="184">
        <v>4851.916666666667</v>
      </c>
      <c r="Y6" s="184">
        <v>4879.916666666667</v>
      </c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>
      <c r="A7" s="183"/>
      <c r="B7" t="s">
        <v>143</v>
      </c>
      <c r="C7" s="17"/>
      <c r="E7" s="184">
        <v>992.75</v>
      </c>
      <c r="F7" s="184">
        <v>994.75</v>
      </c>
      <c r="G7" s="184">
        <v>996.75</v>
      </c>
      <c r="H7" s="184">
        <v>998.75</v>
      </c>
      <c r="I7" s="184">
        <v>1000.75</v>
      </c>
      <c r="J7" s="184">
        <v>1001.75</v>
      </c>
      <c r="K7" s="184">
        <v>1002.75</v>
      </c>
      <c r="L7" s="184">
        <v>1003.75</v>
      </c>
      <c r="M7" s="184">
        <v>1004.75</v>
      </c>
      <c r="N7" s="184">
        <v>1005.75</v>
      </c>
      <c r="O7" s="184">
        <v>1006.75</v>
      </c>
      <c r="P7" s="184">
        <v>1007.75</v>
      </c>
      <c r="Q7" s="184">
        <v>1008.75</v>
      </c>
      <c r="R7" s="184">
        <v>1009.75</v>
      </c>
      <c r="S7" s="184">
        <v>1010.75</v>
      </c>
      <c r="T7" s="184">
        <v>1011.75</v>
      </c>
      <c r="U7" s="184">
        <v>1012.75</v>
      </c>
      <c r="V7" s="184">
        <v>1013.75</v>
      </c>
      <c r="W7" s="184">
        <v>1014.75</v>
      </c>
      <c r="X7" s="184">
        <v>1015.75</v>
      </c>
      <c r="Y7" s="184">
        <v>1016.75</v>
      </c>
      <c r="Z7" s="11"/>
      <c r="AA7" s="11"/>
      <c r="AB7" s="11"/>
      <c r="AC7" s="11"/>
      <c r="AD7" s="11"/>
      <c r="AE7" s="11"/>
      <c r="AF7" s="11"/>
      <c r="AG7" s="11"/>
      <c r="AH7" s="11"/>
      <c r="AI7" s="11"/>
    </row>
    <row r="8" spans="1:35">
      <c r="A8" s="183"/>
      <c r="B8" t="s">
        <v>144</v>
      </c>
      <c r="C8" s="17"/>
      <c r="E8" s="184">
        <v>491.25</v>
      </c>
      <c r="F8" s="184">
        <v>497.33333333333331</v>
      </c>
      <c r="G8" s="184">
        <v>503.33333333333331</v>
      </c>
      <c r="H8" s="184">
        <v>509.33333333333331</v>
      </c>
      <c r="I8" s="184">
        <v>515.33333333333337</v>
      </c>
      <c r="J8" s="184">
        <v>516.33333333333337</v>
      </c>
      <c r="K8" s="184">
        <v>517.33333333333337</v>
      </c>
      <c r="L8" s="184">
        <v>518.33333333333337</v>
      </c>
      <c r="M8" s="184">
        <v>519.33333333333337</v>
      </c>
      <c r="N8" s="184">
        <v>520.33333333333337</v>
      </c>
      <c r="O8" s="184">
        <v>521.33333333333337</v>
      </c>
      <c r="P8" s="184">
        <v>521.33333333333337</v>
      </c>
      <c r="Q8" s="184">
        <v>521.33333333333337</v>
      </c>
      <c r="R8" s="184">
        <v>521.33333333333337</v>
      </c>
      <c r="S8" s="184">
        <v>521.33333333333337</v>
      </c>
      <c r="T8" s="184">
        <v>521.33333333333337</v>
      </c>
      <c r="U8" s="184">
        <v>521.33333333333337</v>
      </c>
      <c r="V8" s="184">
        <v>521.33333333333337</v>
      </c>
      <c r="W8" s="184">
        <v>521.33333333333337</v>
      </c>
      <c r="X8" s="184">
        <v>521.33333333333337</v>
      </c>
      <c r="Y8" s="184">
        <v>521.33333333333337</v>
      </c>
      <c r="Z8" s="11"/>
      <c r="AA8" s="11"/>
      <c r="AB8" s="11"/>
      <c r="AC8" s="11"/>
      <c r="AD8" s="11"/>
      <c r="AE8" s="11"/>
      <c r="AF8" s="11"/>
      <c r="AG8" s="11"/>
      <c r="AH8" s="11"/>
      <c r="AI8" s="11"/>
    </row>
    <row r="9" spans="1:35">
      <c r="A9" s="183"/>
      <c r="B9" t="s">
        <v>145</v>
      </c>
      <c r="C9" s="17"/>
      <c r="E9" s="184">
        <v>543.58333333333337</v>
      </c>
      <c r="F9" s="184">
        <v>549.58333333333337</v>
      </c>
      <c r="G9" s="184">
        <v>554.66666666666663</v>
      </c>
      <c r="H9" s="184">
        <v>559.66666666666663</v>
      </c>
      <c r="I9" s="184">
        <v>564.66666666666663</v>
      </c>
      <c r="J9" s="184">
        <v>566.66666666666663</v>
      </c>
      <c r="K9" s="184">
        <v>568.66666666666663</v>
      </c>
      <c r="L9" s="184">
        <v>570.66666666666663</v>
      </c>
      <c r="M9" s="184">
        <v>572.66666666666663</v>
      </c>
      <c r="N9" s="184">
        <v>574.66666666666663</v>
      </c>
      <c r="O9" s="184">
        <v>576.66666666666663</v>
      </c>
      <c r="P9" s="184">
        <v>577.66666666666663</v>
      </c>
      <c r="Q9" s="184">
        <v>578.66666666666663</v>
      </c>
      <c r="R9" s="184">
        <v>579.66666666666663</v>
      </c>
      <c r="S9" s="184">
        <v>580.66666666666663</v>
      </c>
      <c r="T9" s="184">
        <v>581.66666666666663</v>
      </c>
      <c r="U9" s="184">
        <v>582.66666666666663</v>
      </c>
      <c r="V9" s="184">
        <v>583.66666666666663</v>
      </c>
      <c r="W9" s="184">
        <v>584.66666666666663</v>
      </c>
      <c r="X9" s="184">
        <v>585.66666666666663</v>
      </c>
      <c r="Y9" s="184">
        <v>586.66666666666663</v>
      </c>
      <c r="Z9" s="11"/>
      <c r="AA9" s="11"/>
      <c r="AB9" s="11"/>
      <c r="AC9" s="11"/>
      <c r="AD9" s="11"/>
      <c r="AE9" s="11"/>
      <c r="AF9" s="11"/>
      <c r="AG9" s="11"/>
      <c r="AH9" s="11"/>
      <c r="AI9" s="11"/>
    </row>
    <row r="10" spans="1:35">
      <c r="A10" s="183"/>
      <c r="B10" t="s">
        <v>361</v>
      </c>
      <c r="C10" s="17"/>
      <c r="E10" s="184">
        <v>44</v>
      </c>
      <c r="F10" s="184">
        <v>44</v>
      </c>
      <c r="G10" s="184">
        <v>44</v>
      </c>
      <c r="H10" s="184">
        <v>44</v>
      </c>
      <c r="I10" s="184">
        <v>44</v>
      </c>
      <c r="J10" s="184">
        <v>44</v>
      </c>
      <c r="K10" s="184">
        <v>44</v>
      </c>
      <c r="L10" s="184">
        <v>44</v>
      </c>
      <c r="M10" s="184">
        <v>44</v>
      </c>
      <c r="N10" s="184">
        <v>44</v>
      </c>
      <c r="O10" s="184">
        <v>44</v>
      </c>
      <c r="P10" s="184">
        <v>44</v>
      </c>
      <c r="Q10" s="184">
        <v>44</v>
      </c>
      <c r="R10" s="184">
        <v>44</v>
      </c>
      <c r="S10" s="184">
        <v>44</v>
      </c>
      <c r="T10" s="184">
        <v>44</v>
      </c>
      <c r="U10" s="184">
        <v>44</v>
      </c>
      <c r="V10" s="184">
        <v>44</v>
      </c>
      <c r="W10" s="184">
        <v>44</v>
      </c>
      <c r="X10" s="184">
        <v>44</v>
      </c>
      <c r="Y10" s="184">
        <v>44</v>
      </c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>
      <c r="A11" s="183"/>
      <c r="B11" t="s">
        <v>97</v>
      </c>
      <c r="C11" s="17"/>
      <c r="E11" s="185">
        <f>SUM(E5:E10)</f>
        <v>53419.500000000007</v>
      </c>
      <c r="F11" s="185">
        <f t="shared" ref="F11:Y11" si="1">SUM(F5:F10)</f>
        <v>54120.583333333336</v>
      </c>
      <c r="G11" s="185">
        <f t="shared" si="1"/>
        <v>54834.75</v>
      </c>
      <c r="H11" s="185">
        <f t="shared" si="1"/>
        <v>55548.333333333336</v>
      </c>
      <c r="I11" s="185">
        <f t="shared" si="1"/>
        <v>56261.333333333328</v>
      </c>
      <c r="J11" s="185">
        <f t="shared" si="1"/>
        <v>56625.333333333328</v>
      </c>
      <c r="K11" s="185">
        <f t="shared" si="1"/>
        <v>56988.333333333328</v>
      </c>
      <c r="L11" s="185">
        <f t="shared" si="1"/>
        <v>57350.333333333328</v>
      </c>
      <c r="M11" s="185">
        <f t="shared" si="1"/>
        <v>57711.333333333328</v>
      </c>
      <c r="N11" s="185">
        <f t="shared" si="1"/>
        <v>58071.333333333328</v>
      </c>
      <c r="O11" s="185">
        <f t="shared" si="1"/>
        <v>58430.333333333328</v>
      </c>
      <c r="P11" s="185">
        <f t="shared" si="1"/>
        <v>58689.333333333328</v>
      </c>
      <c r="Q11" s="185">
        <f t="shared" si="1"/>
        <v>58947.333333333328</v>
      </c>
      <c r="R11" s="185">
        <f t="shared" si="1"/>
        <v>59204.333333333328</v>
      </c>
      <c r="S11" s="185">
        <f t="shared" si="1"/>
        <v>59460.333333333328</v>
      </c>
      <c r="T11" s="185">
        <f t="shared" si="1"/>
        <v>59715.333333333328</v>
      </c>
      <c r="U11" s="185">
        <f t="shared" si="1"/>
        <v>59969.333333333328</v>
      </c>
      <c r="V11" s="185">
        <f t="shared" si="1"/>
        <v>60222.333333333328</v>
      </c>
      <c r="W11" s="185">
        <f t="shared" si="1"/>
        <v>60474.333333333328</v>
      </c>
      <c r="X11" s="185">
        <f t="shared" si="1"/>
        <v>60725.333333333328</v>
      </c>
      <c r="Y11" s="185">
        <f t="shared" si="1"/>
        <v>60975.333333333328</v>
      </c>
      <c r="Z11" s="11"/>
      <c r="AA11" s="11"/>
      <c r="AB11" s="11"/>
      <c r="AC11" s="11"/>
      <c r="AD11" s="11"/>
      <c r="AE11" s="11"/>
      <c r="AF11" s="11"/>
      <c r="AG11" s="11"/>
      <c r="AH11" s="11"/>
      <c r="AI11" s="11"/>
    </row>
    <row r="12" spans="1:35">
      <c r="A12" s="183"/>
      <c r="C12" s="17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</row>
    <row r="13" spans="1:35">
      <c r="B13" s="17" t="s">
        <v>146</v>
      </c>
      <c r="C13" s="17"/>
      <c r="E13" s="11"/>
      <c r="F13" s="11">
        <v>2021</v>
      </c>
      <c r="G13" s="11">
        <v>2022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</row>
    <row r="14" spans="1:35">
      <c r="B14" t="s">
        <v>141</v>
      </c>
      <c r="C14" s="17"/>
      <c r="E14" s="165">
        <v>3930386</v>
      </c>
      <c r="F14" s="165">
        <v>3944431</v>
      </c>
      <c r="G14" s="165">
        <v>3968942</v>
      </c>
      <c r="H14" s="165">
        <v>4007350</v>
      </c>
      <c r="I14" s="165">
        <v>4039510</v>
      </c>
      <c r="J14" s="165">
        <v>4053985.3148460314</v>
      </c>
      <c r="K14" s="165">
        <v>4059345.0773065877</v>
      </c>
      <c r="L14" s="165">
        <v>4064493.9443492983</v>
      </c>
      <c r="M14" s="165">
        <v>4069433.5454626074</v>
      </c>
      <c r="N14" s="165">
        <v>4074165.4898017314</v>
      </c>
      <c r="O14" s="165">
        <v>4078691.3666289584</v>
      </c>
      <c r="P14" s="165">
        <v>4076225.6686178478</v>
      </c>
      <c r="Q14" s="165">
        <v>4073590.8437460805</v>
      </c>
      <c r="R14" s="165">
        <v>4070788.0760487877</v>
      </c>
      <c r="S14" s="165">
        <v>4067818.5392731358</v>
      </c>
      <c r="T14" s="165">
        <v>4064683.3970561847</v>
      </c>
      <c r="U14" s="165">
        <v>4061383.8030987289</v>
      </c>
      <c r="V14" s="165">
        <v>4057920.9013352534</v>
      </c>
      <c r="W14" s="165">
        <v>4054295.8261001022</v>
      </c>
      <c r="X14" s="165">
        <v>4050509.7022899706</v>
      </c>
      <c r="Y14" s="165">
        <v>4046563.6455228352</v>
      </c>
      <c r="Z14" s="165">
        <v>4042458.7622934012</v>
      </c>
      <c r="AA14" s="165">
        <v>4038196.1501251822</v>
      </c>
      <c r="AB14" s="165">
        <v>4033776.8977192952</v>
      </c>
      <c r="AC14" s="165">
        <v>4029202.0851000673</v>
      </c>
      <c r="AD14" s="165">
        <v>4024472.7837575395</v>
      </c>
      <c r="AE14" s="165">
        <v>4019590.056786947</v>
      </c>
      <c r="AF14" s="165">
        <v>4014554.9590252643</v>
      </c>
      <c r="AG14" s="165">
        <v>4009368.5371848969</v>
      </c>
      <c r="AH14" s="165">
        <v>4004031.8299845834</v>
      </c>
      <c r="AI14" s="165">
        <v>3998545.8682776</v>
      </c>
    </row>
    <row r="15" spans="1:35">
      <c r="B15" t="s">
        <v>142</v>
      </c>
      <c r="C15" s="18"/>
      <c r="E15" s="165">
        <v>615890</v>
      </c>
      <c r="F15" s="165">
        <v>623497</v>
      </c>
      <c r="G15" s="165">
        <v>631228</v>
      </c>
      <c r="H15" s="165">
        <v>639276</v>
      </c>
      <c r="I15" s="165">
        <v>647769</v>
      </c>
      <c r="J15" s="165">
        <v>648623.01829810103</v>
      </c>
      <c r="K15" s="165">
        <v>650456.84235142509</v>
      </c>
      <c r="L15" s="165">
        <v>652256.36158052087</v>
      </c>
      <c r="M15" s="165">
        <v>654021.87442683673</v>
      </c>
      <c r="N15" s="165">
        <v>655753.67418390885</v>
      </c>
      <c r="O15" s="165">
        <v>657452.04912941833</v>
      </c>
      <c r="P15" s="165">
        <v>657545.08622738137</v>
      </c>
      <c r="Q15" s="165">
        <v>657614.47344221396</v>
      </c>
      <c r="R15" s="165">
        <v>657660.35300084518</v>
      </c>
      <c r="S15" s="165">
        <v>657682.86542976589</v>
      </c>
      <c r="T15" s="165">
        <v>657682.14958534355</v>
      </c>
      <c r="U15" s="165">
        <v>657658.34268341959</v>
      </c>
      <c r="V15" s="165">
        <v>657611.58032821189</v>
      </c>
      <c r="W15" s="165">
        <v>657541.99654054176</v>
      </c>
      <c r="X15" s="165">
        <v>657449.72378540691</v>
      </c>
      <c r="Y15" s="165">
        <v>657334.8929989161</v>
      </c>
      <c r="Z15" s="165">
        <v>657197.63361460716</v>
      </c>
      <c r="AA15" s="165">
        <v>657038.07358916337</v>
      </c>
      <c r="AB15" s="165">
        <v>656856.33942754718</v>
      </c>
      <c r="AC15" s="165">
        <v>656652.55620756559</v>
      </c>
      <c r="AD15" s="165">
        <v>656426.84760388662</v>
      </c>
      <c r="AE15" s="165">
        <v>656179.33591151692</v>
      </c>
      <c r="AF15" s="165">
        <v>655910.14206876117</v>
      </c>
      <c r="AG15" s="165">
        <v>655619.38567967317</v>
      </c>
      <c r="AH15" s="165">
        <v>655307.18503601546</v>
      </c>
      <c r="AI15" s="165">
        <v>654973.65713873855</v>
      </c>
    </row>
    <row r="16" spans="1:35">
      <c r="B16" t="s">
        <v>143</v>
      </c>
      <c r="C16" s="18"/>
      <c r="E16" s="165">
        <v>199829</v>
      </c>
      <c r="F16" s="165">
        <v>199565</v>
      </c>
      <c r="G16" s="165">
        <v>199633</v>
      </c>
      <c r="H16" s="165">
        <v>199494</v>
      </c>
      <c r="I16" s="165">
        <v>199975</v>
      </c>
      <c r="J16" s="165">
        <v>199607.11144671935</v>
      </c>
      <c r="K16" s="165">
        <v>199415.47811201066</v>
      </c>
      <c r="L16" s="165">
        <v>199223.45495756232</v>
      </c>
      <c r="M16" s="165">
        <v>199031.04237173768</v>
      </c>
      <c r="N16" s="165">
        <v>198838.24074212709</v>
      </c>
      <c r="O16" s="165">
        <v>198645.05045555011</v>
      </c>
      <c r="P16" s="165">
        <v>198451.47189805791</v>
      </c>
      <c r="Q16" s="165">
        <v>198257.50545493537</v>
      </c>
      <c r="R16" s="165">
        <v>198063.15151070361</v>
      </c>
      <c r="S16" s="165">
        <v>197868.41044912208</v>
      </c>
      <c r="T16" s="165">
        <v>197673.28265319086</v>
      </c>
      <c r="U16" s="165">
        <v>197477.76850515296</v>
      </c>
      <c r="V16" s="165">
        <v>197281.8683864965</v>
      </c>
      <c r="W16" s="165">
        <v>197085.58267795699</v>
      </c>
      <c r="X16" s="165">
        <v>196888.91175951954</v>
      </c>
      <c r="Y16" s="165">
        <v>196691.85601042106</v>
      </c>
      <c r="Z16" s="165">
        <v>196494.4158091525</v>
      </c>
      <c r="AA16" s="165">
        <v>196296.591533461</v>
      </c>
      <c r="AB16" s="165">
        <v>196098.38356035214</v>
      </c>
      <c r="AC16" s="165">
        <v>195899.79226609209</v>
      </c>
      <c r="AD16" s="165">
        <v>195700.81802620974</v>
      </c>
      <c r="AE16" s="165">
        <v>195501.46121549897</v>
      </c>
      <c r="AF16" s="165">
        <v>195301.72220802071</v>
      </c>
      <c r="AG16" s="165">
        <v>195101.60137710517</v>
      </c>
      <c r="AH16" s="165">
        <v>194901.09909535386</v>
      </c>
      <c r="AI16" s="165">
        <v>194700.21573464185</v>
      </c>
    </row>
    <row r="17" spans="2:36">
      <c r="B17" t="s">
        <v>144</v>
      </c>
      <c r="C17" s="18"/>
      <c r="E17" s="165">
        <v>702375</v>
      </c>
      <c r="F17" s="165">
        <v>702614</v>
      </c>
      <c r="G17" s="165">
        <v>705002</v>
      </c>
      <c r="H17" s="165">
        <v>707709</v>
      </c>
      <c r="I17" s="165">
        <v>712776</v>
      </c>
      <c r="J17" s="165">
        <v>707338.90141022112</v>
      </c>
      <c r="K17" s="165">
        <v>702845.45210989984</v>
      </c>
      <c r="L17" s="165">
        <v>698340.66896391008</v>
      </c>
      <c r="M17" s="165">
        <v>693824.57383819227</v>
      </c>
      <c r="N17" s="165">
        <v>689297.18851447874</v>
      </c>
      <c r="O17" s="165">
        <v>684758.53469077975</v>
      </c>
      <c r="P17" s="165">
        <v>678895.15853169106</v>
      </c>
      <c r="Q17" s="165">
        <v>673031.78237260238</v>
      </c>
      <c r="R17" s="165">
        <v>667168.40621351369</v>
      </c>
      <c r="S17" s="165">
        <v>661305.03005442501</v>
      </c>
      <c r="T17" s="165">
        <v>655441.65389533632</v>
      </c>
      <c r="U17" s="165">
        <v>649578.27773624763</v>
      </c>
      <c r="V17" s="165">
        <v>643714.90157715895</v>
      </c>
      <c r="W17" s="165">
        <v>637851.52541807026</v>
      </c>
      <c r="X17" s="165">
        <v>631988.14925898158</v>
      </c>
      <c r="Y17" s="165">
        <v>626124.77309989289</v>
      </c>
      <c r="Z17" s="165">
        <v>620261.3969408042</v>
      </c>
      <c r="AA17" s="165">
        <v>614398.02078171552</v>
      </c>
      <c r="AB17" s="165">
        <v>608534.64462262683</v>
      </c>
      <c r="AC17" s="165">
        <v>602671.26846353814</v>
      </c>
      <c r="AD17" s="165">
        <v>596807.89230444946</v>
      </c>
      <c r="AE17" s="165">
        <v>590944.51614536077</v>
      </c>
      <c r="AF17" s="165">
        <v>585081.13998627209</v>
      </c>
      <c r="AG17" s="165">
        <v>579217.7638271834</v>
      </c>
      <c r="AH17" s="165">
        <v>573354.38766809471</v>
      </c>
      <c r="AI17" s="165">
        <v>567491.01150900603</v>
      </c>
    </row>
    <row r="18" spans="2:36">
      <c r="B18" t="s">
        <v>145</v>
      </c>
      <c r="C18" s="18"/>
      <c r="E18" s="165">
        <v>1485356</v>
      </c>
      <c r="F18" s="165">
        <v>1493689</v>
      </c>
      <c r="G18" s="165">
        <v>1501081</v>
      </c>
      <c r="H18" s="165">
        <v>1508413</v>
      </c>
      <c r="I18" s="165">
        <v>1517175</v>
      </c>
      <c r="J18" s="165">
        <v>1515546.0492998715</v>
      </c>
      <c r="K18" s="165">
        <v>1514640.767453196</v>
      </c>
      <c r="L18" s="165">
        <v>1513713.4893536374</v>
      </c>
      <c r="M18" s="165">
        <v>1512764.2920908674</v>
      </c>
      <c r="N18" s="165">
        <v>1511793.2522160963</v>
      </c>
      <c r="O18" s="165">
        <v>1510800.4457476949</v>
      </c>
      <c r="P18" s="165">
        <v>1507166.0630107033</v>
      </c>
      <c r="Q18" s="165">
        <v>1503520.853497192</v>
      </c>
      <c r="R18" s="165">
        <v>1499864.8359170277</v>
      </c>
      <c r="S18" s="165">
        <v>1496198.0289155242</v>
      </c>
      <c r="T18" s="165">
        <v>1492520.4510737746</v>
      </c>
      <c r="U18" s="165">
        <v>1488832.1209089821</v>
      </c>
      <c r="V18" s="165">
        <v>1485133.0568747912</v>
      </c>
      <c r="W18" s="165">
        <v>1481423.2773616114</v>
      </c>
      <c r="X18" s="165">
        <v>1477702.8006969441</v>
      </c>
      <c r="Y18" s="165">
        <v>1473971.6451457038</v>
      </c>
      <c r="Z18" s="165">
        <v>1470229.8289105375</v>
      </c>
      <c r="AA18" s="165">
        <v>1466477.3701321445</v>
      </c>
      <c r="AB18" s="165">
        <v>1462714.2868895901</v>
      </c>
      <c r="AC18" s="165">
        <v>1458940.59720062</v>
      </c>
      <c r="AD18" s="165">
        <v>1455156.3190219726</v>
      </c>
      <c r="AE18" s="165">
        <v>1451361.4702496857</v>
      </c>
      <c r="AF18" s="165">
        <v>1447556.0687194075</v>
      </c>
      <c r="AG18" s="165">
        <v>1443740.1322066982</v>
      </c>
      <c r="AH18" s="165">
        <v>1439913.6784273363</v>
      </c>
      <c r="AI18" s="165">
        <v>1436076.7250376164</v>
      </c>
    </row>
    <row r="19" spans="2:36">
      <c r="B19" t="s">
        <v>147</v>
      </c>
      <c r="C19" s="18"/>
      <c r="E19" s="165">
        <v>6618691</v>
      </c>
      <c r="F19" s="165">
        <v>6640626</v>
      </c>
      <c r="G19" s="165">
        <v>6640626</v>
      </c>
      <c r="H19" s="165">
        <v>6640626</v>
      </c>
      <c r="I19" s="165">
        <v>6643723</v>
      </c>
      <c r="J19" s="165">
        <v>6643723</v>
      </c>
      <c r="K19" s="165">
        <v>6643723</v>
      </c>
      <c r="L19" s="165">
        <v>6643723</v>
      </c>
      <c r="M19" s="165">
        <v>6643723</v>
      </c>
      <c r="N19" s="165">
        <v>6643723</v>
      </c>
      <c r="O19" s="165">
        <v>6643723</v>
      </c>
      <c r="P19" s="165">
        <v>6643723</v>
      </c>
      <c r="Q19" s="165">
        <v>6643723</v>
      </c>
      <c r="R19" s="165">
        <v>6643723</v>
      </c>
      <c r="S19" s="165">
        <v>6643723</v>
      </c>
      <c r="T19" s="165">
        <v>6643723</v>
      </c>
      <c r="U19" s="165">
        <v>6643723</v>
      </c>
      <c r="V19" s="165">
        <v>6643723</v>
      </c>
      <c r="W19" s="165">
        <v>6643723</v>
      </c>
      <c r="X19" s="165">
        <v>6643723</v>
      </c>
      <c r="Y19" s="165">
        <v>6643723</v>
      </c>
      <c r="Z19" s="165">
        <v>6643723</v>
      </c>
      <c r="AA19" s="165">
        <v>6643723</v>
      </c>
      <c r="AB19" s="165">
        <v>6643723</v>
      </c>
      <c r="AC19" s="165">
        <v>6643723</v>
      </c>
      <c r="AD19" s="165">
        <v>6643723</v>
      </c>
      <c r="AE19" s="165">
        <v>6643723</v>
      </c>
      <c r="AF19" s="165">
        <v>6643723</v>
      </c>
      <c r="AG19" s="165">
        <v>6643723</v>
      </c>
      <c r="AH19" s="165">
        <v>6643723</v>
      </c>
      <c r="AI19" s="165">
        <v>6643723</v>
      </c>
    </row>
    <row r="20" spans="2:36">
      <c r="B20" t="s">
        <v>148</v>
      </c>
      <c r="C20" s="18"/>
      <c r="E20" s="165">
        <v>-3780555</v>
      </c>
      <c r="F20" s="165">
        <v>-3800861</v>
      </c>
      <c r="G20" s="165">
        <v>-3800801</v>
      </c>
      <c r="H20" s="165">
        <v>-3800801</v>
      </c>
      <c r="I20" s="165">
        <v>-3802067</v>
      </c>
      <c r="J20" s="165">
        <v>-3800861</v>
      </c>
      <c r="K20" s="165">
        <f>J20</f>
        <v>-3800861</v>
      </c>
      <c r="L20" s="165">
        <f t="shared" ref="L20:AI20" si="2">K20</f>
        <v>-3800861</v>
      </c>
      <c r="M20" s="165">
        <f t="shared" si="2"/>
        <v>-3800861</v>
      </c>
      <c r="N20" s="165">
        <f t="shared" si="2"/>
        <v>-3800861</v>
      </c>
      <c r="O20" s="165">
        <f t="shared" si="2"/>
        <v>-3800861</v>
      </c>
      <c r="P20" s="165">
        <f t="shared" si="2"/>
        <v>-3800861</v>
      </c>
      <c r="Q20" s="165">
        <f t="shared" si="2"/>
        <v>-3800861</v>
      </c>
      <c r="R20" s="165">
        <f t="shared" si="2"/>
        <v>-3800861</v>
      </c>
      <c r="S20" s="165">
        <f t="shared" si="2"/>
        <v>-3800861</v>
      </c>
      <c r="T20" s="165">
        <f t="shared" si="2"/>
        <v>-3800861</v>
      </c>
      <c r="U20" s="165">
        <f t="shared" si="2"/>
        <v>-3800861</v>
      </c>
      <c r="V20" s="165">
        <f t="shared" si="2"/>
        <v>-3800861</v>
      </c>
      <c r="W20" s="165">
        <f t="shared" si="2"/>
        <v>-3800861</v>
      </c>
      <c r="X20" s="165">
        <f t="shared" si="2"/>
        <v>-3800861</v>
      </c>
      <c r="Y20" s="165">
        <f t="shared" si="2"/>
        <v>-3800861</v>
      </c>
      <c r="Z20" s="165">
        <f t="shared" si="2"/>
        <v>-3800861</v>
      </c>
      <c r="AA20" s="165">
        <f t="shared" si="2"/>
        <v>-3800861</v>
      </c>
      <c r="AB20" s="165">
        <f t="shared" si="2"/>
        <v>-3800861</v>
      </c>
      <c r="AC20" s="165">
        <f t="shared" si="2"/>
        <v>-3800861</v>
      </c>
      <c r="AD20" s="165">
        <f t="shared" si="2"/>
        <v>-3800861</v>
      </c>
      <c r="AE20" s="165">
        <f t="shared" si="2"/>
        <v>-3800861</v>
      </c>
      <c r="AF20" s="165">
        <f t="shared" si="2"/>
        <v>-3800861</v>
      </c>
      <c r="AG20" s="165">
        <f t="shared" si="2"/>
        <v>-3800861</v>
      </c>
      <c r="AH20" s="165">
        <f t="shared" si="2"/>
        <v>-3800861</v>
      </c>
      <c r="AI20" s="165">
        <f t="shared" si="2"/>
        <v>-3800861</v>
      </c>
    </row>
    <row r="21" spans="2:36">
      <c r="B21" t="s">
        <v>149</v>
      </c>
      <c r="C21" s="18"/>
      <c r="E21" s="165">
        <f>E19+E20</f>
        <v>2838136</v>
      </c>
      <c r="F21" s="165">
        <f t="shared" ref="F21:AI21" si="3">F19+F20</f>
        <v>2839765</v>
      </c>
      <c r="G21" s="165">
        <f t="shared" si="3"/>
        <v>2839825</v>
      </c>
      <c r="H21" s="165">
        <f t="shared" si="3"/>
        <v>2839825</v>
      </c>
      <c r="I21" s="165">
        <f>I19+I20</f>
        <v>2841656</v>
      </c>
      <c r="J21" s="165">
        <f t="shared" si="3"/>
        <v>2842862</v>
      </c>
      <c r="K21" s="165">
        <f t="shared" si="3"/>
        <v>2842862</v>
      </c>
      <c r="L21" s="165">
        <f t="shared" si="3"/>
        <v>2842862</v>
      </c>
      <c r="M21" s="165">
        <f t="shared" si="3"/>
        <v>2842862</v>
      </c>
      <c r="N21" s="165">
        <f t="shared" si="3"/>
        <v>2842862</v>
      </c>
      <c r="O21" s="165">
        <f t="shared" si="3"/>
        <v>2842862</v>
      </c>
      <c r="P21" s="165">
        <f t="shared" si="3"/>
        <v>2842862</v>
      </c>
      <c r="Q21" s="165">
        <f t="shared" si="3"/>
        <v>2842862</v>
      </c>
      <c r="R21" s="165">
        <f t="shared" si="3"/>
        <v>2842862</v>
      </c>
      <c r="S21" s="165">
        <f t="shared" si="3"/>
        <v>2842862</v>
      </c>
      <c r="T21" s="165">
        <f t="shared" si="3"/>
        <v>2842862</v>
      </c>
      <c r="U21" s="165">
        <f t="shared" si="3"/>
        <v>2842862</v>
      </c>
      <c r="V21" s="165">
        <f t="shared" si="3"/>
        <v>2842862</v>
      </c>
      <c r="W21" s="165">
        <f t="shared" si="3"/>
        <v>2842862</v>
      </c>
      <c r="X21" s="165">
        <f t="shared" si="3"/>
        <v>2842862</v>
      </c>
      <c r="Y21" s="165">
        <f t="shared" si="3"/>
        <v>2842862</v>
      </c>
      <c r="Z21" s="165">
        <f t="shared" si="3"/>
        <v>2842862</v>
      </c>
      <c r="AA21" s="165">
        <f t="shared" si="3"/>
        <v>2842862</v>
      </c>
      <c r="AB21" s="165">
        <f t="shared" si="3"/>
        <v>2842862</v>
      </c>
      <c r="AC21" s="165">
        <f t="shared" si="3"/>
        <v>2842862</v>
      </c>
      <c r="AD21" s="165">
        <f t="shared" si="3"/>
        <v>2842862</v>
      </c>
      <c r="AE21" s="165">
        <f t="shared" si="3"/>
        <v>2842862</v>
      </c>
      <c r="AF21" s="165">
        <f t="shared" si="3"/>
        <v>2842862</v>
      </c>
      <c r="AG21" s="165">
        <f t="shared" si="3"/>
        <v>2842862</v>
      </c>
      <c r="AH21" s="165">
        <f t="shared" si="3"/>
        <v>2842862</v>
      </c>
      <c r="AI21" s="165">
        <f t="shared" si="3"/>
        <v>2842862</v>
      </c>
    </row>
    <row r="22" spans="2:36">
      <c r="B22" t="s">
        <v>97</v>
      </c>
      <c r="C22" s="17"/>
      <c r="E22" s="166">
        <f>SUM(E14:E19)</f>
        <v>13552527</v>
      </c>
      <c r="F22" s="166">
        <f t="shared" ref="F22:AI22" si="4">SUM(F14:F19)</f>
        <v>13604422</v>
      </c>
      <c r="G22" s="166">
        <f t="shared" si="4"/>
        <v>13646512</v>
      </c>
      <c r="H22" s="166">
        <f t="shared" si="4"/>
        <v>13702868</v>
      </c>
      <c r="I22" s="166">
        <f t="shared" si="4"/>
        <v>13760928</v>
      </c>
      <c r="J22" s="166">
        <f t="shared" si="4"/>
        <v>13768823.395300943</v>
      </c>
      <c r="K22" s="166">
        <f t="shared" si="4"/>
        <v>13770426.617333118</v>
      </c>
      <c r="L22" s="166">
        <f t="shared" si="4"/>
        <v>13771750.919204928</v>
      </c>
      <c r="M22" s="166">
        <f t="shared" si="4"/>
        <v>13772798.328190241</v>
      </c>
      <c r="N22" s="166">
        <f t="shared" si="4"/>
        <v>13773570.845458342</v>
      </c>
      <c r="O22" s="166">
        <f t="shared" si="4"/>
        <v>13774070.446652401</v>
      </c>
      <c r="P22" s="166">
        <f t="shared" si="4"/>
        <v>13762006.44828568</v>
      </c>
      <c r="Q22" s="166">
        <f t="shared" si="4"/>
        <v>13749738.458513025</v>
      </c>
      <c r="R22" s="166">
        <f t="shared" si="4"/>
        <v>13737267.822690878</v>
      </c>
      <c r="S22" s="166">
        <f t="shared" si="4"/>
        <v>13724595.874121973</v>
      </c>
      <c r="T22" s="166">
        <f t="shared" si="4"/>
        <v>13711723.934263831</v>
      </c>
      <c r="U22" s="166">
        <f t="shared" si="4"/>
        <v>13698653.312932532</v>
      </c>
      <c r="V22" s="166">
        <f t="shared" si="4"/>
        <v>13685385.308501912</v>
      </c>
      <c r="W22" s="166">
        <f t="shared" si="4"/>
        <v>13671921.208098283</v>
      </c>
      <c r="X22" s="166">
        <f t="shared" si="4"/>
        <v>13658262.287790824</v>
      </c>
      <c r="Y22" s="166">
        <f t="shared" si="4"/>
        <v>13644409.812777769</v>
      </c>
      <c r="Z22" s="166">
        <f t="shared" si="4"/>
        <v>13630365.037568502</v>
      </c>
      <c r="AA22" s="166">
        <f t="shared" si="4"/>
        <v>13616129.206161667</v>
      </c>
      <c r="AB22" s="166">
        <f t="shared" si="4"/>
        <v>13601703.552219411</v>
      </c>
      <c r="AC22" s="166">
        <f t="shared" si="4"/>
        <v>13587089.299237885</v>
      </c>
      <c r="AD22" s="166">
        <f t="shared" si="4"/>
        <v>13572287.660714058</v>
      </c>
      <c r="AE22" s="166">
        <f t="shared" si="4"/>
        <v>13557299.840309009</v>
      </c>
      <c r="AF22" s="166">
        <f t="shared" si="4"/>
        <v>13542127.032007724</v>
      </c>
      <c r="AG22" s="166">
        <f t="shared" si="4"/>
        <v>13526770.420275558</v>
      </c>
      <c r="AH22" s="166">
        <f t="shared" si="4"/>
        <v>13511231.180211384</v>
      </c>
      <c r="AI22" s="166">
        <f t="shared" si="4"/>
        <v>13495510.477697603</v>
      </c>
    </row>
    <row r="23" spans="2:36">
      <c r="B23" t="s">
        <v>150</v>
      </c>
      <c r="C23" s="17"/>
      <c r="E23" s="167">
        <f>E22+E20</f>
        <v>9771972</v>
      </c>
      <c r="F23" s="167">
        <f t="shared" ref="F23:AI23" si="5">F22+F20</f>
        <v>9803561</v>
      </c>
      <c r="G23" s="167">
        <f t="shared" si="5"/>
        <v>9845711</v>
      </c>
      <c r="H23" s="167">
        <f t="shared" si="5"/>
        <v>9902067</v>
      </c>
      <c r="I23" s="167">
        <f>I22+I20</f>
        <v>9958861</v>
      </c>
      <c r="J23" s="167">
        <f t="shared" si="5"/>
        <v>9967962.3953009434</v>
      </c>
      <c r="K23" s="167">
        <f t="shared" si="5"/>
        <v>9969565.6173331179</v>
      </c>
      <c r="L23" s="167">
        <f t="shared" si="5"/>
        <v>9970889.919204928</v>
      </c>
      <c r="M23" s="167">
        <f t="shared" si="5"/>
        <v>9971937.328190241</v>
      </c>
      <c r="N23" s="167">
        <f t="shared" si="5"/>
        <v>9972709.8454583418</v>
      </c>
      <c r="O23" s="167">
        <f t="shared" si="5"/>
        <v>9973209.4466524012</v>
      </c>
      <c r="P23" s="167">
        <f t="shared" si="5"/>
        <v>9961145.4482856803</v>
      </c>
      <c r="Q23" s="167">
        <f t="shared" si="5"/>
        <v>9948877.4585130252</v>
      </c>
      <c r="R23" s="167">
        <f t="shared" si="5"/>
        <v>9936406.8226908781</v>
      </c>
      <c r="S23" s="167">
        <f t="shared" si="5"/>
        <v>9923734.8741219733</v>
      </c>
      <c r="T23" s="167">
        <f t="shared" si="5"/>
        <v>9910862.934263831</v>
      </c>
      <c r="U23" s="167">
        <f t="shared" si="5"/>
        <v>9897792.3129325323</v>
      </c>
      <c r="V23" s="167">
        <f t="shared" si="5"/>
        <v>9884524.3085019123</v>
      </c>
      <c r="W23" s="167">
        <f t="shared" si="5"/>
        <v>9871060.208098283</v>
      </c>
      <c r="X23" s="167">
        <f t="shared" si="5"/>
        <v>9857401.2877908237</v>
      </c>
      <c r="Y23" s="167">
        <f t="shared" si="5"/>
        <v>9843548.8127777688</v>
      </c>
      <c r="Z23" s="167">
        <f t="shared" si="5"/>
        <v>9829504.0375685021</v>
      </c>
      <c r="AA23" s="167">
        <f t="shared" si="5"/>
        <v>9815268.2061616667</v>
      </c>
      <c r="AB23" s="167">
        <f t="shared" si="5"/>
        <v>9800842.5522194114</v>
      </c>
      <c r="AC23" s="167">
        <f t="shared" si="5"/>
        <v>9786228.2992378846</v>
      </c>
      <c r="AD23" s="167">
        <f t="shared" si="5"/>
        <v>9771426.6607140582</v>
      </c>
      <c r="AE23" s="167">
        <f t="shared" si="5"/>
        <v>9756438.840309009</v>
      </c>
      <c r="AF23" s="167">
        <f t="shared" si="5"/>
        <v>9741266.032007724</v>
      </c>
      <c r="AG23" s="167">
        <f t="shared" si="5"/>
        <v>9725909.4202755578</v>
      </c>
      <c r="AH23" s="167">
        <f t="shared" si="5"/>
        <v>9710370.1802113838</v>
      </c>
      <c r="AI23" s="167">
        <f t="shared" si="5"/>
        <v>9694649.4776976034</v>
      </c>
    </row>
    <row r="24" spans="2:36">
      <c r="C24" s="17"/>
      <c r="E24" s="167"/>
      <c r="F24" s="186"/>
      <c r="G24" s="225"/>
      <c r="H24" s="186"/>
      <c r="I24" s="224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</row>
    <row r="25" spans="2:36">
      <c r="B25" s="17" t="s">
        <v>151</v>
      </c>
      <c r="C25" s="17"/>
      <c r="E25" s="187" t="s">
        <v>152</v>
      </c>
      <c r="F25" s="188"/>
      <c r="G25" s="188"/>
      <c r="H25" s="188"/>
      <c r="I25" s="188"/>
      <c r="J25" s="188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</row>
    <row r="26" spans="2:36">
      <c r="B26" t="s">
        <v>141</v>
      </c>
      <c r="C26" s="17"/>
      <c r="D26">
        <f>E26/E35</f>
        <v>0.587014413869826</v>
      </c>
      <c r="E26" s="167">
        <v>47445739.773287669</v>
      </c>
      <c r="F26" s="167">
        <v>49675922.345753416</v>
      </c>
      <c r="G26" s="167">
        <v>50364982.857260272</v>
      </c>
      <c r="H26" s="167">
        <v>51318217.920684934</v>
      </c>
      <c r="I26" s="167">
        <v>52026256.147698626</v>
      </c>
      <c r="J26" s="167">
        <v>52669712.196188971</v>
      </c>
      <c r="K26" s="189">
        <f t="shared" ref="K26:Y32" si="6">J26/J14*K14</f>
        <v>52739346.67296017</v>
      </c>
      <c r="L26" s="167">
        <f t="shared" si="6"/>
        <v>52806241.179036178</v>
      </c>
      <c r="M26" s="167">
        <f t="shared" si="6"/>
        <v>52870416.884865507</v>
      </c>
      <c r="N26" s="167">
        <f t="shared" si="6"/>
        <v>52931894.696725689</v>
      </c>
      <c r="O26" s="167">
        <f t="shared" si="6"/>
        <v>52990695.262443691</v>
      </c>
      <c r="P26" s="167">
        <f t="shared" si="6"/>
        <v>52958660.710139729</v>
      </c>
      <c r="Q26" s="167">
        <f t="shared" si="6"/>
        <v>52924428.847686961</v>
      </c>
      <c r="R26" s="167">
        <f t="shared" si="6"/>
        <v>52888015.058167651</v>
      </c>
      <c r="S26" s="167">
        <f t="shared" si="6"/>
        <v>52849434.591001965</v>
      </c>
      <c r="T26" s="167">
        <f t="shared" si="6"/>
        <v>52808702.564258747</v>
      </c>
      <c r="U26" s="167">
        <f t="shared" si="6"/>
        <v>52765833.966914043</v>
      </c>
      <c r="V26" s="167">
        <f t="shared" si="6"/>
        <v>52720843.661059208</v>
      </c>
      <c r="W26" s="167">
        <f t="shared" si="6"/>
        <v>52673746.384059772</v>
      </c>
      <c r="X26" s="167">
        <f t="shared" si="6"/>
        <v>52624556.750666551</v>
      </c>
      <c r="Y26" s="167">
        <f t="shared" si="6"/>
        <v>52573289.255080484</v>
      </c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</row>
    <row r="27" spans="2:36">
      <c r="B27" t="s">
        <v>142</v>
      </c>
      <c r="C27" s="17"/>
      <c r="E27" s="167">
        <v>6720366.1238082191</v>
      </c>
      <c r="F27" s="167">
        <v>7191761.1630958887</v>
      </c>
      <c r="G27" s="167">
        <v>7348886.4036164386</v>
      </c>
      <c r="H27" s="167">
        <v>7529517.7463013697</v>
      </c>
      <c r="I27" s="167">
        <v>7682677.7288767127</v>
      </c>
      <c r="J27" s="167">
        <v>7784286.4851447186</v>
      </c>
      <c r="K27" s="189">
        <f t="shared" si="6"/>
        <v>7806294.6646137107</v>
      </c>
      <c r="L27" s="167">
        <f t="shared" si="6"/>
        <v>7827891.1433380758</v>
      </c>
      <c r="M27" s="167">
        <f t="shared" si="6"/>
        <v>7849079.5029880097</v>
      </c>
      <c r="N27" s="167">
        <f t="shared" si="6"/>
        <v>7869863.2634523325</v>
      </c>
      <c r="O27" s="167">
        <f t="shared" si="6"/>
        <v>7890245.8844233351</v>
      </c>
      <c r="P27" s="167">
        <f t="shared" si="6"/>
        <v>7891362.4458216503</v>
      </c>
      <c r="Q27" s="167">
        <f t="shared" si="6"/>
        <v>7892195.1790787596</v>
      </c>
      <c r="R27" s="167">
        <f t="shared" si="6"/>
        <v>7892745.7910954813</v>
      </c>
      <c r="S27" s="167">
        <f t="shared" si="6"/>
        <v>7893015.9683652539</v>
      </c>
      <c r="T27" s="167">
        <f t="shared" si="6"/>
        <v>7893007.3773379466</v>
      </c>
      <c r="U27" s="167">
        <f t="shared" si="6"/>
        <v>7892721.6647750679</v>
      </c>
      <c r="V27" s="167">
        <f t="shared" si="6"/>
        <v>7892160.4580966309</v>
      </c>
      <c r="W27" s="167">
        <f t="shared" si="6"/>
        <v>7891325.3657199116</v>
      </c>
      <c r="X27" s="167">
        <f t="shared" si="6"/>
        <v>7890217.9773903573</v>
      </c>
      <c r="Y27" s="167">
        <f t="shared" si="6"/>
        <v>7888839.8645048412</v>
      </c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</row>
    <row r="28" spans="2:36">
      <c r="B28" t="s">
        <v>143</v>
      </c>
      <c r="C28" s="17"/>
      <c r="E28" s="167">
        <v>1716242.6737534243</v>
      </c>
      <c r="F28" s="167">
        <v>1795106.4855342465</v>
      </c>
      <c r="G28" s="167">
        <v>1809306.9088493153</v>
      </c>
      <c r="H28" s="167">
        <v>1827004.6860547944</v>
      </c>
      <c r="I28" s="167">
        <v>1840730.4449863017</v>
      </c>
      <c r="J28" s="167">
        <v>1846107.2021954122</v>
      </c>
      <c r="K28" s="189">
        <f t="shared" si="6"/>
        <v>1844334.8420985083</v>
      </c>
      <c r="L28" s="167">
        <f t="shared" si="6"/>
        <v>1842558.8766739999</v>
      </c>
      <c r="M28" s="167">
        <f t="shared" si="6"/>
        <v>1840779.3095137451</v>
      </c>
      <c r="N28" s="167">
        <f t="shared" si="6"/>
        <v>1838996.1442024524</v>
      </c>
      <c r="O28" s="167">
        <f t="shared" si="6"/>
        <v>1837209.3843177017</v>
      </c>
      <c r="P28" s="167">
        <f t="shared" si="6"/>
        <v>1835419.0334299663</v>
      </c>
      <c r="Q28" s="167">
        <f t="shared" si="6"/>
        <v>1833625.095102632</v>
      </c>
      <c r="R28" s="167">
        <f t="shared" si="6"/>
        <v>1831827.5728920212</v>
      </c>
      <c r="S28" s="167">
        <f t="shared" si="6"/>
        <v>1830026.4703474117</v>
      </c>
      <c r="T28" s="167">
        <f t="shared" si="6"/>
        <v>1828221.791011058</v>
      </c>
      <c r="U28" s="167">
        <f t="shared" si="6"/>
        <v>1826413.5384182129</v>
      </c>
      <c r="V28" s="167">
        <f t="shared" si="6"/>
        <v>1824601.716097147</v>
      </c>
      <c r="W28" s="167">
        <f t="shared" si="6"/>
        <v>1822786.3275691711</v>
      </c>
      <c r="X28" s="167">
        <f t="shared" si="6"/>
        <v>1820967.3763486545</v>
      </c>
      <c r="Y28" s="167">
        <f t="shared" si="6"/>
        <v>1819144.8659430481</v>
      </c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</row>
    <row r="29" spans="2:36">
      <c r="B29" t="s">
        <v>144</v>
      </c>
      <c r="C29" s="17"/>
      <c r="E29" s="167">
        <v>5526604.3163561653</v>
      </c>
      <c r="F29" s="167">
        <v>5936397.2352054799</v>
      </c>
      <c r="G29" s="167">
        <v>6022566.1421917807</v>
      </c>
      <c r="H29" s="167">
        <v>6129472.2313424665</v>
      </c>
      <c r="I29" s="167">
        <v>6231181.4673972595</v>
      </c>
      <c r="J29" s="167">
        <v>6279207.9890925633</v>
      </c>
      <c r="K29" s="189">
        <f t="shared" si="6"/>
        <v>6239318.6196702011</v>
      </c>
      <c r="L29" s="167">
        <f t="shared" si="6"/>
        <v>6199328.6371271322</v>
      </c>
      <c r="M29" s="167">
        <f t="shared" si="6"/>
        <v>6159238.235572272</v>
      </c>
      <c r="N29" s="167">
        <f t="shared" si="6"/>
        <v>6119047.6083670035</v>
      </c>
      <c r="O29" s="167">
        <f t="shared" si="6"/>
        <v>6078756.9481294891</v>
      </c>
      <c r="P29" s="167">
        <f t="shared" si="6"/>
        <v>6026706.4270174708</v>
      </c>
      <c r="Q29" s="167">
        <f t="shared" si="6"/>
        <v>5974655.9059054526</v>
      </c>
      <c r="R29" s="167">
        <f t="shared" si="6"/>
        <v>5922605.3847934343</v>
      </c>
      <c r="S29" s="167">
        <f t="shared" si="6"/>
        <v>5870554.863681416</v>
      </c>
      <c r="T29" s="167">
        <f t="shared" si="6"/>
        <v>5818504.3425693978</v>
      </c>
      <c r="U29" s="167">
        <f t="shared" si="6"/>
        <v>5766453.8214573795</v>
      </c>
      <c r="V29" s="167">
        <f t="shared" si="6"/>
        <v>5714403.3003453603</v>
      </c>
      <c r="W29" s="167">
        <f t="shared" si="6"/>
        <v>5662352.779233342</v>
      </c>
      <c r="X29" s="167">
        <f t="shared" si="6"/>
        <v>5610302.2581213238</v>
      </c>
      <c r="Y29" s="167">
        <f t="shared" si="6"/>
        <v>5558251.7370093055</v>
      </c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</row>
    <row r="30" spans="2:36">
      <c r="B30" t="s">
        <v>145</v>
      </c>
      <c r="C30" s="17"/>
      <c r="E30" s="167">
        <v>9057451.1575342473</v>
      </c>
      <c r="F30" s="167">
        <v>9698667.6141506862</v>
      </c>
      <c r="G30" s="167">
        <v>9847297.0173835605</v>
      </c>
      <c r="H30" s="167">
        <v>10025889.918589039</v>
      </c>
      <c r="I30" s="167">
        <v>10164274.205383563</v>
      </c>
      <c r="J30" s="167">
        <v>10267765.138924696</v>
      </c>
      <c r="K30" s="189">
        <f t="shared" si="6"/>
        <v>10261631.889862094</v>
      </c>
      <c r="L30" s="167">
        <f t="shared" si="6"/>
        <v>10255349.617047532</v>
      </c>
      <c r="M30" s="167">
        <f t="shared" si="6"/>
        <v>10248918.842760511</v>
      </c>
      <c r="N30" s="167">
        <f t="shared" si="6"/>
        <v>10242340.085632486</v>
      </c>
      <c r="O30" s="167">
        <f t="shared" si="6"/>
        <v>10235613.860684944</v>
      </c>
      <c r="P30" s="167">
        <f t="shared" si="6"/>
        <v>10210991.059955377</v>
      </c>
      <c r="Q30" s="167">
        <f t="shared" si="6"/>
        <v>10186294.908238841</v>
      </c>
      <c r="R30" s="167">
        <f t="shared" si="6"/>
        <v>10161525.532293947</v>
      </c>
      <c r="S30" s="167">
        <f t="shared" si="6"/>
        <v>10136683.058441969</v>
      </c>
      <c r="T30" s="167">
        <f t="shared" si="6"/>
        <v>10111767.612569083</v>
      </c>
      <c r="U30" s="167">
        <f t="shared" si="6"/>
        <v>10086779.320128614</v>
      </c>
      <c r="V30" s="167">
        <f t="shared" si="6"/>
        <v>10061718.306143284</v>
      </c>
      <c r="W30" s="167">
        <f t="shared" si="6"/>
        <v>10036584.695207397</v>
      </c>
      <c r="X30" s="167">
        <f t="shared" si="6"/>
        <v>10011378.611489056</v>
      </c>
      <c r="Y30" s="167">
        <f t="shared" si="6"/>
        <v>9986100.1787323412</v>
      </c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</row>
    <row r="31" spans="2:36">
      <c r="B31" t="s">
        <v>147</v>
      </c>
      <c r="C31" s="17"/>
      <c r="E31" s="167">
        <v>23277491.997999996</v>
      </c>
      <c r="F31" s="167">
        <v>24212043.604999997</v>
      </c>
      <c r="G31" s="167">
        <v>24658909.055</v>
      </c>
      <c r="H31" s="167">
        <v>25027812.045000002</v>
      </c>
      <c r="I31" s="167">
        <v>25605700.367999997</v>
      </c>
      <c r="J31" s="167">
        <v>25866464.276000001</v>
      </c>
      <c r="K31" s="189">
        <f t="shared" si="6"/>
        <v>25866464.276000001</v>
      </c>
      <c r="L31" s="167">
        <f t="shared" si="6"/>
        <v>25866464.276000001</v>
      </c>
      <c r="M31" s="167">
        <f t="shared" si="6"/>
        <v>25866464.276000001</v>
      </c>
      <c r="N31" s="167">
        <f t="shared" si="6"/>
        <v>25866464.276000001</v>
      </c>
      <c r="O31" s="167">
        <f t="shared" si="6"/>
        <v>25866464.276000001</v>
      </c>
      <c r="P31" s="167">
        <f t="shared" si="6"/>
        <v>25866464.276000001</v>
      </c>
      <c r="Q31" s="167">
        <f t="shared" si="6"/>
        <v>25866464.276000001</v>
      </c>
      <c r="R31" s="167">
        <f t="shared" si="6"/>
        <v>25866464.276000001</v>
      </c>
      <c r="S31" s="167">
        <f t="shared" si="6"/>
        <v>25866464.276000001</v>
      </c>
      <c r="T31" s="167">
        <f t="shared" si="6"/>
        <v>25866464.276000001</v>
      </c>
      <c r="U31" s="167">
        <f t="shared" si="6"/>
        <v>25866464.276000001</v>
      </c>
      <c r="V31" s="167">
        <f t="shared" si="6"/>
        <v>25866464.276000001</v>
      </c>
      <c r="W31" s="167">
        <f t="shared" si="6"/>
        <v>25866464.276000001</v>
      </c>
      <c r="X31" s="167">
        <f t="shared" si="6"/>
        <v>25866464.276000001</v>
      </c>
      <c r="Y31" s="167">
        <f t="shared" si="6"/>
        <v>25866464.276000001</v>
      </c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</row>
    <row r="32" spans="2:36">
      <c r="B32" t="s">
        <v>148</v>
      </c>
      <c r="C32" s="17"/>
      <c r="E32" s="167">
        <v>-12918385.369999997</v>
      </c>
      <c r="F32" s="167">
        <v>-13320451.360000001</v>
      </c>
      <c r="G32" s="167">
        <v>-13552930.58</v>
      </c>
      <c r="H32" s="167">
        <v>-13763274.560000002</v>
      </c>
      <c r="I32" s="167">
        <v>-14097756.74</v>
      </c>
      <c r="J32" s="167">
        <v>-14246973.180000003</v>
      </c>
      <c r="K32" s="189">
        <f t="shared" si="6"/>
        <v>-14246973.180000003</v>
      </c>
      <c r="L32" s="167">
        <f t="shared" si="6"/>
        <v>-14246973.180000003</v>
      </c>
      <c r="M32" s="167">
        <f t="shared" si="6"/>
        <v>-14246973.180000003</v>
      </c>
      <c r="N32" s="167">
        <f t="shared" si="6"/>
        <v>-14246973.180000003</v>
      </c>
      <c r="O32" s="167">
        <f t="shared" si="6"/>
        <v>-14246973.180000003</v>
      </c>
      <c r="P32" s="167">
        <f t="shared" si="6"/>
        <v>-14246973.180000003</v>
      </c>
      <c r="Q32" s="167">
        <f t="shared" si="6"/>
        <v>-14246973.180000003</v>
      </c>
      <c r="R32" s="167">
        <f t="shared" si="6"/>
        <v>-14246973.180000003</v>
      </c>
      <c r="S32" s="167">
        <f t="shared" si="6"/>
        <v>-14246973.180000003</v>
      </c>
      <c r="T32" s="167">
        <f t="shared" si="6"/>
        <v>-14246973.180000003</v>
      </c>
      <c r="U32" s="167">
        <f t="shared" si="6"/>
        <v>-14246973.180000003</v>
      </c>
      <c r="V32" s="167">
        <f t="shared" si="6"/>
        <v>-14246973.180000003</v>
      </c>
      <c r="W32" s="167">
        <f t="shared" si="6"/>
        <v>-14246973.180000003</v>
      </c>
      <c r="X32" s="167">
        <f t="shared" si="6"/>
        <v>-14246973.180000003</v>
      </c>
      <c r="Y32" s="167">
        <f t="shared" si="6"/>
        <v>-14246973.180000003</v>
      </c>
      <c r="Z32" s="167">
        <v>0</v>
      </c>
      <c r="AA32" s="167">
        <v>0</v>
      </c>
      <c r="AB32" s="167">
        <v>0</v>
      </c>
      <c r="AC32" s="167">
        <v>0</v>
      </c>
      <c r="AD32" s="186"/>
      <c r="AE32" s="186"/>
      <c r="AF32" s="186"/>
      <c r="AG32" s="186"/>
      <c r="AH32" s="186"/>
      <c r="AI32" s="186"/>
      <c r="AJ32" s="186"/>
    </row>
    <row r="33" spans="2:36">
      <c r="B33" t="s">
        <v>149</v>
      </c>
      <c r="C33" s="190"/>
      <c r="E33" s="167">
        <f>E32+E31</f>
        <v>10359106.627999999</v>
      </c>
      <c r="F33" s="167">
        <f t="shared" ref="F33:AC33" si="7">F32+F31</f>
        <v>10891592.244999995</v>
      </c>
      <c r="G33" s="167">
        <f t="shared" si="7"/>
        <v>11105978.475</v>
      </c>
      <c r="H33" s="167">
        <f t="shared" si="7"/>
        <v>11264537.484999999</v>
      </c>
      <c r="I33" s="167">
        <f t="shared" si="7"/>
        <v>11507943.627999997</v>
      </c>
      <c r="J33" s="167">
        <f t="shared" si="7"/>
        <v>11619491.095999997</v>
      </c>
      <c r="K33" s="167">
        <f t="shared" si="7"/>
        <v>11619491.095999997</v>
      </c>
      <c r="L33" s="167">
        <f t="shared" si="7"/>
        <v>11619491.095999997</v>
      </c>
      <c r="M33" s="167">
        <f t="shared" si="7"/>
        <v>11619491.095999997</v>
      </c>
      <c r="N33" s="167">
        <f t="shared" si="7"/>
        <v>11619491.095999997</v>
      </c>
      <c r="O33" s="167">
        <f t="shared" si="7"/>
        <v>11619491.095999997</v>
      </c>
      <c r="P33" s="167">
        <f t="shared" si="7"/>
        <v>11619491.095999997</v>
      </c>
      <c r="Q33" s="167">
        <f t="shared" si="7"/>
        <v>11619491.095999997</v>
      </c>
      <c r="R33" s="167">
        <f t="shared" si="7"/>
        <v>11619491.095999997</v>
      </c>
      <c r="S33" s="167">
        <f t="shared" si="7"/>
        <v>11619491.095999997</v>
      </c>
      <c r="T33" s="167">
        <f t="shared" si="7"/>
        <v>11619491.095999997</v>
      </c>
      <c r="U33" s="167">
        <f t="shared" si="7"/>
        <v>11619491.095999997</v>
      </c>
      <c r="V33" s="167">
        <f t="shared" si="7"/>
        <v>11619491.095999997</v>
      </c>
      <c r="W33" s="167">
        <f t="shared" si="7"/>
        <v>11619491.095999997</v>
      </c>
      <c r="X33" s="167">
        <f t="shared" si="7"/>
        <v>11619491.095999997</v>
      </c>
      <c r="Y33" s="167">
        <f t="shared" si="7"/>
        <v>11619491.095999997</v>
      </c>
      <c r="Z33" s="167">
        <f t="shared" si="7"/>
        <v>0</v>
      </c>
      <c r="AA33" s="167">
        <f t="shared" si="7"/>
        <v>0</v>
      </c>
      <c r="AB33" s="167">
        <f t="shared" si="7"/>
        <v>0</v>
      </c>
      <c r="AC33" s="167">
        <f t="shared" si="7"/>
        <v>0</v>
      </c>
      <c r="AD33" s="186"/>
      <c r="AE33" s="186"/>
      <c r="AF33" s="186"/>
      <c r="AG33" s="186"/>
      <c r="AH33" s="186"/>
      <c r="AI33" s="186"/>
      <c r="AJ33" s="186"/>
    </row>
    <row r="34" spans="2:36">
      <c r="B34" t="s">
        <v>97</v>
      </c>
      <c r="C34" s="17"/>
      <c r="E34" s="167">
        <f>SUM(E26:E31)</f>
        <v>93743896.042739719</v>
      </c>
      <c r="F34" s="167">
        <f t="shared" ref="F34:Y34" si="8">SUM(F26:F31)</f>
        <v>98509898.448739707</v>
      </c>
      <c r="G34" s="167">
        <f t="shared" si="8"/>
        <v>100051948.38430136</v>
      </c>
      <c r="H34" s="167">
        <f t="shared" si="8"/>
        <v>101857914.5479726</v>
      </c>
      <c r="I34" s="167">
        <f t="shared" si="8"/>
        <v>103550820.36234246</v>
      </c>
      <c r="J34" s="167">
        <f t="shared" si="8"/>
        <v>104713543.28754637</v>
      </c>
      <c r="K34" s="167">
        <f t="shared" si="8"/>
        <v>104757390.96520469</v>
      </c>
      <c r="L34" s="167">
        <f t="shared" si="8"/>
        <v>104797833.72922292</v>
      </c>
      <c r="M34" s="167">
        <f t="shared" si="8"/>
        <v>104834897.05170006</v>
      </c>
      <c r="N34" s="167">
        <f t="shared" si="8"/>
        <v>104868606.07437998</v>
      </c>
      <c r="O34" s="167">
        <f t="shared" si="8"/>
        <v>104898985.61599916</v>
      </c>
      <c r="P34" s="167">
        <f t="shared" si="8"/>
        <v>104789603.95236418</v>
      </c>
      <c r="Q34" s="167">
        <f t="shared" si="8"/>
        <v>104677664.21201265</v>
      </c>
      <c r="R34" s="167">
        <f t="shared" si="8"/>
        <v>104563183.61524254</v>
      </c>
      <c r="S34" s="167">
        <f t="shared" si="8"/>
        <v>104446179.22783801</v>
      </c>
      <c r="T34" s="167">
        <f t="shared" si="8"/>
        <v>104326667.96374622</v>
      </c>
      <c r="U34" s="167">
        <f t="shared" si="8"/>
        <v>104204666.58769333</v>
      </c>
      <c r="V34" s="167">
        <f t="shared" si="8"/>
        <v>104080191.71774164</v>
      </c>
      <c r="W34" s="167">
        <f t="shared" si="8"/>
        <v>103953259.8277896</v>
      </c>
      <c r="X34" s="167">
        <f t="shared" si="8"/>
        <v>103823887.25001594</v>
      </c>
      <c r="Y34" s="167">
        <f t="shared" si="8"/>
        <v>103692090.17727003</v>
      </c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</row>
    <row r="35" spans="2:36">
      <c r="B35" t="s">
        <v>150</v>
      </c>
      <c r="C35" s="17"/>
      <c r="E35" s="167">
        <f>E34+E32</f>
        <v>80825510.672739714</v>
      </c>
      <c r="F35" s="167">
        <f t="shared" ref="F35:Y35" si="9">F34+F32</f>
        <v>85189447.088739708</v>
      </c>
      <c r="G35" s="167">
        <f t="shared" si="9"/>
        <v>86499017.804301366</v>
      </c>
      <c r="H35" s="167">
        <f t="shared" si="9"/>
        <v>88094639.987972602</v>
      </c>
      <c r="I35" s="167">
        <f t="shared" si="9"/>
        <v>89453063.622342467</v>
      </c>
      <c r="J35" s="167">
        <f t="shared" si="9"/>
        <v>90466570.107546359</v>
      </c>
      <c r="K35" s="167">
        <f t="shared" si="9"/>
        <v>90510417.785204679</v>
      </c>
      <c r="L35" s="167">
        <f t="shared" si="9"/>
        <v>90550860.549222916</v>
      </c>
      <c r="M35" s="167">
        <f t="shared" si="9"/>
        <v>90587923.871700048</v>
      </c>
      <c r="N35" s="167">
        <f t="shared" si="9"/>
        <v>90621632.894379973</v>
      </c>
      <c r="O35" s="167">
        <f t="shared" si="9"/>
        <v>90652012.435999155</v>
      </c>
      <c r="P35" s="167">
        <f t="shared" si="9"/>
        <v>90542630.772364169</v>
      </c>
      <c r="Q35" s="167">
        <f t="shared" si="9"/>
        <v>90430691.032012641</v>
      </c>
      <c r="R35" s="167">
        <f t="shared" si="9"/>
        <v>90316210.435242534</v>
      </c>
      <c r="S35" s="167">
        <f t="shared" si="9"/>
        <v>90199206.047838002</v>
      </c>
      <c r="T35" s="167">
        <f t="shared" si="9"/>
        <v>90079694.783746213</v>
      </c>
      <c r="U35" s="167">
        <f t="shared" si="9"/>
        <v>89957693.407693326</v>
      </c>
      <c r="V35" s="167">
        <f t="shared" si="9"/>
        <v>89833218.537741631</v>
      </c>
      <c r="W35" s="167">
        <f t="shared" si="9"/>
        <v>89706286.647789598</v>
      </c>
      <c r="X35" s="167">
        <f t="shared" si="9"/>
        <v>89576914.070015937</v>
      </c>
      <c r="Y35" s="167">
        <f t="shared" si="9"/>
        <v>89445116.997270018</v>
      </c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</row>
    <row r="36" spans="2:36">
      <c r="C36" s="17"/>
      <c r="E36" s="189" t="s">
        <v>153</v>
      </c>
      <c r="F36" s="188"/>
      <c r="G36" s="188" t="s">
        <v>154</v>
      </c>
      <c r="H36" s="188" t="s">
        <v>155</v>
      </c>
      <c r="I36" s="188" t="s">
        <v>156</v>
      </c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</row>
    <row r="37" spans="2:36">
      <c r="B37" s="17" t="s">
        <v>157</v>
      </c>
      <c r="C37" s="191" t="s">
        <v>158</v>
      </c>
      <c r="E37" s="192" t="s">
        <v>159</v>
      </c>
      <c r="F37" s="20"/>
      <c r="G37" s="193">
        <f>E26/E35</f>
        <v>0.587014413869826</v>
      </c>
      <c r="H37" s="193">
        <f>SUM(E27:E30)/E35</f>
        <v>0.28481928638424686</v>
      </c>
      <c r="I37" s="193">
        <f>100%-H37-G37</f>
        <v>0.12816629974592708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</row>
    <row r="38" spans="2:36">
      <c r="B38" t="s">
        <v>141</v>
      </c>
      <c r="C38" s="168">
        <v>0.48</v>
      </c>
      <c r="D38" s="45">
        <f>E38/$E$44</f>
        <v>0.54686882748627008</v>
      </c>
      <c r="E38" s="7">
        <f t="shared" ref="E38:AI38" si="10">($C$38*E14)</f>
        <v>1886585.28</v>
      </c>
      <c r="F38" s="7">
        <f>($C$38*F14)</f>
        <v>1893326.88</v>
      </c>
      <c r="G38" s="7">
        <f>($C$38*G14)</f>
        <v>1905092.16</v>
      </c>
      <c r="H38" s="7">
        <f>($C$38*H14)</f>
        <v>1923528</v>
      </c>
      <c r="I38" s="7">
        <f t="shared" si="10"/>
        <v>1938964.7999999998</v>
      </c>
      <c r="J38" s="7">
        <f t="shared" si="10"/>
        <v>1945912.9511260949</v>
      </c>
      <c r="K38" s="7">
        <f t="shared" si="10"/>
        <v>1948485.637107162</v>
      </c>
      <c r="L38" s="7">
        <f t="shared" si="10"/>
        <v>1950957.0932876631</v>
      </c>
      <c r="M38" s="7">
        <f t="shared" si="10"/>
        <v>1953328.1018220515</v>
      </c>
      <c r="N38" s="7">
        <f t="shared" si="10"/>
        <v>1955599.4351048311</v>
      </c>
      <c r="O38" s="7">
        <f t="shared" si="10"/>
        <v>1957771.8559818999</v>
      </c>
      <c r="P38" s="7">
        <f t="shared" si="10"/>
        <v>1956588.3209365669</v>
      </c>
      <c r="Q38" s="7">
        <f t="shared" si="10"/>
        <v>1955323.6049981185</v>
      </c>
      <c r="R38" s="7">
        <f t="shared" si="10"/>
        <v>1953978.2765034181</v>
      </c>
      <c r="S38" s="7">
        <f t="shared" si="10"/>
        <v>1952552.898851105</v>
      </c>
      <c r="T38" s="7">
        <f t="shared" si="10"/>
        <v>1951048.0305869686</v>
      </c>
      <c r="U38" s="7">
        <f t="shared" si="10"/>
        <v>1949464.2254873898</v>
      </c>
      <c r="V38" s="7">
        <f t="shared" si="10"/>
        <v>1947802.0326409217</v>
      </c>
      <c r="W38" s="7">
        <f t="shared" si="10"/>
        <v>1946061.996528049</v>
      </c>
      <c r="X38" s="7">
        <f t="shared" si="10"/>
        <v>1944244.6570991857</v>
      </c>
      <c r="Y38" s="7">
        <f t="shared" si="10"/>
        <v>1942350.5498509607</v>
      </c>
      <c r="Z38" s="7">
        <f t="shared" si="10"/>
        <v>1940380.2059008325</v>
      </c>
      <c r="AA38" s="7">
        <f t="shared" si="10"/>
        <v>1938334.1520600873</v>
      </c>
      <c r="AB38" s="7">
        <f t="shared" si="10"/>
        <v>1936212.9109052615</v>
      </c>
      <c r="AC38" s="7">
        <f t="shared" si="10"/>
        <v>1934017.0008480323</v>
      </c>
      <c r="AD38" s="7">
        <f t="shared" si="10"/>
        <v>1931746.9362036188</v>
      </c>
      <c r="AE38" s="7">
        <f t="shared" si="10"/>
        <v>1929403.2272577344</v>
      </c>
      <c r="AF38" s="7">
        <f t="shared" si="10"/>
        <v>1926986.3803321267</v>
      </c>
      <c r="AG38" s="7">
        <f t="shared" si="10"/>
        <v>1924496.8978487505</v>
      </c>
      <c r="AH38" s="7">
        <f t="shared" si="10"/>
        <v>1921935.2783925999</v>
      </c>
      <c r="AI38" s="7">
        <f t="shared" si="10"/>
        <v>1919302.0167732479</v>
      </c>
    </row>
    <row r="39" spans="2:36">
      <c r="B39" t="s">
        <v>142</v>
      </c>
      <c r="C39">
        <v>0.45400000000000001</v>
      </c>
      <c r="D39" s="45">
        <f t="shared" ref="D39:D43" si="11">E39/$E$44</f>
        <v>8.1052372644864243E-2</v>
      </c>
      <c r="E39" s="7">
        <f t="shared" ref="E39:AI39" si="12">($C$39*E15)</f>
        <v>279614.06</v>
      </c>
      <c r="F39" s="7">
        <f t="shared" si="12"/>
        <v>283067.63800000004</v>
      </c>
      <c r="G39" s="7">
        <f t="shared" si="12"/>
        <v>286577.51199999999</v>
      </c>
      <c r="H39" s="7">
        <f t="shared" si="12"/>
        <v>290231.304</v>
      </c>
      <c r="I39" s="7">
        <f t="shared" si="12"/>
        <v>294087.12599999999</v>
      </c>
      <c r="J39" s="7">
        <f t="shared" si="12"/>
        <v>294474.85030733788</v>
      </c>
      <c r="K39" s="7">
        <f t="shared" si="12"/>
        <v>295307.40642754699</v>
      </c>
      <c r="L39" s="7">
        <f t="shared" si="12"/>
        <v>296124.38815755647</v>
      </c>
      <c r="M39" s="7">
        <f t="shared" si="12"/>
        <v>296925.9309897839</v>
      </c>
      <c r="N39" s="7">
        <f t="shared" si="12"/>
        <v>297712.16807949462</v>
      </c>
      <c r="O39" s="7">
        <f t="shared" si="12"/>
        <v>298483.23030475591</v>
      </c>
      <c r="P39" s="7">
        <f t="shared" si="12"/>
        <v>298525.46914723114</v>
      </c>
      <c r="Q39" s="7">
        <f t="shared" si="12"/>
        <v>298556.97094276513</v>
      </c>
      <c r="R39" s="7">
        <f t="shared" si="12"/>
        <v>298577.80026238371</v>
      </c>
      <c r="S39" s="7">
        <f t="shared" si="12"/>
        <v>298588.02090511372</v>
      </c>
      <c r="T39" s="7">
        <f t="shared" si="12"/>
        <v>298587.69591174601</v>
      </c>
      <c r="U39" s="7">
        <f t="shared" si="12"/>
        <v>298576.88757827249</v>
      </c>
      <c r="V39" s="7">
        <f t="shared" si="12"/>
        <v>298555.65746900823</v>
      </c>
      <c r="W39" s="7">
        <f t="shared" si="12"/>
        <v>298524.066429406</v>
      </c>
      <c r="X39" s="7">
        <f t="shared" si="12"/>
        <v>298482.17459857475</v>
      </c>
      <c r="Y39" s="7">
        <f t="shared" si="12"/>
        <v>298430.04142150789</v>
      </c>
      <c r="Z39" s="7">
        <f t="shared" si="12"/>
        <v>298367.72566103167</v>
      </c>
      <c r="AA39" s="7">
        <f t="shared" si="12"/>
        <v>298295.28540948016</v>
      </c>
      <c r="AB39" s="7">
        <f t="shared" si="12"/>
        <v>298212.77810010646</v>
      </c>
      <c r="AC39" s="7">
        <f t="shared" si="12"/>
        <v>298120.26051823481</v>
      </c>
      <c r="AD39" s="7">
        <f t="shared" si="12"/>
        <v>298017.78881216451</v>
      </c>
      <c r="AE39" s="7">
        <f t="shared" si="12"/>
        <v>297905.4185038287</v>
      </c>
      <c r="AF39" s="7">
        <f t="shared" si="12"/>
        <v>297783.20449921757</v>
      </c>
      <c r="AG39" s="7">
        <f t="shared" si="12"/>
        <v>297651.20109857165</v>
      </c>
      <c r="AH39" s="7">
        <f t="shared" si="12"/>
        <v>297509.46200635104</v>
      </c>
      <c r="AI39" s="7">
        <f t="shared" si="12"/>
        <v>297358.04034098733</v>
      </c>
    </row>
    <row r="40" spans="2:36">
      <c r="B40" t="s">
        <v>143</v>
      </c>
      <c r="C40">
        <v>0.35199999999999998</v>
      </c>
      <c r="D40" s="45">
        <f t="shared" si="11"/>
        <v>2.0389562419658735E-2</v>
      </c>
      <c r="E40" s="7">
        <f t="shared" ref="E40:AI40" si="13">($C$40*E16)</f>
        <v>70339.80799999999</v>
      </c>
      <c r="F40" s="7">
        <f t="shared" si="13"/>
        <v>70246.87999999999</v>
      </c>
      <c r="G40" s="7">
        <f t="shared" si="13"/>
        <v>70270.815999999992</v>
      </c>
      <c r="H40" s="7">
        <f t="shared" si="13"/>
        <v>70221.887999999992</v>
      </c>
      <c r="I40" s="7">
        <f t="shared" si="13"/>
        <v>70391.199999999997</v>
      </c>
      <c r="J40" s="7">
        <f t="shared" si="13"/>
        <v>70261.703229245206</v>
      </c>
      <c r="K40" s="7">
        <f t="shared" si="13"/>
        <v>70194.248295427751</v>
      </c>
      <c r="L40" s="7">
        <f t="shared" si="13"/>
        <v>70126.656145061934</v>
      </c>
      <c r="M40" s="7">
        <f t="shared" si="13"/>
        <v>70058.926914851661</v>
      </c>
      <c r="N40" s="7">
        <f t="shared" si="13"/>
        <v>69991.060741228735</v>
      </c>
      <c r="O40" s="7">
        <f t="shared" si="13"/>
        <v>69923.057760353637</v>
      </c>
      <c r="P40" s="7">
        <f t="shared" si="13"/>
        <v>69854.918108116384</v>
      </c>
      <c r="Q40" s="7">
        <f t="shared" si="13"/>
        <v>69786.641920137248</v>
      </c>
      <c r="R40" s="7">
        <f t="shared" si="13"/>
        <v>69718.229331767667</v>
      </c>
      <c r="S40" s="7">
        <f t="shared" si="13"/>
        <v>69649.680478090973</v>
      </c>
      <c r="T40" s="7">
        <f t="shared" si="13"/>
        <v>69580.995493923183</v>
      </c>
      <c r="U40" s="7">
        <f t="shared" si="13"/>
        <v>69512.174513813836</v>
      </c>
      <c r="V40" s="7">
        <f t="shared" si="13"/>
        <v>69443.217672046769</v>
      </c>
      <c r="W40" s="7">
        <f t="shared" si="13"/>
        <v>69374.125102640857</v>
      </c>
      <c r="X40" s="7">
        <f t="shared" si="13"/>
        <v>69304.896939350874</v>
      </c>
      <c r="Y40" s="7">
        <f t="shared" si="13"/>
        <v>69235.533315668217</v>
      </c>
      <c r="Z40" s="7">
        <f t="shared" si="13"/>
        <v>69166.03436482168</v>
      </c>
      <c r="AA40" s="7">
        <f t="shared" si="13"/>
        <v>69096.400219778268</v>
      </c>
      <c r="AB40" s="7">
        <f t="shared" si="13"/>
        <v>69026.631013243954</v>
      </c>
      <c r="AC40" s="7">
        <f t="shared" si="13"/>
        <v>68956.726877664405</v>
      </c>
      <c r="AD40" s="7">
        <f t="shared" si="13"/>
        <v>68886.687945225829</v>
      </c>
      <c r="AE40" s="7">
        <f t="shared" si="13"/>
        <v>68816.514347855642</v>
      </c>
      <c r="AF40" s="7">
        <f t="shared" si="13"/>
        <v>68746.206217223284</v>
      </c>
      <c r="AG40" s="7">
        <f t="shared" si="13"/>
        <v>68675.763684741018</v>
      </c>
      <c r="AH40" s="7">
        <f t="shared" si="13"/>
        <v>68605.186881564558</v>
      </c>
      <c r="AI40" s="7">
        <f t="shared" si="13"/>
        <v>68534.475938593925</v>
      </c>
    </row>
    <row r="41" spans="2:36">
      <c r="B41" t="s">
        <v>144</v>
      </c>
      <c r="C41">
        <v>0.35399999999999998</v>
      </c>
      <c r="D41" s="45">
        <f t="shared" si="11"/>
        <v>7.2074067819402676E-2</v>
      </c>
      <c r="E41" s="7">
        <f t="shared" ref="E41:AI41" si="14">($C$41*E17)</f>
        <v>248640.75</v>
      </c>
      <c r="F41" s="7">
        <f t="shared" si="14"/>
        <v>248725.356</v>
      </c>
      <c r="G41" s="7">
        <f t="shared" si="14"/>
        <v>249570.70799999998</v>
      </c>
      <c r="H41" s="7">
        <f t="shared" si="14"/>
        <v>250528.98599999998</v>
      </c>
      <c r="I41" s="7">
        <f t="shared" si="14"/>
        <v>252322.704</v>
      </c>
      <c r="J41" s="7">
        <f t="shared" si="14"/>
        <v>250397.97109921827</v>
      </c>
      <c r="K41" s="7">
        <f t="shared" si="14"/>
        <v>248807.29004690453</v>
      </c>
      <c r="L41" s="7">
        <f t="shared" si="14"/>
        <v>247212.59681322417</v>
      </c>
      <c r="M41" s="7">
        <f t="shared" si="14"/>
        <v>245613.89913872004</v>
      </c>
      <c r="N41" s="7">
        <f t="shared" si="14"/>
        <v>244011.20473412547</v>
      </c>
      <c r="O41" s="7">
        <f t="shared" si="14"/>
        <v>242404.52128053602</v>
      </c>
      <c r="P41" s="7">
        <f t="shared" si="14"/>
        <v>240328.88612021864</v>
      </c>
      <c r="Q41" s="7">
        <f t="shared" si="14"/>
        <v>238253.25095990123</v>
      </c>
      <c r="R41" s="7">
        <f t="shared" si="14"/>
        <v>236177.61579958384</v>
      </c>
      <c r="S41" s="7">
        <f t="shared" si="14"/>
        <v>234101.98063926643</v>
      </c>
      <c r="T41" s="7">
        <f t="shared" si="14"/>
        <v>232026.34547894905</v>
      </c>
      <c r="U41" s="7">
        <f t="shared" si="14"/>
        <v>229950.71031863164</v>
      </c>
      <c r="V41" s="7">
        <f t="shared" si="14"/>
        <v>227875.07515831426</v>
      </c>
      <c r="W41" s="7">
        <f t="shared" si="14"/>
        <v>225799.43999799687</v>
      </c>
      <c r="X41" s="7">
        <f t="shared" si="14"/>
        <v>223723.80483767946</v>
      </c>
      <c r="Y41" s="7">
        <f t="shared" si="14"/>
        <v>221648.16967736208</v>
      </c>
      <c r="Z41" s="7">
        <f t="shared" si="14"/>
        <v>219572.53451704467</v>
      </c>
      <c r="AA41" s="7">
        <f t="shared" si="14"/>
        <v>217496.89935672728</v>
      </c>
      <c r="AB41" s="7">
        <f t="shared" si="14"/>
        <v>215421.26419640987</v>
      </c>
      <c r="AC41" s="7">
        <f t="shared" si="14"/>
        <v>213345.62903609249</v>
      </c>
      <c r="AD41" s="7">
        <f t="shared" si="14"/>
        <v>211269.99387577511</v>
      </c>
      <c r="AE41" s="7">
        <f t="shared" si="14"/>
        <v>209194.3587154577</v>
      </c>
      <c r="AF41" s="7">
        <f t="shared" si="14"/>
        <v>207118.72355514031</v>
      </c>
      <c r="AG41" s="7">
        <f t="shared" si="14"/>
        <v>205043.0883948229</v>
      </c>
      <c r="AH41" s="7">
        <f t="shared" si="14"/>
        <v>202967.45323450552</v>
      </c>
      <c r="AI41" s="7">
        <f t="shared" si="14"/>
        <v>200891.81807418814</v>
      </c>
    </row>
    <row r="42" spans="2:36">
      <c r="B42" t="s">
        <v>145</v>
      </c>
      <c r="C42">
        <v>0.27300000000000002</v>
      </c>
      <c r="D42" s="45">
        <f t="shared" si="11"/>
        <v>0.11754385473349874</v>
      </c>
      <c r="E42" s="7">
        <f t="shared" ref="E42:AI42" si="15">($C$42*E18)</f>
        <v>405502.18800000002</v>
      </c>
      <c r="F42" s="7">
        <f t="shared" si="15"/>
        <v>407777.09700000001</v>
      </c>
      <c r="G42" s="7">
        <f t="shared" si="15"/>
        <v>409795.11300000001</v>
      </c>
      <c r="H42" s="7">
        <f t="shared" si="15"/>
        <v>411796.74900000001</v>
      </c>
      <c r="I42" s="7">
        <f t="shared" si="15"/>
        <v>414188.77500000002</v>
      </c>
      <c r="J42" s="7">
        <f t="shared" si="15"/>
        <v>413744.07145886496</v>
      </c>
      <c r="K42" s="7">
        <f t="shared" si="15"/>
        <v>413496.92951472255</v>
      </c>
      <c r="L42" s="7">
        <f t="shared" si="15"/>
        <v>413243.78259354306</v>
      </c>
      <c r="M42" s="7">
        <f t="shared" si="15"/>
        <v>412984.65174080682</v>
      </c>
      <c r="N42" s="7">
        <f t="shared" si="15"/>
        <v>412719.55785499432</v>
      </c>
      <c r="O42" s="7">
        <f t="shared" si="15"/>
        <v>412448.52168912074</v>
      </c>
      <c r="P42" s="7">
        <f t="shared" si="15"/>
        <v>411456.33520192205</v>
      </c>
      <c r="Q42" s="7">
        <f t="shared" si="15"/>
        <v>410461.19300473348</v>
      </c>
      <c r="R42" s="7">
        <f t="shared" si="15"/>
        <v>409463.10020534857</v>
      </c>
      <c r="S42" s="7">
        <f t="shared" si="15"/>
        <v>408462.06189393817</v>
      </c>
      <c r="T42" s="7">
        <f t="shared" si="15"/>
        <v>407458.08314314048</v>
      </c>
      <c r="U42" s="7">
        <f t="shared" si="15"/>
        <v>406451.16900815215</v>
      </c>
      <c r="V42" s="7">
        <f t="shared" si="15"/>
        <v>405441.324526818</v>
      </c>
      <c r="W42" s="7">
        <f t="shared" si="15"/>
        <v>404428.55471971992</v>
      </c>
      <c r="X42" s="7">
        <f t="shared" si="15"/>
        <v>403412.86459026579</v>
      </c>
      <c r="Y42" s="7">
        <f t="shared" si="15"/>
        <v>402394.25912477716</v>
      </c>
      <c r="Z42" s="7">
        <f t="shared" si="15"/>
        <v>401372.74329257675</v>
      </c>
      <c r="AA42" s="7">
        <f t="shared" si="15"/>
        <v>400348.32204607548</v>
      </c>
      <c r="AB42" s="7">
        <f t="shared" si="15"/>
        <v>399321.00032085815</v>
      </c>
      <c r="AC42" s="7">
        <f t="shared" si="15"/>
        <v>398290.7830357693</v>
      </c>
      <c r="AD42" s="7">
        <f t="shared" si="15"/>
        <v>397257.67509299854</v>
      </c>
      <c r="AE42" s="7">
        <f t="shared" si="15"/>
        <v>396221.68137816421</v>
      </c>
      <c r="AF42" s="7">
        <f t="shared" si="15"/>
        <v>395182.80676039826</v>
      </c>
      <c r="AG42" s="7">
        <f t="shared" si="15"/>
        <v>394141.05609242863</v>
      </c>
      <c r="AH42" s="7">
        <f t="shared" si="15"/>
        <v>393096.43421066285</v>
      </c>
      <c r="AI42" s="7">
        <f t="shared" si="15"/>
        <v>392048.94593526929</v>
      </c>
    </row>
    <row r="43" spans="2:36">
      <c r="B43" t="s">
        <v>147</v>
      </c>
      <c r="C43">
        <v>0.19700000000000001</v>
      </c>
      <c r="D43" s="45">
        <f t="shared" si="11"/>
        <v>0.16207131489630555</v>
      </c>
      <c r="E43" s="7">
        <f t="shared" ref="E43:AI43" si="16">E21*$C$43</f>
        <v>559112.79200000002</v>
      </c>
      <c r="F43" s="7">
        <f t="shared" si="16"/>
        <v>559433.70500000007</v>
      </c>
      <c r="G43" s="7">
        <f t="shared" si="16"/>
        <v>559445.52500000002</v>
      </c>
      <c r="H43" s="7">
        <f t="shared" si="16"/>
        <v>559445.52500000002</v>
      </c>
      <c r="I43" s="7">
        <f t="shared" si="16"/>
        <v>559806.23200000008</v>
      </c>
      <c r="J43" s="7">
        <f t="shared" si="16"/>
        <v>560043.81400000001</v>
      </c>
      <c r="K43" s="7">
        <f t="shared" si="16"/>
        <v>560043.81400000001</v>
      </c>
      <c r="L43" s="7">
        <f t="shared" si="16"/>
        <v>560043.81400000001</v>
      </c>
      <c r="M43" s="7">
        <f t="shared" si="16"/>
        <v>560043.81400000001</v>
      </c>
      <c r="N43" s="7">
        <f t="shared" si="16"/>
        <v>560043.81400000001</v>
      </c>
      <c r="O43" s="7">
        <f t="shared" si="16"/>
        <v>560043.81400000001</v>
      </c>
      <c r="P43" s="7">
        <f t="shared" si="16"/>
        <v>560043.81400000001</v>
      </c>
      <c r="Q43" s="7">
        <f t="shared" si="16"/>
        <v>560043.81400000001</v>
      </c>
      <c r="R43" s="7">
        <f t="shared" si="16"/>
        <v>560043.81400000001</v>
      </c>
      <c r="S43" s="7">
        <f t="shared" si="16"/>
        <v>560043.81400000001</v>
      </c>
      <c r="T43" s="7">
        <f t="shared" si="16"/>
        <v>560043.81400000001</v>
      </c>
      <c r="U43" s="7">
        <f t="shared" si="16"/>
        <v>560043.81400000001</v>
      </c>
      <c r="V43" s="7">
        <f t="shared" si="16"/>
        <v>560043.81400000001</v>
      </c>
      <c r="W43" s="7">
        <f t="shared" si="16"/>
        <v>560043.81400000001</v>
      </c>
      <c r="X43" s="7">
        <f t="shared" si="16"/>
        <v>560043.81400000001</v>
      </c>
      <c r="Y43" s="7">
        <f t="shared" si="16"/>
        <v>560043.81400000001</v>
      </c>
      <c r="Z43" s="7">
        <f t="shared" si="16"/>
        <v>560043.81400000001</v>
      </c>
      <c r="AA43" s="7">
        <f t="shared" si="16"/>
        <v>560043.81400000001</v>
      </c>
      <c r="AB43" s="7">
        <f t="shared" si="16"/>
        <v>560043.81400000001</v>
      </c>
      <c r="AC43" s="7">
        <f t="shared" si="16"/>
        <v>560043.81400000001</v>
      </c>
      <c r="AD43" s="7">
        <f t="shared" si="16"/>
        <v>560043.81400000001</v>
      </c>
      <c r="AE43" s="7">
        <f t="shared" si="16"/>
        <v>560043.81400000001</v>
      </c>
      <c r="AF43" s="7">
        <f t="shared" si="16"/>
        <v>560043.81400000001</v>
      </c>
      <c r="AG43" s="7">
        <f t="shared" si="16"/>
        <v>560043.81400000001</v>
      </c>
      <c r="AH43" s="7">
        <f t="shared" si="16"/>
        <v>560043.81400000001</v>
      </c>
      <c r="AI43" s="7">
        <f t="shared" si="16"/>
        <v>560043.81400000001</v>
      </c>
    </row>
    <row r="44" spans="2:36">
      <c r="B44" s="180" t="s">
        <v>160</v>
      </c>
      <c r="E44" s="194">
        <f>SUM(E38:E43)</f>
        <v>3449794.878</v>
      </c>
      <c r="F44" s="194">
        <f>SUM(F38:F43)</f>
        <v>3462577.5560000003</v>
      </c>
      <c r="G44" s="194">
        <f t="shared" ref="G44:AI44" si="17">SUM(G38:G43)</f>
        <v>3480751.8339999998</v>
      </c>
      <c r="H44" s="194">
        <f t="shared" si="17"/>
        <v>3505752.4519999996</v>
      </c>
      <c r="I44" s="194">
        <f t="shared" si="17"/>
        <v>3529760.8370000003</v>
      </c>
      <c r="J44" s="194">
        <f t="shared" si="17"/>
        <v>3534835.3612207612</v>
      </c>
      <c r="K44" s="194">
        <f t="shared" si="17"/>
        <v>3536335.3253917638</v>
      </c>
      <c r="L44" s="194">
        <f t="shared" si="17"/>
        <v>3537708.3309970489</v>
      </c>
      <c r="M44" s="194">
        <f t="shared" si="17"/>
        <v>3538955.3246062137</v>
      </c>
      <c r="N44" s="194">
        <f t="shared" si="17"/>
        <v>3540077.2405146742</v>
      </c>
      <c r="O44" s="194">
        <f t="shared" si="17"/>
        <v>3541075.0010166662</v>
      </c>
      <c r="P44" s="194">
        <f t="shared" si="17"/>
        <v>3536797.7435140554</v>
      </c>
      <c r="Q44" s="194">
        <f t="shared" si="17"/>
        <v>3532425.4758256553</v>
      </c>
      <c r="R44" s="194">
        <f t="shared" si="17"/>
        <v>3527958.8361025024</v>
      </c>
      <c r="S44" s="194">
        <f t="shared" si="17"/>
        <v>3523398.4567675143</v>
      </c>
      <c r="T44" s="194">
        <f t="shared" si="17"/>
        <v>3518744.9646147275</v>
      </c>
      <c r="U44" s="194">
        <f t="shared" si="17"/>
        <v>3513998.9809062602</v>
      </c>
      <c r="V44" s="194">
        <f t="shared" si="17"/>
        <v>3509161.1214671088</v>
      </c>
      <c r="W44" s="194">
        <f t="shared" si="17"/>
        <v>3504231.996777813</v>
      </c>
      <c r="X44" s="194">
        <f t="shared" si="17"/>
        <v>3499212.2120650569</v>
      </c>
      <c r="Y44" s="194">
        <f t="shared" si="17"/>
        <v>3494102.3673902769</v>
      </c>
      <c r="Z44" s="194">
        <f t="shared" si="17"/>
        <v>3488903.0577363074</v>
      </c>
      <c r="AA44" s="194">
        <f t="shared" si="17"/>
        <v>3483614.8730921485</v>
      </c>
      <c r="AB44" s="194">
        <f t="shared" si="17"/>
        <v>3478238.3985358803</v>
      </c>
      <c r="AC44" s="194">
        <f t="shared" si="17"/>
        <v>3472774.2143157935</v>
      </c>
      <c r="AD44" s="194">
        <f t="shared" si="17"/>
        <v>3467222.8959297827</v>
      </c>
      <c r="AE44" s="194">
        <f t="shared" si="17"/>
        <v>3461585.0142030409</v>
      </c>
      <c r="AF44" s="194">
        <f t="shared" si="17"/>
        <v>3455861.1353641059</v>
      </c>
      <c r="AG44" s="194">
        <f t="shared" si="17"/>
        <v>3450051.821119315</v>
      </c>
      <c r="AH44" s="194">
        <f t="shared" si="17"/>
        <v>3444157.6287256833</v>
      </c>
      <c r="AI44" s="194">
        <f t="shared" si="17"/>
        <v>3438179.1110622864</v>
      </c>
    </row>
    <row r="45" spans="2:36">
      <c r="B45" s="180" t="s">
        <v>161</v>
      </c>
      <c r="E45" s="46">
        <f t="shared" ref="E45:AI45" si="18">E44/E23</f>
        <v>0.35302955002327063</v>
      </c>
      <c r="F45" s="46">
        <f>F44/F23</f>
        <v>0.3531959005508305</v>
      </c>
      <c r="G45" s="46">
        <f t="shared" si="18"/>
        <v>0.35352975869391251</v>
      </c>
      <c r="H45" s="46">
        <f t="shared" si="18"/>
        <v>0.35404248951254313</v>
      </c>
      <c r="I45" s="46">
        <f t="shared" si="18"/>
        <v>0.35443419051636532</v>
      </c>
      <c r="J45" s="46">
        <f t="shared" si="18"/>
        <v>0.35461965254675709</v>
      </c>
      <c r="K45" s="46">
        <f t="shared" si="18"/>
        <v>0.35471307990023959</v>
      </c>
      <c r="L45" s="46">
        <f t="shared" si="18"/>
        <v>0.35480366944810715</v>
      </c>
      <c r="M45" s="46">
        <f t="shared" si="18"/>
        <v>0.35489145269713418</v>
      </c>
      <c r="N45" s="46">
        <f t="shared" si="18"/>
        <v>0.35497646029748436</v>
      </c>
      <c r="O45" s="46">
        <f t="shared" si="18"/>
        <v>0.35505872206516831</v>
      </c>
      <c r="P45" s="46">
        <f t="shared" si="18"/>
        <v>0.35505934150602536</v>
      </c>
      <c r="Q45" s="46">
        <f t="shared" si="18"/>
        <v>0.35505769274532978</v>
      </c>
      <c r="R45" s="46">
        <f t="shared" si="18"/>
        <v>0.3550537834306482</v>
      </c>
      <c r="S45" s="46">
        <f t="shared" si="18"/>
        <v>0.35504762082625224</v>
      </c>
      <c r="T45" s="46">
        <f t="shared" si="18"/>
        <v>0.35503921181774434</v>
      </c>
      <c r="U45" s="46">
        <f t="shared" si="18"/>
        <v>0.3550285629164841</v>
      </c>
      <c r="V45" s="46">
        <f t="shared" si="18"/>
        <v>0.3550156802638238</v>
      </c>
      <c r="W45" s="46">
        <f t="shared" si="18"/>
        <v>0.35500056963515608</v>
      </c>
      <c r="X45" s="46">
        <f t="shared" si="18"/>
        <v>0.35498323644377855</v>
      </c>
      <c r="Y45" s="46">
        <f t="shared" si="18"/>
        <v>0.35496368574457954</v>
      </c>
      <c r="Z45" s="46">
        <f t="shared" si="18"/>
        <v>0.35494192223754839</v>
      </c>
      <c r="AA45" s="46">
        <f t="shared" si="18"/>
        <v>0.35491795027111561</v>
      </c>
      <c r="AB45" s="46">
        <f t="shared" si="18"/>
        <v>0.35489177384532411</v>
      </c>
      <c r="AC45" s="46">
        <f t="shared" si="18"/>
        <v>0.35486339661483685</v>
      </c>
      <c r="AD45" s="46">
        <f t="shared" si="18"/>
        <v>0.35483282189178417</v>
      </c>
      <c r="AE45" s="46">
        <f t="shared" si="18"/>
        <v>0.35480005264845227</v>
      </c>
      <c r="AF45" s="46">
        <f t="shared" si="18"/>
        <v>0.35476509151981711</v>
      </c>
      <c r="AG45" s="46">
        <f t="shared" si="18"/>
        <v>0.3547279408059269</v>
      </c>
      <c r="AH45" s="46">
        <f t="shared" si="18"/>
        <v>0.35468860247413431</v>
      </c>
      <c r="AI45" s="46">
        <f t="shared" si="18"/>
        <v>0.35464707816118224</v>
      </c>
    </row>
    <row r="46" spans="2:36">
      <c r="B46" s="180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</row>
    <row r="47" spans="2:36">
      <c r="B47" s="195" t="s">
        <v>162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</row>
    <row r="48" spans="2:36">
      <c r="B48" t="s">
        <v>141</v>
      </c>
      <c r="E48" s="196">
        <f t="shared" ref="E48:Y52" si="19">E38/E26</f>
        <v>3.9763006942557202E-2</v>
      </c>
      <c r="F48" s="196">
        <f t="shared" si="19"/>
        <v>3.8113572745003141E-2</v>
      </c>
      <c r="G48" s="196">
        <f>G38/G26</f>
        <v>3.782572835176444E-2</v>
      </c>
      <c r="H48" s="196">
        <f t="shared" si="19"/>
        <v>3.7482361584981694E-2</v>
      </c>
      <c r="I48" s="196">
        <f t="shared" si="19"/>
        <v>3.7268966548264101E-2</v>
      </c>
      <c r="J48" s="196">
        <f t="shared" si="19"/>
        <v>3.6945577828065207E-2</v>
      </c>
      <c r="K48" s="196">
        <f t="shared" si="19"/>
        <v>3.6945577828065214E-2</v>
      </c>
      <c r="L48" s="196">
        <f t="shared" si="19"/>
        <v>3.6945577828065207E-2</v>
      </c>
      <c r="M48" s="196">
        <f t="shared" si="19"/>
        <v>3.6945577828065207E-2</v>
      </c>
      <c r="N48" s="196">
        <f t="shared" si="19"/>
        <v>3.6945577828065214E-2</v>
      </c>
      <c r="O48" s="196">
        <f t="shared" si="19"/>
        <v>3.6945577828065214E-2</v>
      </c>
      <c r="P48" s="196">
        <f t="shared" si="19"/>
        <v>3.6945577828065214E-2</v>
      </c>
      <c r="Q48" s="196">
        <f t="shared" si="19"/>
        <v>3.6945577828065214E-2</v>
      </c>
      <c r="R48" s="196">
        <f t="shared" si="19"/>
        <v>3.6945577828065214E-2</v>
      </c>
      <c r="S48" s="196">
        <f t="shared" si="19"/>
        <v>3.6945577828065214E-2</v>
      </c>
      <c r="T48" s="196">
        <f t="shared" si="19"/>
        <v>3.6945577828065214E-2</v>
      </c>
      <c r="U48" s="196">
        <f t="shared" si="19"/>
        <v>3.6945577828065214E-2</v>
      </c>
      <c r="V48" s="196">
        <f t="shared" si="19"/>
        <v>3.6945577828065214E-2</v>
      </c>
      <c r="W48" s="196">
        <f t="shared" si="19"/>
        <v>3.6945577828065214E-2</v>
      </c>
      <c r="X48" s="196">
        <f t="shared" si="19"/>
        <v>3.6945577828065214E-2</v>
      </c>
      <c r="Y48" s="196">
        <f t="shared" si="19"/>
        <v>3.6945577828065214E-2</v>
      </c>
      <c r="Z48" s="46"/>
      <c r="AA48" s="46"/>
      <c r="AB48" s="46"/>
      <c r="AC48" s="46"/>
      <c r="AD48" s="46"/>
      <c r="AE48" s="46"/>
      <c r="AF48" s="46"/>
      <c r="AG48" s="46"/>
      <c r="AH48" s="46"/>
      <c r="AI48" s="46"/>
    </row>
    <row r="49" spans="2:35">
      <c r="B49" t="s">
        <v>142</v>
      </c>
      <c r="E49" s="196">
        <f t="shared" si="19"/>
        <v>4.160696825868046E-2</v>
      </c>
      <c r="F49" s="196">
        <f t="shared" si="19"/>
        <v>3.9359988684349728E-2</v>
      </c>
      <c r="G49" s="196">
        <f t="shared" si="19"/>
        <v>3.899604596677031E-2</v>
      </c>
      <c r="H49" s="196">
        <f t="shared" si="19"/>
        <v>3.8545802504093528E-2</v>
      </c>
      <c r="I49" s="196">
        <f t="shared" si="19"/>
        <v>3.8279247988578402E-2</v>
      </c>
      <c r="J49" s="196">
        <f t="shared" si="19"/>
        <v>3.7829395265616725E-2</v>
      </c>
      <c r="K49" s="196">
        <f t="shared" si="19"/>
        <v>3.7829395265616725E-2</v>
      </c>
      <c r="L49" s="196">
        <f t="shared" si="19"/>
        <v>3.7829395265616725E-2</v>
      </c>
      <c r="M49" s="196">
        <f t="shared" si="19"/>
        <v>3.7829395265616725E-2</v>
      </c>
      <c r="N49" s="196">
        <f t="shared" si="19"/>
        <v>3.7829395265616718E-2</v>
      </c>
      <c r="O49" s="196">
        <f t="shared" si="19"/>
        <v>3.7829395265616718E-2</v>
      </c>
      <c r="P49" s="196">
        <f t="shared" si="19"/>
        <v>3.7829395265616725E-2</v>
      </c>
      <c r="Q49" s="196">
        <f t="shared" si="19"/>
        <v>3.7829395265616718E-2</v>
      </c>
      <c r="R49" s="196">
        <f t="shared" si="19"/>
        <v>3.7829395265616725E-2</v>
      </c>
      <c r="S49" s="196">
        <f t="shared" si="19"/>
        <v>3.7829395265616725E-2</v>
      </c>
      <c r="T49" s="196">
        <f t="shared" si="19"/>
        <v>3.7829395265616725E-2</v>
      </c>
      <c r="U49" s="196">
        <f t="shared" si="19"/>
        <v>3.7829395265616725E-2</v>
      </c>
      <c r="V49" s="196">
        <f t="shared" si="19"/>
        <v>3.7829395265616725E-2</v>
      </c>
      <c r="W49" s="196">
        <f t="shared" si="19"/>
        <v>3.7829395265616725E-2</v>
      </c>
      <c r="X49" s="196">
        <f t="shared" si="19"/>
        <v>3.7829395265616725E-2</v>
      </c>
      <c r="Y49" s="196">
        <f t="shared" si="19"/>
        <v>3.7829395265616718E-2</v>
      </c>
      <c r="Z49" s="46"/>
      <c r="AA49" s="46"/>
      <c r="AB49" s="46"/>
      <c r="AC49" s="46"/>
      <c r="AD49" s="46"/>
      <c r="AE49" s="46"/>
      <c r="AF49" s="46"/>
      <c r="AG49" s="46"/>
      <c r="AH49" s="46"/>
      <c r="AI49" s="46"/>
    </row>
    <row r="50" spans="2:35">
      <c r="B50" t="s">
        <v>143</v>
      </c>
      <c r="E50" s="196">
        <f t="shared" si="19"/>
        <v>4.098476810751172E-2</v>
      </c>
      <c r="F50" s="196">
        <f t="shared" si="19"/>
        <v>3.9132430619620663E-2</v>
      </c>
      <c r="G50" s="196">
        <f t="shared" si="19"/>
        <v>3.8838527425228753E-2</v>
      </c>
      <c r="H50" s="196">
        <f t="shared" si="19"/>
        <v>3.8435527032848534E-2</v>
      </c>
      <c r="I50" s="196">
        <f t="shared" si="19"/>
        <v>3.8240906044515299E-2</v>
      </c>
      <c r="J50" s="196">
        <f t="shared" si="19"/>
        <v>3.8059384171021685E-2</v>
      </c>
      <c r="K50" s="196">
        <f t="shared" si="19"/>
        <v>3.8059384171021692E-2</v>
      </c>
      <c r="L50" s="196">
        <f t="shared" si="19"/>
        <v>3.8059384171021685E-2</v>
      </c>
      <c r="M50" s="196">
        <f t="shared" si="19"/>
        <v>3.8059384171021685E-2</v>
      </c>
      <c r="N50" s="196">
        <f t="shared" si="19"/>
        <v>3.8059384171021692E-2</v>
      </c>
      <c r="O50" s="196">
        <f t="shared" si="19"/>
        <v>3.8059384171021692E-2</v>
      </c>
      <c r="P50" s="196">
        <f t="shared" si="19"/>
        <v>3.8059384171021685E-2</v>
      </c>
      <c r="Q50" s="196">
        <f t="shared" si="19"/>
        <v>3.8059384171021692E-2</v>
      </c>
      <c r="R50" s="196">
        <f t="shared" si="19"/>
        <v>3.8059384171021685E-2</v>
      </c>
      <c r="S50" s="196">
        <f t="shared" si="19"/>
        <v>3.8059384171021692E-2</v>
      </c>
      <c r="T50" s="196">
        <f t="shared" si="19"/>
        <v>3.8059384171021692E-2</v>
      </c>
      <c r="U50" s="196">
        <f t="shared" si="19"/>
        <v>3.8059384171021685E-2</v>
      </c>
      <c r="V50" s="196">
        <f t="shared" si="19"/>
        <v>3.8059384171021692E-2</v>
      </c>
      <c r="W50" s="196">
        <f t="shared" si="19"/>
        <v>3.8059384171021685E-2</v>
      </c>
      <c r="X50" s="196">
        <f t="shared" si="19"/>
        <v>3.8059384171021685E-2</v>
      </c>
      <c r="Y50" s="196">
        <f t="shared" si="19"/>
        <v>3.8059384171021685E-2</v>
      </c>
      <c r="Z50" s="46"/>
      <c r="AA50" s="46"/>
      <c r="AB50" s="46"/>
      <c r="AC50" s="46"/>
      <c r="AD50" s="46"/>
      <c r="AE50" s="46"/>
      <c r="AF50" s="46"/>
      <c r="AG50" s="46"/>
      <c r="AH50" s="46"/>
      <c r="AI50" s="46"/>
    </row>
    <row r="51" spans="2:35">
      <c r="B51" t="s">
        <v>144</v>
      </c>
      <c r="E51" s="196">
        <f t="shared" si="19"/>
        <v>4.4989786814326402E-2</v>
      </c>
      <c r="F51" s="196">
        <f t="shared" si="19"/>
        <v>4.1898368007610383E-2</v>
      </c>
      <c r="G51" s="196">
        <f t="shared" si="19"/>
        <v>4.1439263946244385E-2</v>
      </c>
      <c r="H51" s="196">
        <f t="shared" si="19"/>
        <v>4.0872847864281706E-2</v>
      </c>
      <c r="I51" s="196">
        <f t="shared" si="19"/>
        <v>4.049355733261837E-2</v>
      </c>
      <c r="J51" s="196">
        <f t="shared" si="19"/>
        <v>3.9877317574792487E-2</v>
      </c>
      <c r="K51" s="196">
        <f t="shared" si="19"/>
        <v>3.9877317574792487E-2</v>
      </c>
      <c r="L51" s="196">
        <f t="shared" si="19"/>
        <v>3.9877317574792494E-2</v>
      </c>
      <c r="M51" s="196">
        <f t="shared" si="19"/>
        <v>3.9877317574792487E-2</v>
      </c>
      <c r="N51" s="196">
        <f t="shared" si="19"/>
        <v>3.9877317574792494E-2</v>
      </c>
      <c r="O51" s="196">
        <f t="shared" si="19"/>
        <v>3.9877317574792487E-2</v>
      </c>
      <c r="P51" s="196">
        <f t="shared" si="19"/>
        <v>3.9877317574792487E-2</v>
      </c>
      <c r="Q51" s="196">
        <f t="shared" si="19"/>
        <v>3.9877317574792487E-2</v>
      </c>
      <c r="R51" s="196">
        <f t="shared" si="19"/>
        <v>3.9877317574792487E-2</v>
      </c>
      <c r="S51" s="196">
        <f t="shared" si="19"/>
        <v>3.9877317574792487E-2</v>
      </c>
      <c r="T51" s="196">
        <f t="shared" si="19"/>
        <v>3.9877317574792487E-2</v>
      </c>
      <c r="U51" s="196">
        <f t="shared" si="19"/>
        <v>3.9877317574792487E-2</v>
      </c>
      <c r="V51" s="196">
        <f t="shared" si="19"/>
        <v>3.9877317574792494E-2</v>
      </c>
      <c r="W51" s="196">
        <f t="shared" si="19"/>
        <v>3.9877317574792494E-2</v>
      </c>
      <c r="X51" s="196">
        <f t="shared" si="19"/>
        <v>3.9877317574792494E-2</v>
      </c>
      <c r="Y51" s="196">
        <f t="shared" si="19"/>
        <v>3.9877317574792494E-2</v>
      </c>
      <c r="Z51" s="46"/>
      <c r="AA51" s="46"/>
      <c r="AB51" s="46"/>
      <c r="AC51" s="46"/>
      <c r="AD51" s="46"/>
      <c r="AE51" s="46"/>
      <c r="AF51" s="46"/>
      <c r="AG51" s="46"/>
      <c r="AH51" s="46"/>
      <c r="AI51" s="46"/>
    </row>
    <row r="52" spans="2:35">
      <c r="B52" t="s">
        <v>145</v>
      </c>
      <c r="E52" s="196">
        <f t="shared" si="19"/>
        <v>4.4770011004993573E-2</v>
      </c>
      <c r="F52" s="196">
        <f t="shared" si="19"/>
        <v>4.2044651206010954E-2</v>
      </c>
      <c r="G52" s="196">
        <f t="shared" si="19"/>
        <v>4.1614984525863638E-2</v>
      </c>
      <c r="H52" s="196">
        <f t="shared" si="19"/>
        <v>4.1073336366529038E-2</v>
      </c>
      <c r="I52" s="196">
        <f t="shared" si="19"/>
        <v>4.0749468838672483E-2</v>
      </c>
      <c r="J52" s="196">
        <f t="shared" si="19"/>
        <v>4.0295435848096813E-2</v>
      </c>
      <c r="K52" s="196">
        <f t="shared" si="19"/>
        <v>4.0295435848096819E-2</v>
      </c>
      <c r="L52" s="196">
        <f t="shared" si="19"/>
        <v>4.0295435848096819E-2</v>
      </c>
      <c r="M52" s="196">
        <f t="shared" si="19"/>
        <v>4.0295435848096813E-2</v>
      </c>
      <c r="N52" s="196">
        <f t="shared" si="19"/>
        <v>4.0295435848096819E-2</v>
      </c>
      <c r="O52" s="196">
        <f t="shared" si="19"/>
        <v>4.0295435848096813E-2</v>
      </c>
      <c r="P52" s="196">
        <f t="shared" si="19"/>
        <v>4.0295435848096819E-2</v>
      </c>
      <c r="Q52" s="196">
        <f t="shared" si="19"/>
        <v>4.0295435848096819E-2</v>
      </c>
      <c r="R52" s="196">
        <f t="shared" si="19"/>
        <v>4.0295435848096813E-2</v>
      </c>
      <c r="S52" s="196">
        <f t="shared" si="19"/>
        <v>4.0295435848096813E-2</v>
      </c>
      <c r="T52" s="196">
        <f t="shared" si="19"/>
        <v>4.0295435848096806E-2</v>
      </c>
      <c r="U52" s="196">
        <f t="shared" si="19"/>
        <v>4.0295435848096813E-2</v>
      </c>
      <c r="V52" s="196">
        <f t="shared" si="19"/>
        <v>4.0295435848096813E-2</v>
      </c>
      <c r="W52" s="196">
        <f t="shared" si="19"/>
        <v>4.0295435848096813E-2</v>
      </c>
      <c r="X52" s="196">
        <f t="shared" si="19"/>
        <v>4.0295435848096813E-2</v>
      </c>
      <c r="Y52" s="196">
        <f t="shared" si="19"/>
        <v>4.0295435848096813E-2</v>
      </c>
      <c r="Z52" s="46"/>
      <c r="AA52" s="46"/>
      <c r="AB52" s="46"/>
      <c r="AC52" s="46"/>
      <c r="AD52" s="46"/>
      <c r="AE52" s="46"/>
      <c r="AF52" s="46"/>
      <c r="AG52" s="46"/>
      <c r="AH52" s="46"/>
      <c r="AI52" s="46"/>
    </row>
    <row r="53" spans="2:35">
      <c r="B53" t="s">
        <v>147</v>
      </c>
      <c r="E53" s="196">
        <f t="shared" ref="E53:Y53" si="20">E43/E33</f>
        <v>5.3973070466207397E-2</v>
      </c>
      <c r="F53" s="196">
        <f t="shared" si="20"/>
        <v>5.1363812784748657E-2</v>
      </c>
      <c r="G53" s="196">
        <f t="shared" si="20"/>
        <v>5.0373366584433261E-2</v>
      </c>
      <c r="H53" s="196">
        <f t="shared" si="20"/>
        <v>4.9664313847325267E-2</v>
      </c>
      <c r="I53" s="196">
        <f t="shared" si="20"/>
        <v>4.8645201097260733E-2</v>
      </c>
      <c r="J53" s="196">
        <f t="shared" si="20"/>
        <v>4.8198652537613698E-2</v>
      </c>
      <c r="K53" s="196">
        <f t="shared" si="20"/>
        <v>4.8198652537613698E-2</v>
      </c>
      <c r="L53" s="196">
        <f t="shared" si="20"/>
        <v>4.8198652537613698E-2</v>
      </c>
      <c r="M53" s="196">
        <f t="shared" si="20"/>
        <v>4.8198652537613698E-2</v>
      </c>
      <c r="N53" s="196">
        <f t="shared" si="20"/>
        <v>4.8198652537613698E-2</v>
      </c>
      <c r="O53" s="196">
        <f t="shared" si="20"/>
        <v>4.8198652537613698E-2</v>
      </c>
      <c r="P53" s="196">
        <f t="shared" si="20"/>
        <v>4.8198652537613698E-2</v>
      </c>
      <c r="Q53" s="196">
        <f t="shared" si="20"/>
        <v>4.8198652537613698E-2</v>
      </c>
      <c r="R53" s="196">
        <f t="shared" si="20"/>
        <v>4.8198652537613698E-2</v>
      </c>
      <c r="S53" s="196">
        <f t="shared" si="20"/>
        <v>4.8198652537613698E-2</v>
      </c>
      <c r="T53" s="196">
        <f t="shared" si="20"/>
        <v>4.8198652537613698E-2</v>
      </c>
      <c r="U53" s="196">
        <f t="shared" si="20"/>
        <v>4.8198652537613698E-2</v>
      </c>
      <c r="V53" s="196">
        <f t="shared" si="20"/>
        <v>4.8198652537613698E-2</v>
      </c>
      <c r="W53" s="196">
        <f t="shared" si="20"/>
        <v>4.8198652537613698E-2</v>
      </c>
      <c r="X53" s="196">
        <f t="shared" si="20"/>
        <v>4.8198652537613698E-2</v>
      </c>
      <c r="Y53" s="196">
        <f t="shared" si="20"/>
        <v>4.8198652537613698E-2</v>
      </c>
      <c r="Z53" s="46"/>
      <c r="AA53" s="46"/>
      <c r="AB53" s="46"/>
      <c r="AC53" s="46"/>
      <c r="AD53" s="46"/>
      <c r="AE53" s="46"/>
      <c r="AF53" s="46"/>
      <c r="AG53" s="46"/>
      <c r="AH53" s="46"/>
      <c r="AI53" s="46"/>
    </row>
    <row r="54" spans="2:35">
      <c r="B54" s="180" t="s">
        <v>97</v>
      </c>
      <c r="E54" s="196">
        <f t="shared" ref="E54:AI54" si="21">E44/E35</f>
        <v>4.2682005338241846E-2</v>
      </c>
      <c r="F54" s="196">
        <f t="shared" si="21"/>
        <v>4.064561602792327E-2</v>
      </c>
      <c r="G54" s="196">
        <f t="shared" si="21"/>
        <v>4.0240362519202051E-2</v>
      </c>
      <c r="H54" s="196">
        <f t="shared" si="21"/>
        <v>3.9795298016753723E-2</v>
      </c>
      <c r="I54" s="196">
        <f t="shared" si="21"/>
        <v>3.945936219582289E-2</v>
      </c>
      <c r="J54" s="196">
        <f t="shared" si="21"/>
        <v>3.9073387628364382E-2</v>
      </c>
      <c r="K54" s="196">
        <f t="shared" si="21"/>
        <v>3.9071030848449276E-2</v>
      </c>
      <c r="L54" s="196">
        <f t="shared" si="21"/>
        <v>3.9068743350859393E-2</v>
      </c>
      <c r="M54" s="196">
        <f t="shared" si="21"/>
        <v>3.9066524249064885E-2</v>
      </c>
      <c r="N54" s="196">
        <f t="shared" si="21"/>
        <v>3.9064372682852164E-2</v>
      </c>
      <c r="O54" s="196">
        <f t="shared" si="21"/>
        <v>3.9062287817567043E-2</v>
      </c>
      <c r="P54" s="196">
        <f t="shared" si="21"/>
        <v>3.9062237460340869E-2</v>
      </c>
      <c r="Q54" s="196">
        <f t="shared" si="21"/>
        <v>3.9062241319986923E-2</v>
      </c>
      <c r="R54" s="196">
        <f t="shared" si="21"/>
        <v>3.9062299216286074E-2</v>
      </c>
      <c r="S54" s="196">
        <f t="shared" si="21"/>
        <v>3.906241098063376E-2</v>
      </c>
      <c r="T54" s="196">
        <f t="shared" si="21"/>
        <v>3.90625764559056E-2</v>
      </c>
      <c r="U54" s="196">
        <f t="shared" si="21"/>
        <v>3.9062795496329801E-2</v>
      </c>
      <c r="V54" s="196">
        <f t="shared" si="21"/>
        <v>3.9063067967366714E-2</v>
      </c>
      <c r="W54" s="196">
        <f t="shared" si="21"/>
        <v>3.9063393745594963E-2</v>
      </c>
      <c r="X54" s="196">
        <f t="shared" si="21"/>
        <v>3.9063772718604374E-2</v>
      </c>
      <c r="Y54" s="196">
        <f t="shared" si="21"/>
        <v>3.9064204784895314E-2</v>
      </c>
      <c r="Z54" s="196" t="e">
        <f t="shared" si="21"/>
        <v>#DIV/0!</v>
      </c>
      <c r="AA54" s="196" t="e">
        <f t="shared" si="21"/>
        <v>#DIV/0!</v>
      </c>
      <c r="AB54" s="196" t="e">
        <f t="shared" si="21"/>
        <v>#DIV/0!</v>
      </c>
      <c r="AC54" s="196" t="e">
        <f t="shared" si="21"/>
        <v>#DIV/0!</v>
      </c>
      <c r="AD54" s="196" t="e">
        <f t="shared" si="21"/>
        <v>#DIV/0!</v>
      </c>
      <c r="AE54" s="196" t="e">
        <f t="shared" si="21"/>
        <v>#DIV/0!</v>
      </c>
      <c r="AF54" s="196" t="e">
        <f t="shared" si="21"/>
        <v>#DIV/0!</v>
      </c>
      <c r="AG54" s="196" t="e">
        <f t="shared" si="21"/>
        <v>#DIV/0!</v>
      </c>
      <c r="AH54" s="196" t="e">
        <f t="shared" si="21"/>
        <v>#DIV/0!</v>
      </c>
      <c r="AI54" s="196" t="e">
        <f t="shared" si="21"/>
        <v>#DIV/0!</v>
      </c>
    </row>
    <row r="55" spans="2:35">
      <c r="B55" s="180"/>
      <c r="C55" t="s">
        <v>163</v>
      </c>
      <c r="E55" s="46"/>
      <c r="F55" s="197">
        <f>F56/E56-1</f>
        <v>0.2841332281797746</v>
      </c>
      <c r="G55" s="197">
        <f t="shared" ref="G55:H55" si="22">G56/F56-1</f>
        <v>0.14570400186531218</v>
      </c>
      <c r="H55" s="197">
        <f t="shared" si="22"/>
        <v>9.550906396077985E-2</v>
      </c>
      <c r="I55" s="197">
        <f>I56/H56-1</f>
        <v>8.7186913401139821E-2</v>
      </c>
      <c r="J55" s="197"/>
      <c r="K55" s="46"/>
      <c r="L55" s="46"/>
      <c r="M55" s="46"/>
      <c r="N55" s="46"/>
      <c r="O55" s="46"/>
      <c r="P55" s="46" t="s">
        <v>164</v>
      </c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</row>
    <row r="56" spans="2:35">
      <c r="B56" s="14" t="s">
        <v>165</v>
      </c>
      <c r="C56" t="s">
        <v>166</v>
      </c>
      <c r="E56" s="78">
        <v>3576991</v>
      </c>
      <c r="F56" s="198">
        <v>4593333</v>
      </c>
      <c r="G56" s="198">
        <v>5262600</v>
      </c>
      <c r="H56" s="198">
        <v>5765226</v>
      </c>
      <c r="I56" s="198">
        <v>6267878.2599999998</v>
      </c>
      <c r="J56" s="198">
        <v>6270557.0426000003</v>
      </c>
      <c r="K56" s="198">
        <v>5773262.6130259996</v>
      </c>
      <c r="L56" s="198">
        <v>5275995.2391562602</v>
      </c>
      <c r="M56" s="198">
        <v>4778755.1915478222</v>
      </c>
      <c r="N56" s="198">
        <v>4531542.7434633011</v>
      </c>
      <c r="O56" s="198">
        <v>4284358.1708979337</v>
      </c>
      <c r="P56" s="199">
        <v>4407201.7526069134</v>
      </c>
      <c r="Q56" s="199">
        <v>4533673.7701329822</v>
      </c>
      <c r="R56" s="199">
        <v>4663882.5078343125</v>
      </c>
      <c r="S56" s="199">
        <v>4797939.4929126557</v>
      </c>
      <c r="T56" s="199">
        <v>4935959.592641782</v>
      </c>
      <c r="U56" s="199">
        <v>5078061.1145121995</v>
      </c>
      <c r="V56" s="199">
        <v>5224365.9093796415</v>
      </c>
      <c r="W56" s="199">
        <v>5374999.4777074279</v>
      </c>
      <c r="X56" s="199">
        <v>5530091.0789955119</v>
      </c>
      <c r="Y56" s="199">
        <v>5689773.8444918059</v>
      </c>
      <c r="Z56" s="200">
        <v>0</v>
      </c>
      <c r="AA56" s="200">
        <v>0</v>
      </c>
      <c r="AB56" s="200">
        <v>0</v>
      </c>
      <c r="AC56" s="200">
        <v>0</v>
      </c>
      <c r="AD56" s="200">
        <v>0</v>
      </c>
      <c r="AE56" s="200">
        <v>0</v>
      </c>
      <c r="AF56" s="200">
        <v>0</v>
      </c>
      <c r="AG56" s="200">
        <v>0</v>
      </c>
      <c r="AH56" s="200">
        <v>0</v>
      </c>
      <c r="AI56" s="200">
        <v>0</v>
      </c>
    </row>
    <row r="57" spans="2:35">
      <c r="B57" t="s">
        <v>167</v>
      </c>
      <c r="F57" s="201">
        <f t="shared" ref="F57:Y57" si="23">F45</f>
        <v>0.3531959005508305</v>
      </c>
      <c r="G57" s="201">
        <f t="shared" si="23"/>
        <v>0.35352975869391251</v>
      </c>
      <c r="H57" s="201">
        <f t="shared" si="23"/>
        <v>0.35404248951254313</v>
      </c>
      <c r="I57" s="201">
        <f t="shared" si="23"/>
        <v>0.35443419051636532</v>
      </c>
      <c r="J57" s="201">
        <f t="shared" si="23"/>
        <v>0.35461965254675709</v>
      </c>
      <c r="K57" s="201">
        <f t="shared" si="23"/>
        <v>0.35471307990023959</v>
      </c>
      <c r="L57" s="201">
        <f t="shared" si="23"/>
        <v>0.35480366944810715</v>
      </c>
      <c r="M57" s="201">
        <f t="shared" si="23"/>
        <v>0.35489145269713418</v>
      </c>
      <c r="N57" s="201">
        <f t="shared" si="23"/>
        <v>0.35497646029748436</v>
      </c>
      <c r="O57" s="201">
        <f t="shared" si="23"/>
        <v>0.35505872206516831</v>
      </c>
      <c r="P57" s="201">
        <f t="shared" si="23"/>
        <v>0.35505934150602536</v>
      </c>
      <c r="Q57" s="201">
        <f t="shared" si="23"/>
        <v>0.35505769274532978</v>
      </c>
      <c r="R57" s="201">
        <f t="shared" si="23"/>
        <v>0.3550537834306482</v>
      </c>
      <c r="S57" s="201">
        <f t="shared" si="23"/>
        <v>0.35504762082625224</v>
      </c>
      <c r="T57" s="201">
        <f t="shared" si="23"/>
        <v>0.35503921181774434</v>
      </c>
      <c r="U57" s="201">
        <f t="shared" si="23"/>
        <v>0.3550285629164841</v>
      </c>
      <c r="V57" s="201">
        <f t="shared" si="23"/>
        <v>0.3550156802638238</v>
      </c>
      <c r="W57" s="201">
        <f t="shared" si="23"/>
        <v>0.35500056963515608</v>
      </c>
      <c r="X57" s="201">
        <f t="shared" si="23"/>
        <v>0.35498323644377855</v>
      </c>
      <c r="Y57" s="201">
        <f t="shared" si="23"/>
        <v>0.35496368574457954</v>
      </c>
      <c r="Z57" s="201"/>
      <c r="AA57" s="201"/>
    </row>
    <row r="58" spans="2:35">
      <c r="B58" t="s">
        <v>168</v>
      </c>
      <c r="F58" s="201">
        <f t="shared" ref="F58:AI58" si="24">F56/F23</f>
        <v>0.46853719786106296</v>
      </c>
      <c r="G58" s="201">
        <f t="shared" si="24"/>
        <v>0.53450685278087073</v>
      </c>
      <c r="H58" s="201">
        <f t="shared" si="24"/>
        <v>0.58222449918789687</v>
      </c>
      <c r="I58" s="201">
        <f t="shared" si="24"/>
        <v>0.62937702012308439</v>
      </c>
      <c r="J58" s="201">
        <f t="shared" si="24"/>
        <v>0.62907109737452871</v>
      </c>
      <c r="K58" s="201">
        <f t="shared" si="24"/>
        <v>0.57908868195707419</v>
      </c>
      <c r="L58" s="201">
        <f t="shared" si="24"/>
        <v>0.52913985430670207</v>
      </c>
      <c r="M58" s="201">
        <f t="shared" si="24"/>
        <v>0.47922033946588144</v>
      </c>
      <c r="N58" s="201">
        <f t="shared" si="24"/>
        <v>0.45439432347738512</v>
      </c>
      <c r="O58" s="201">
        <f t="shared" si="24"/>
        <v>0.4295867036399218</v>
      </c>
      <c r="P58" s="201">
        <f t="shared" si="24"/>
        <v>0.44243925314486759</v>
      </c>
      <c r="Q58" s="201">
        <f t="shared" si="24"/>
        <v>0.45569701597375911</v>
      </c>
      <c r="R58" s="201">
        <f t="shared" si="24"/>
        <v>0.46937314373882355</v>
      </c>
      <c r="S58" s="201">
        <f t="shared" si="24"/>
        <v>0.48348122493923085</v>
      </c>
      <c r="T58" s="201">
        <f t="shared" si="24"/>
        <v>0.49803529978980787</v>
      </c>
      <c r="U58" s="201">
        <f t="shared" si="24"/>
        <v>0.51304987556438875</v>
      </c>
      <c r="V58" s="201">
        <f t="shared" si="24"/>
        <v>0.52853994247209668</v>
      </c>
      <c r="W58" s="201">
        <f t="shared" si="24"/>
        <v>0.54452099008551713</v>
      </c>
      <c r="X58" s="201">
        <f t="shared" si="24"/>
        <v>0.56100902434041822</v>
      </c>
      <c r="Y58" s="201">
        <f t="shared" si="24"/>
        <v>0.57802058512738741</v>
      </c>
      <c r="Z58" s="201">
        <f t="shared" si="24"/>
        <v>0</v>
      </c>
      <c r="AA58" s="201">
        <f t="shared" si="24"/>
        <v>0</v>
      </c>
      <c r="AB58" s="201">
        <f t="shared" si="24"/>
        <v>0</v>
      </c>
      <c r="AC58" s="201">
        <f t="shared" si="24"/>
        <v>0</v>
      </c>
      <c r="AD58" s="201">
        <f t="shared" si="24"/>
        <v>0</v>
      </c>
      <c r="AE58" s="201">
        <f t="shared" si="24"/>
        <v>0</v>
      </c>
      <c r="AF58" s="201">
        <f t="shared" si="24"/>
        <v>0</v>
      </c>
      <c r="AG58" s="201">
        <f t="shared" si="24"/>
        <v>0</v>
      </c>
      <c r="AH58" s="201">
        <f t="shared" si="24"/>
        <v>0</v>
      </c>
      <c r="AI58" s="201">
        <f t="shared" si="24"/>
        <v>0</v>
      </c>
    </row>
    <row r="59" spans="2:35">
      <c r="B59" t="s">
        <v>169</v>
      </c>
      <c r="F59" s="202">
        <f>F58/F57-1</f>
        <v>0.32656465471527474</v>
      </c>
      <c r="G59" s="202">
        <f t="shared" ref="G59:AI59" si="25">G58/G57-1</f>
        <v>0.51191473882018768</v>
      </c>
      <c r="H59" s="202">
        <f t="shared" si="25"/>
        <v>0.64450459036575514</v>
      </c>
      <c r="I59" s="144">
        <f t="shared" si="25"/>
        <v>0.77572321453007254</v>
      </c>
      <c r="J59" s="144">
        <f t="shared" si="25"/>
        <v>0.77393185306216172</v>
      </c>
      <c r="K59" s="144">
        <f t="shared" si="25"/>
        <v>0.63255519678027827</v>
      </c>
      <c r="L59" s="144">
        <f t="shared" si="25"/>
        <v>0.49135958804984381</v>
      </c>
      <c r="M59" s="144">
        <f t="shared" si="25"/>
        <v>0.35032933541752564</v>
      </c>
      <c r="N59" s="144">
        <f t="shared" si="25"/>
        <v>0.28006888991057211</v>
      </c>
      <c r="O59" s="144">
        <f t="shared" si="25"/>
        <v>0.20990325527357268</v>
      </c>
      <c r="P59" s="144">
        <f t="shared" si="25"/>
        <v>0.24609945838408365</v>
      </c>
      <c r="Q59" s="144">
        <f t="shared" si="25"/>
        <v>0.28344498734918089</v>
      </c>
      <c r="R59" s="144">
        <f t="shared" si="25"/>
        <v>0.32197758661683173</v>
      </c>
      <c r="S59" s="144">
        <f t="shared" si="25"/>
        <v>0.36173627586658141</v>
      </c>
      <c r="T59" s="144">
        <f t="shared" si="25"/>
        <v>0.40276139426951252</v>
      </c>
      <c r="U59" s="144">
        <f t="shared" si="25"/>
        <v>0.44509464632871554</v>
      </c>
      <c r="V59" s="144">
        <f t="shared" si="25"/>
        <v>0.48877914935847699</v>
      </c>
      <c r="W59" s="144">
        <f t="shared" si="25"/>
        <v>0.53385948266262351</v>
      </c>
      <c r="X59" s="144">
        <f t="shared" si="25"/>
        <v>0.58038173847476759</v>
      </c>
      <c r="Y59" s="144">
        <f t="shared" si="25"/>
        <v>0.62839357472559154</v>
      </c>
      <c r="Z59" s="144" t="e">
        <f t="shared" si="25"/>
        <v>#DIV/0!</v>
      </c>
      <c r="AA59" s="144" t="e">
        <f t="shared" si="25"/>
        <v>#DIV/0!</v>
      </c>
      <c r="AB59" s="144" t="e">
        <f t="shared" si="25"/>
        <v>#DIV/0!</v>
      </c>
      <c r="AC59" s="144" t="e">
        <f t="shared" si="25"/>
        <v>#DIV/0!</v>
      </c>
      <c r="AD59" s="144" t="e">
        <f t="shared" si="25"/>
        <v>#DIV/0!</v>
      </c>
      <c r="AE59" s="144" t="e">
        <f t="shared" si="25"/>
        <v>#DIV/0!</v>
      </c>
      <c r="AF59" s="144" t="e">
        <f t="shared" si="25"/>
        <v>#DIV/0!</v>
      </c>
      <c r="AG59" s="144" t="e">
        <f t="shared" si="25"/>
        <v>#DIV/0!</v>
      </c>
      <c r="AH59" s="144" t="e">
        <f t="shared" si="25"/>
        <v>#DIV/0!</v>
      </c>
      <c r="AI59" s="144" t="e">
        <f t="shared" si="25"/>
        <v>#DIV/0!</v>
      </c>
    </row>
    <row r="60" spans="2:35">
      <c r="F60" s="201"/>
      <c r="G60" s="201"/>
      <c r="H60" s="201"/>
      <c r="I60" s="201"/>
      <c r="J60" s="201"/>
    </row>
    <row r="61" spans="2:35">
      <c r="B61" s="181" t="s">
        <v>170</v>
      </c>
      <c r="E61" s="144"/>
      <c r="F61" s="10">
        <f t="shared" ref="F61:AI61" si="26">F65/F23</f>
        <v>1.2466828816851397E-2</v>
      </c>
      <c r="G61" s="144">
        <f t="shared" si="26"/>
        <v>1.2178908575410003E-2</v>
      </c>
      <c r="H61" s="144">
        <f t="shared" si="26"/>
        <v>1.2347719001106145E-2</v>
      </c>
      <c r="I61" s="144">
        <f t="shared" si="26"/>
        <v>1.2303183823966312E-2</v>
      </c>
      <c r="J61" s="144">
        <f t="shared" si="26"/>
        <v>1.2082684004696177E-2</v>
      </c>
      <c r="K61" s="144">
        <f t="shared" si="26"/>
        <v>9.2643403844005403E-3</v>
      </c>
      <c r="L61" s="144">
        <f t="shared" si="26"/>
        <v>9.2227210267321023E-3</v>
      </c>
      <c r="M61" s="144">
        <f t="shared" si="26"/>
        <v>9.6079872807746693E-3</v>
      </c>
      <c r="N61" s="144">
        <f t="shared" si="26"/>
        <v>9.53499766898863E-3</v>
      </c>
      <c r="O61" s="144">
        <f t="shared" si="26"/>
        <v>9.399794853740007E-3</v>
      </c>
      <c r="P61" s="144">
        <f t="shared" si="26"/>
        <v>9.4111789972957608E-3</v>
      </c>
      <c r="Q61" s="144">
        <f t="shared" si="26"/>
        <v>9.4227839495297089E-3</v>
      </c>
      <c r="R61" s="144">
        <f t="shared" si="26"/>
        <v>9.4346099656301176E-3</v>
      </c>
      <c r="S61" s="144">
        <f t="shared" si="26"/>
        <v>9.4466573342638673E-3</v>
      </c>
      <c r="T61" s="144">
        <f t="shared" si="26"/>
        <v>9.4589263774212239E-3</v>
      </c>
      <c r="U61" s="144">
        <f t="shared" si="26"/>
        <v>9.4714174502757587E-3</v>
      </c>
      <c r="V61" s="144">
        <f t="shared" si="26"/>
        <v>9.4841309410591667E-3</v>
      </c>
      <c r="W61" s="144">
        <f t="shared" si="26"/>
        <v>9.4970672709507459E-3</v>
      </c>
      <c r="X61" s="144">
        <f t="shared" si="26"/>
        <v>9.5102268939813266E-3</v>
      </c>
      <c r="Y61" s="144">
        <f t="shared" si="26"/>
        <v>9.5236102969514375E-3</v>
      </c>
      <c r="Z61" s="144">
        <f t="shared" si="26"/>
        <v>0</v>
      </c>
      <c r="AA61" s="144">
        <f t="shared" si="26"/>
        <v>0</v>
      </c>
      <c r="AB61" s="144">
        <f t="shared" si="26"/>
        <v>0</v>
      </c>
      <c r="AC61" s="144">
        <f t="shared" si="26"/>
        <v>0</v>
      </c>
      <c r="AD61" s="144">
        <f t="shared" si="26"/>
        <v>0</v>
      </c>
      <c r="AE61" s="144">
        <f t="shared" si="26"/>
        <v>0</v>
      </c>
      <c r="AF61" s="144">
        <f t="shared" si="26"/>
        <v>0</v>
      </c>
      <c r="AG61" s="144">
        <f t="shared" si="26"/>
        <v>0</v>
      </c>
      <c r="AH61" s="144">
        <f t="shared" si="26"/>
        <v>0</v>
      </c>
      <c r="AI61" s="144">
        <f t="shared" si="26"/>
        <v>0</v>
      </c>
    </row>
    <row r="62" spans="2:35">
      <c r="B62" s="181" t="s">
        <v>171</v>
      </c>
      <c r="D62" s="135"/>
      <c r="E62" s="144"/>
      <c r="F62" s="10">
        <f t="shared" ref="F62:AI62" si="27">F66/F23</f>
        <v>1.2466828816851397E-2</v>
      </c>
      <c r="G62" s="10">
        <f t="shared" si="27"/>
        <v>2.4592366250793782E-2</v>
      </c>
      <c r="H62" s="10">
        <f t="shared" si="27"/>
        <v>3.6800121808668353E-2</v>
      </c>
      <c r="I62" s="10">
        <f t="shared" si="27"/>
        <v>4.8893439653181645E-2</v>
      </c>
      <c r="J62" s="10">
        <f t="shared" si="27"/>
        <v>6.0931480780601704E-2</v>
      </c>
      <c r="K62" s="10">
        <f t="shared" si="27"/>
        <v>7.0186022674657733E-2</v>
      </c>
      <c r="L62" s="10">
        <f t="shared" si="27"/>
        <v>7.9399421817189328E-2</v>
      </c>
      <c r="M62" s="10">
        <f t="shared" si="27"/>
        <v>8.8999069327555996E-2</v>
      </c>
      <c r="N62" s="10">
        <f t="shared" si="27"/>
        <v>9.8527172850523551E-2</v>
      </c>
      <c r="O62" s="10">
        <f t="shared" si="27"/>
        <v>0.10792203205205785</v>
      </c>
      <c r="P62" s="10">
        <f t="shared" si="27"/>
        <v>0.11746391601949673</v>
      </c>
      <c r="Q62" s="10">
        <f t="shared" si="27"/>
        <v>0.12703154506601275</v>
      </c>
      <c r="R62" s="10">
        <f t="shared" si="27"/>
        <v>0.1366255853131029</v>
      </c>
      <c r="S62" s="10">
        <f t="shared" si="27"/>
        <v>0.14624670442131027</v>
      </c>
      <c r="T62" s="10">
        <f t="shared" si="27"/>
        <v>0.15589557175505878</v>
      </c>
      <c r="U62" s="10">
        <f t="shared" si="27"/>
        <v>0.16557285854682136</v>
      </c>
      <c r="V62" s="10">
        <f t="shared" si="27"/>
        <v>0.17527923806072285</v>
      </c>
      <c r="W62" s="10">
        <f t="shared" si="27"/>
        <v>0.18501538575567761</v>
      </c>
      <c r="X62" s="10">
        <f t="shared" si="27"/>
        <v>0.19478197944815995</v>
      </c>
      <c r="Y62" s="10">
        <f t="shared" si="27"/>
        <v>0</v>
      </c>
      <c r="Z62" s="10">
        <f t="shared" si="27"/>
        <v>0</v>
      </c>
      <c r="AA62" s="10">
        <f t="shared" si="27"/>
        <v>0</v>
      </c>
      <c r="AB62" s="10">
        <f t="shared" si="27"/>
        <v>0</v>
      </c>
      <c r="AC62" s="10">
        <f t="shared" si="27"/>
        <v>0</v>
      </c>
      <c r="AD62" s="10">
        <f t="shared" si="27"/>
        <v>0</v>
      </c>
      <c r="AE62" s="10">
        <f t="shared" si="27"/>
        <v>0</v>
      </c>
      <c r="AF62" s="10">
        <f t="shared" si="27"/>
        <v>0</v>
      </c>
      <c r="AG62" s="10">
        <f t="shared" si="27"/>
        <v>0</v>
      </c>
      <c r="AH62" s="10">
        <f t="shared" si="27"/>
        <v>0</v>
      </c>
      <c r="AI62" s="10">
        <f t="shared" si="27"/>
        <v>0</v>
      </c>
    </row>
    <row r="63" spans="2:35">
      <c r="B63" s="181"/>
      <c r="D63" s="135"/>
      <c r="E63" s="144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2:35">
      <c r="D64" s="135"/>
      <c r="E64" s="144"/>
      <c r="F64" s="10" t="s">
        <v>172</v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7">
      <c r="D65" s="135" t="s">
        <v>173</v>
      </c>
      <c r="E65" s="7"/>
      <c r="F65" s="200">
        <v>122219.31678256049</v>
      </c>
      <c r="G65" s="200">
        <v>119910.0141289086</v>
      </c>
      <c r="H65" s="200">
        <v>122267.94084612612</v>
      </c>
      <c r="I65" s="200">
        <v>122525.69756032898</v>
      </c>
      <c r="J65" s="200">
        <v>120439.7397931157</v>
      </c>
      <c r="K65" s="200">
        <v>92361.449363590305</v>
      </c>
      <c r="L65" s="200">
        <v>91958.736113082443</v>
      </c>
      <c r="M65" s="200">
        <v>95810.247013933971</v>
      </c>
      <c r="N65" s="200">
        <v>95089.765129945255</v>
      </c>
      <c r="O65" s="200">
        <v>93746.122831914457</v>
      </c>
      <c r="P65" s="79">
        <f>O65</f>
        <v>93746.122831914457</v>
      </c>
      <c r="Q65" s="79">
        <f t="shared" ref="Q65:Y65" si="28">P65</f>
        <v>93746.122831914457</v>
      </c>
      <c r="R65" s="79">
        <f t="shared" si="28"/>
        <v>93746.122831914457</v>
      </c>
      <c r="S65" s="79">
        <f t="shared" si="28"/>
        <v>93746.122831914457</v>
      </c>
      <c r="T65" s="79">
        <f t="shared" si="28"/>
        <v>93746.122831914457</v>
      </c>
      <c r="U65" s="79">
        <f t="shared" si="28"/>
        <v>93746.122831914457</v>
      </c>
      <c r="V65" s="79">
        <f t="shared" si="28"/>
        <v>93746.122831914457</v>
      </c>
      <c r="W65" s="79">
        <f t="shared" si="28"/>
        <v>93746.122831914457</v>
      </c>
      <c r="X65" s="79">
        <f t="shared" si="28"/>
        <v>93746.122831914457</v>
      </c>
      <c r="Y65" s="79">
        <f t="shared" si="28"/>
        <v>93746.122831914457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</row>
    <row r="66" spans="1:37">
      <c r="B66" t="s">
        <v>174</v>
      </c>
      <c r="D66" s="135"/>
      <c r="E66" s="7"/>
      <c r="F66" s="7">
        <f>F65+E65</f>
        <v>122219.31678256049</v>
      </c>
      <c r="G66" s="7">
        <f>G65+F66</f>
        <v>242129.33091146909</v>
      </c>
      <c r="H66" s="7">
        <f t="shared" ref="H66:X66" si="29">H65+G66</f>
        <v>364397.27175759524</v>
      </c>
      <c r="I66" s="7">
        <f t="shared" si="29"/>
        <v>486922.96931792423</v>
      </c>
      <c r="J66" s="7">
        <f t="shared" si="29"/>
        <v>607362.70911103999</v>
      </c>
      <c r="K66" s="7">
        <f t="shared" si="29"/>
        <v>699724.15847463033</v>
      </c>
      <c r="L66" s="7">
        <f t="shared" si="29"/>
        <v>791682.89458771283</v>
      </c>
      <c r="M66" s="7">
        <f t="shared" si="29"/>
        <v>887493.14160164678</v>
      </c>
      <c r="N66" s="7">
        <f t="shared" si="29"/>
        <v>982582.90673159203</v>
      </c>
      <c r="O66" s="7">
        <f t="shared" si="29"/>
        <v>1076329.0295635066</v>
      </c>
      <c r="P66" s="7">
        <f t="shared" si="29"/>
        <v>1170075.1523954212</v>
      </c>
      <c r="Q66" s="7">
        <f t="shared" si="29"/>
        <v>1263821.2752273357</v>
      </c>
      <c r="R66" s="7">
        <f t="shared" si="29"/>
        <v>1357567.3980592503</v>
      </c>
      <c r="S66" s="7">
        <f t="shared" si="29"/>
        <v>1451313.5208911649</v>
      </c>
      <c r="T66" s="7">
        <f t="shared" si="29"/>
        <v>1545059.6437230795</v>
      </c>
      <c r="U66" s="7">
        <f t="shared" si="29"/>
        <v>1638805.766554994</v>
      </c>
      <c r="V66" s="7">
        <f t="shared" si="29"/>
        <v>1732551.8893869086</v>
      </c>
      <c r="W66" s="7">
        <f t="shared" si="29"/>
        <v>1826298.0122188232</v>
      </c>
      <c r="X66" s="7">
        <f t="shared" si="29"/>
        <v>1920044.1350507378</v>
      </c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spans="1:37">
      <c r="D67" s="135"/>
      <c r="E67" s="7"/>
      <c r="F67" s="7" t="s">
        <v>175</v>
      </c>
      <c r="G67" s="7">
        <v>26510537.47334706</v>
      </c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>
        <f t="shared" ref="Y67:AI67" si="30">X67+Y65</f>
        <v>93746.122831914457</v>
      </c>
      <c r="Z67" s="7">
        <f t="shared" si="30"/>
        <v>93746.122831914457</v>
      </c>
      <c r="AA67" s="7">
        <f t="shared" si="30"/>
        <v>93746.122831914457</v>
      </c>
      <c r="AB67" s="7">
        <f t="shared" si="30"/>
        <v>93746.122831914457</v>
      </c>
      <c r="AC67" s="7">
        <f t="shared" si="30"/>
        <v>93746.122831914457</v>
      </c>
      <c r="AD67" s="7">
        <f t="shared" si="30"/>
        <v>93746.122831914457</v>
      </c>
      <c r="AE67" s="7">
        <f t="shared" si="30"/>
        <v>93746.122831914457</v>
      </c>
      <c r="AF67" s="7">
        <f t="shared" si="30"/>
        <v>93746.122831914457</v>
      </c>
      <c r="AG67" s="7">
        <f t="shared" si="30"/>
        <v>93746.122831914457</v>
      </c>
      <c r="AH67" s="7">
        <f t="shared" si="30"/>
        <v>93746.122831914457</v>
      </c>
      <c r="AI67" s="7">
        <f t="shared" si="30"/>
        <v>93746.122831914457</v>
      </c>
    </row>
    <row r="68" spans="1:37">
      <c r="A68" s="183" t="s">
        <v>176</v>
      </c>
      <c r="F68" s="156" t="s">
        <v>177</v>
      </c>
      <c r="G68" s="2">
        <v>26232023.384817552</v>
      </c>
      <c r="H68" s="9">
        <f>F72/15</f>
        <v>80383.696266666651</v>
      </c>
      <c r="I68" s="9">
        <f>G72/15</f>
        <v>133789.87773333336</v>
      </c>
      <c r="J68" s="9">
        <f>H72/15</f>
        <v>177298.23653333337</v>
      </c>
    </row>
    <row r="69" spans="1:37">
      <c r="B69" s="153" t="s">
        <v>178</v>
      </c>
      <c r="C69" s="20">
        <v>15</v>
      </c>
      <c r="D69" s="15"/>
      <c r="E69" s="2">
        <f>F56-F91+F71</f>
        <v>1111225.7723598434</v>
      </c>
      <c r="F69" t="s">
        <v>179</v>
      </c>
      <c r="G69" s="28">
        <v>28745210.345081311</v>
      </c>
      <c r="K69" s="8">
        <f>K56+K77</f>
        <v>7894857.1801028587</v>
      </c>
    </row>
    <row r="70" spans="1:37">
      <c r="B70" s="153" t="s">
        <v>180</v>
      </c>
      <c r="C70" s="221">
        <f>(8.92%-1%)/(1-0.27715)*0.5+2.01%+0.16%</f>
        <v>7.6483150031126795E-2</v>
      </c>
      <c r="F70" t="s">
        <v>181</v>
      </c>
      <c r="G70" s="7">
        <f>SUM(F72:Y72)</f>
        <v>34405045.383728452</v>
      </c>
      <c r="I70" s="109">
        <f>G72/15</f>
        <v>133789.87773333336</v>
      </c>
      <c r="J70" s="9"/>
      <c r="T70" t="s">
        <v>182</v>
      </c>
    </row>
    <row r="71" spans="1:37">
      <c r="C71" t="s">
        <v>183</v>
      </c>
      <c r="D71" t="s">
        <v>184</v>
      </c>
      <c r="F71" s="151">
        <v>75000</v>
      </c>
      <c r="G71" s="151">
        <v>225000</v>
      </c>
      <c r="H71" s="151">
        <v>400000</v>
      </c>
      <c r="I71" s="151">
        <v>660000</v>
      </c>
      <c r="J71" s="151">
        <v>925000</v>
      </c>
      <c r="K71" s="151">
        <v>1100000</v>
      </c>
      <c r="L71" s="151">
        <v>1175000</v>
      </c>
      <c r="M71" s="151">
        <v>1175000</v>
      </c>
      <c r="N71" s="151">
        <v>1100000</v>
      </c>
      <c r="O71" s="151">
        <v>950000</v>
      </c>
      <c r="P71" s="151">
        <v>775000</v>
      </c>
      <c r="Q71" s="151">
        <v>550000</v>
      </c>
      <c r="R71" s="151">
        <v>300000</v>
      </c>
      <c r="S71" s="151">
        <v>50000</v>
      </c>
      <c r="T71" s="152">
        <v>-250000</v>
      </c>
      <c r="U71" s="152">
        <v>-650000</v>
      </c>
      <c r="V71" s="152">
        <v>-1050000</v>
      </c>
      <c r="W71" s="152">
        <v>-1550000</v>
      </c>
      <c r="X71" s="152">
        <v>-2030879</v>
      </c>
      <c r="Y71" s="152">
        <f>-2250000+AJ72</f>
        <v>-2195671</v>
      </c>
    </row>
    <row r="72" spans="1:37" ht="12.75" customHeight="1">
      <c r="B72" s="153" t="s">
        <v>185</v>
      </c>
      <c r="C72" s="8" t="s">
        <v>186</v>
      </c>
      <c r="E72" s="7"/>
      <c r="F72" s="154">
        <f>F56-F44+F71</f>
        <v>1205755.4439999997</v>
      </c>
      <c r="G72" s="154">
        <f>G56-G44+G71</f>
        <v>2006848.1660000002</v>
      </c>
      <c r="H72" s="154">
        <f>H56-H44+H71</f>
        <v>2659473.5480000004</v>
      </c>
      <c r="I72" s="154">
        <f>I56-I44+I71</f>
        <v>3398117.4229999995</v>
      </c>
      <c r="J72" s="154">
        <f t="shared" ref="J72:Y72" si="31">J56-J44+J71</f>
        <v>3660721.6813792391</v>
      </c>
      <c r="K72" s="154">
        <f t="shared" si="31"/>
        <v>3336927.2876342358</v>
      </c>
      <c r="L72" s="154">
        <f t="shared" si="31"/>
        <v>2913286.9081592113</v>
      </c>
      <c r="M72" s="154">
        <f t="shared" si="31"/>
        <v>2414799.8669416085</v>
      </c>
      <c r="N72" s="154">
        <f t="shared" si="31"/>
        <v>2091465.5029486269</v>
      </c>
      <c r="O72" s="154">
        <f t="shared" si="31"/>
        <v>1693283.1698812675</v>
      </c>
      <c r="P72" s="154">
        <f t="shared" si="31"/>
        <v>1645404.0090928581</v>
      </c>
      <c r="Q72" s="154">
        <f t="shared" si="31"/>
        <v>1551248.2943073269</v>
      </c>
      <c r="R72" s="154">
        <f t="shared" si="31"/>
        <v>1435923.6717318101</v>
      </c>
      <c r="S72" s="154">
        <f t="shared" si="31"/>
        <v>1324541.0361451413</v>
      </c>
      <c r="T72" s="154">
        <f t="shared" si="31"/>
        <v>1167214.6280270545</v>
      </c>
      <c r="U72" s="154">
        <f t="shared" si="31"/>
        <v>914062.13360593934</v>
      </c>
      <c r="V72" s="154">
        <f t="shared" si="31"/>
        <v>665204.78791253269</v>
      </c>
      <c r="W72" s="154">
        <f t="shared" si="31"/>
        <v>320767.48092961498</v>
      </c>
      <c r="X72" s="154">
        <f t="shared" si="31"/>
        <v>-0.13306954503059387</v>
      </c>
      <c r="Y72" s="154">
        <f t="shared" si="31"/>
        <v>0.4771015290170908</v>
      </c>
      <c r="Z72" s="7" t="e">
        <f>IF(Z$2-$F$2&lt;#REF!,#REF!/#REF!,0)</f>
        <v>#REF!</v>
      </c>
      <c r="AA72" s="7" t="e">
        <f>IF(AA$2-$F$2&lt;#REF!,#REF!/#REF!,0)</f>
        <v>#REF!</v>
      </c>
      <c r="AB72" s="7" t="e">
        <f>IF(AB$2-$F$2&lt;#REF!,#REF!/#REF!,0)</f>
        <v>#REF!</v>
      </c>
      <c r="AC72" s="7" t="e">
        <f>IF(AC$2-$F$2&lt;#REF!,#REF!/#REF!,0)</f>
        <v>#REF!</v>
      </c>
      <c r="AD72" s="7" t="e">
        <f>IF(AD$2-$F$2&lt;#REF!,#REF!/#REF!,0)</f>
        <v>#REF!</v>
      </c>
      <c r="AE72" s="7" t="e">
        <f>IF(AE$2-$F$2&lt;#REF!,#REF!/#REF!,0)</f>
        <v>#REF!</v>
      </c>
      <c r="AF72" s="7" t="e">
        <f>IF(AF$2-$F$2&lt;#REF!,#REF!/#REF!,0)</f>
        <v>#REF!</v>
      </c>
      <c r="AG72" s="7" t="e">
        <f>IF(AG$2-$F$2&lt;#REF!,#REF!/#REF!,0)</f>
        <v>#REF!</v>
      </c>
      <c r="AH72" s="7" t="e">
        <f>IF(AH$2-$F$2&lt;#REF!,#REF!/#REF!,0)</f>
        <v>#REF!</v>
      </c>
      <c r="AI72" s="7" t="e">
        <f>IF(AI$2-$F$2&lt;#REF!,#REF!/#REF!,0)</f>
        <v>#REF!</v>
      </c>
      <c r="AJ72">
        <v>54329</v>
      </c>
      <c r="AK72" s="2"/>
    </row>
    <row r="73" spans="1:37">
      <c r="B73" s="155" t="s">
        <v>187</v>
      </c>
      <c r="C73" s="8"/>
      <c r="E73" s="156"/>
      <c r="F73" s="8">
        <f>IF(F$2-$F$2&lt;$C$69,$F$72/$C$69,0)</f>
        <v>80383.696266666651</v>
      </c>
      <c r="G73" s="8">
        <f>IF(G$2-$F$2&lt;$C$69,$F$72/$C$69,0)+IF(G$2-$G$2&lt;$C$69,$G$72/$C$69,0)</f>
        <v>214173.57400000002</v>
      </c>
      <c r="H73" s="8">
        <f>IF(H$2-$F$2&lt;$C$69,$F$72/$C$69,0)+IF(H$2-$G$2&lt;$C$69,$G$72/$C$69,0)+IF(H$2-$H$2&lt;$C$69,$H$72/$C$69,0)</f>
        <v>391471.8105333334</v>
      </c>
      <c r="I73" s="8">
        <f>IF(I$2-$F$2&lt;$C$69,$F$72/$C$69,0)+IF(I$2-$G$2&lt;$C$69,$G$72/$C$69,0)+IF(I$2-$H$2&lt;$C$69,$H$72/$C$69,0)+IF(I$2-$I$2&lt;$C$69,$I$72/$C$69,0)</f>
        <v>618012.9720666667</v>
      </c>
      <c r="J73" s="8">
        <f t="shared" ref="J73:Z73" si="32">IF(J$2-$F$2&lt;$C$69,$F$72/$C$69,0)+IF(J$2-$G$2&lt;$C$69,$G$72/$C$69,0)+IF(J$2-$H$2&lt;$C$69,$H$72/$C$69,0)+IF(J$2-$I$2&lt;$C$69,$I$72/$C$69,0)+IF(J$2-$J$2&lt;$C$69,$J$72/$C$69,0)</f>
        <v>862061.08415861591</v>
      </c>
      <c r="K73" s="8">
        <f>IF(K$2-$F$2&lt;$C$69,$F$72/$C$69,0)+IF(K$2-$G$2&lt;$C$69,$G$72/$C$69,0)+IF(K$2-$H$2&lt;$C$69,$H$72/$C$69,0)+IF(K$2-$I$2&lt;$C$69,$I$72/$C$69,0)+IF(K$2-$J$2&lt;$C$69,$J$72/$C$69,0)+IF(K$2-$K$2&lt;$C$69,$K$72/$C$69,0)</f>
        <v>1084522.9033342316</v>
      </c>
      <c r="L73" s="157">
        <f>IF(L$2-$F$2&lt;$C$69,$F$72/$C$69,0)+IF(L$2-$G$2&lt;$C$69,$G$72/$C$69,0)+IF(L$2-$H$2&lt;$C$69,$H$72/$C$69,0)+IF(L$2-$I$2&lt;$C$69,$I$72/$C$69,0)+IF(L$2-$J$2&lt;$C$69,$J$72/$C$69,0)+IF(L$2-$K$2&lt;$C$69,$K$72/$C$69,0)+IF(L$2-$L$2&lt;$C$69,$L$72/$C$69,0)</f>
        <v>1278742.0305448456</v>
      </c>
      <c r="M73" s="157">
        <f>IF(M$2-$F$2&lt;$C$69,$F$72/$C$69,0)+IF(M$2-$G$2&lt;$C$69,$G$72/$C$69,0)+IF(M$2-$H$2&lt;$C$69,$H$72/$C$69,0)+IF(M$2-$I$2&lt;$C$69,$I$72/$C$69,0)+IF(M$2-$J$2&lt;$C$69,$J$72/$C$69,0)+IF(M$2-$K$2&lt;$C$69,$K$72/$C$69,0)+IF(M$2-$L$2&lt;$C$69,$L$72/$C$69,0)+IF(M$2-$M$2&lt;$C$69,$M$72/$C$69,0)</f>
        <v>1439728.6883409529</v>
      </c>
      <c r="N73" s="157">
        <f>IF(N$2-$F$2&lt;$C$69,$F$72/$C$69,0)+IF(N$2-$G$2&lt;$C$69,$G$72/$C$69,0)+IF(N$2-$H$2&lt;$C$69,$H$72/$C$69,0)+IF(N$2-$I$2&lt;$C$69,$I$72/$C$69,0)+IF(N$2-$J$2&lt;$C$69,$J$72/$C$69,0)+IF(N$2-$K$2&lt;$C$69,$K$72/$C$69,0)+IF(N$2-$L$2&lt;$C$69,$L$72/$C$69,0)+IF(N$2-$M$2&lt;$C$69,$M$72/$C$69,0)+IF(N$2-$N$2&lt;$C$69,$N$72/$C$69,0)</f>
        <v>1579159.7218708612</v>
      </c>
      <c r="O73" s="157">
        <f>IF(O$2-$F$2&lt;$C$69,$F$72/$C$69,0)+IF(O$2-$G$2&lt;$C$69,$G$72/$C$69,0)+IF(O$2-$H$2&lt;$C$69,$H$72/$C$69,0)+IF(O$2-$I$2&lt;$C$69,$I$72/$C$69,0)+IF(O$2-$J$2&lt;$C$69,$J$72/$C$69,0)+IF(O$2-$K$2&lt;$C$69,$K$72/$C$69,0)+IF(O$2-$L$2&lt;$C$69,$L$72/$C$69,0)+IF(O$2-$M$2&lt;$C$69,$M$72/$C$69,0)+IF(O$2-$N$2&lt;$C$69,$N$72/$C$69,0)+IF(O$2-$O$2&lt;$C$69,$O$72/$C$69,0)</f>
        <v>1692045.2665296125</v>
      </c>
      <c r="P73" s="157">
        <f>IF(P$2-$F$2&lt;$C$69,$F$72/$C$69,0)+IF(P$2-$G$2&lt;$C$69,$G$72/$C$69,0)+IF(P$2-$H$2&lt;$C$69,$H$72/$C$69,0)+IF(P$2-$I$2&lt;$C$69,$I$72/$C$69,0)+IF(P$2-$J$2&lt;$C$69,$J$72/$C$69,0)+IF(P$2-$K$2&lt;$C$69,$K$72/$C$69,0)+IF(P$2-$L$2&lt;$C$69,$L$72/$C$69,0)+IF(P$2-$M$2&lt;$C$69,$M$72/$C$69,0)+IF(P$2-$N$2&lt;$C$69,$N$72/$C$69,0)+IF(P$2-$O$2&lt;$C$69,$O$72/$C$69,0)+IF(P$2-$P$2&lt;$C$69,$P$72/$C$69,0)</f>
        <v>1801738.867135803</v>
      </c>
      <c r="Q73" s="157">
        <f>IF(Q$2-$F$2&lt;$C$69,$F$72/$C$69,0)+IF(Q$2-$G$2&lt;$C$69,$G$72/$C$69,0)+IF(Q$2-$H$2&lt;$C$69,$H$72/$C$69,0)+IF(Q$2-$I$2&lt;$C$69,$I$72/$C$69,0)+IF(Q$2-$J$2&lt;$C$69,$J$72/$C$69,0)+IF(Q$2-$K$2&lt;$C$69,$K$72/$C$69,0)+IF(Q$2-$L$2&lt;$C$69,$L$72/$C$69,0)+IF(Q$2-$M$2&lt;$C$69,$M$72/$C$69,0)+IF(Q$2-$N$2&lt;$C$69,$N$72/$C$69,0)+IF(Q$2-$O$2&lt;$C$69,$O$72/$C$69,0)+IF(Q$2-$P$2&lt;$C$69,$P$72/$C$69,0)+IF(Q$2-$Q$2&lt;$C$69,$Q$72/$C$69,0)</f>
        <v>1905155.4200896248</v>
      </c>
      <c r="R73" s="157">
        <f>IF(R$2-$F$2&lt;$C$69,$F$72/$C$69,0)+IF(R$2-$G$2&lt;$C$69,$G$72/$C$69,0)+IF(R$2-$H$2&lt;$C$69,$H$72/$C$69,0)+IF(R$2-$I$2&lt;$C$69,$I$72/$C$69,0)+IF(R$2-$J$2&lt;$C$69,$J$72/$C$69,0)+IF(R$2-$K$2&lt;$C$69,$K$72/$C$69,0)+IF(R$2-$L$2&lt;$C$69,$L$72/$C$69,0)+IF(R$2-$M$2&lt;$C$69,$M$72/$C$69,0)+IF(R$2-$N$2&lt;$C$69,$N$72/$C$69,0)+IF(R$2-$O$2&lt;$C$69,$O$72/$C$69,0)+IF(R$2-$P$2&lt;$C$69,$P$72/$C$69,0)+IF(R$2-$Q$2&lt;$C$69,$Q$72/$C$69,0)+IF(R$2-$R$2&lt;$C$69,$R$72/$C$69,0)</f>
        <v>2000883.6648717455</v>
      </c>
      <c r="S73" s="157">
        <f>IF(S$2-$F$2&lt;$C$69,$F$72/$C$69,0)+IF(S$2-$G$2&lt;$C$69,$G$72/$C$69,0)+IF(S$2-$H$2&lt;$C$69,$H$72/$C$69,0)+IF(S$2-$I$2&lt;$C$69,$I$72/$C$69,0)+IF(S$2-$J$2&lt;$C$69,$J$72/$C$69,0)+IF(S$2-$K$2&lt;$C$69,$K$72/$C$69,0)+IF(S$2-$L$2&lt;$C$69,$L$72/$C$69,0)+IF(S$2-$M$2&lt;$C$69,$M$72/$C$69,0)+IF(S$2-$N$2&lt;$C$69,$N$72/$C$69,0)+IF(S$2-$O$2&lt;$C$69,$O$72/$C$69,0)+IF(S$2-$P$2&lt;$C$69,$P$72/$C$69,0)+IF(S$2-$Q$2&lt;$C$69,$Q$72/$C$69,0)+IF(S$2-$R$2&lt;$C$69,$R$72/$C$69,0)+IF(S$2-$S$2&lt;$C$69,$S$72/$C$69,0)</f>
        <v>2089186.400614755</v>
      </c>
      <c r="T73" s="157">
        <f>IF(T$2-$F$2&lt;$C$69,$F$72/$C$69,0)+IF(T$2-$G$2&lt;$C$69,$G$72/$C$69,0)+IF(T$2-$H$2&lt;$C$69,$H$72/$C$69,0)+IF(T$2-$I$2&lt;$C$69,$I$72/$C$69,0)+IF(T$2-$J$2&lt;$C$69,$J$72/$C$69,0)+IF(T$2-$K$2&lt;$C$69,$K$72/$C$69,0)+IF(T$2-$L$2&lt;$C$69,$L$72/$C$69,0)+IF(T$2-$M$2&lt;$C$69,$M$72/$C$69,0)+IF(T$2-$N$2&lt;$C$69,$N$72/$C$69,0)+IF(T$2-$O$2&lt;$C$69,$O$72/$C$69,0)+IF(T$2-$P$2&lt;$C$69,$P$72/$C$69,0)+IF(T$2-$Q$2&lt;$C$69,$Q$72/$C$69,0)+IF(T$2-$R$2&lt;$C$69,$R$72/$C$69,0)+IF(T$2-$S$2&lt;$C$69,$S$72/$C$69,0)+IF(T$2-$T$2&lt;$C$69,$T$72/$C$69,0)</f>
        <v>2167000.709149892</v>
      </c>
      <c r="U73" s="157">
        <f>IF(U$2-$F$2&lt;$C$69,$F$72/$C$69,0)+IF(U$2-$G$2&lt;$C$69,$G$72/$C$69,0)+IF(U$2-$H$2&lt;$C$69,$H$72/$C$69,0)+IF(U$2-$I$2&lt;$C$69,$I$72/$C$69,0)+IF(U$2-$J$2&lt;$C$69,$J$72/$C$69,0)+IF(U$2-$K$2&lt;$C$69,$K$72/$C$69,0)+IF(U$2-$L$2&lt;$C$69,$L$72/$C$69,0)+IF(U$2-$M$2&lt;$C$69,$M$72/$C$69,0)+IF(U$2-$N$2&lt;$C$69,$N$72/$C$69,0)+IF(U$2-$O$2&lt;$C$69,$O$72/$C$69,0)+IF(U$2-$P$2&lt;$C$69,$P$72/$C$69,0)+IF(U$2-$Q$2&lt;$C$69,$Q$72/$C$69,0)+IF(U$2-$R$2&lt;$C$69,$R$72/$C$69,0)+IF(U$2-$S$2&lt;$C$69,$S$72/$C$69,0)+IF(U$2-$T$2&lt;$C$69,$T$72/$C$69,0)+IF(U$2-$U$2&lt;$C$69,$U$72/$C$69,0)</f>
        <v>2147554.4884569547</v>
      </c>
      <c r="V73" s="157">
        <f>IF(V$2-$F$2&lt;$C$69,$F$72/$C$69,0)+IF(V$2-$G$2&lt;$C$69,$G$72/$C$69,0)+IF(V$2-$H$2&lt;$C$69,$H$72/$C$69,0)+IF(V$2-$I$2&lt;$C$69,$I$72/$C$69,0)+IF(V$2-$J$2&lt;$C$69,$J$72/$C$69,0)+IF(V$2-$K$2&lt;$C$69,$K$72/$C$69,0)+IF(V$2-$L$2&lt;$C$69,$L$72/$C$69,0)+IF(V$2-$M$2&lt;$C$69,$M$72/$C$69,0)+IF(V$2-$N$2&lt;$C$69,$N$72/$C$69,0)+IF(V$2-$O$2&lt;$C$69,$O$72/$C$69,0)+IF(V$2-$P$2&lt;$C$69,$P$72/$C$69,0)+IF(V$2-$Q$2&lt;$C$69,$Q$72/$C$69,0)+IF(V$2-$R$2&lt;$C$69,$R$72/$C$69,0)+IF(V$2-$S$2&lt;$C$69,$S$72/$C$69,0)+IF(V$2-$T$2&lt;$C$69,$T$72/$C$69,0)+IF(V$2-$U$2&lt;$C$69,$U$72/$C$69,0)+IF(V$2-$V$2&lt;$C$69,$V$72/$C$69,0)</f>
        <v>2058111.5965844567</v>
      </c>
      <c r="W73" s="157">
        <f>IF(W$2-$F$2&lt;$C$69,$F$72/$C$69,0)+IF(W$2-$G$2&lt;$C$69,$G$72/$C$69,0)+IF(W$2-$H$2&lt;$C$69,$H$72/$C$69,0)+IF(W$2-$I$2&lt;$C$69,$I$72/$C$69,0)+IF(W$2-$J$2&lt;$C$69,$J$72/$C$69,0)+IF(W$2-$K$2&lt;$C$69,$K$72/$C$69,0)+IF(W$2-$L$2&lt;$C$69,$L$72/$C$69,0)+IF(W$2-$M$2&lt;$C$69,$M$72/$C$69,0)+IF(W$2-$N$2&lt;$C$69,$N$72/$C$69,0)+IF(W$2-$O$2&lt;$C$69,$O$72/$C$69,0)+IF(W$2-$P$2&lt;$C$69,$P$72/$C$69,0)+IF(W$2-$Q$2&lt;$C$69,$Q$72/$C$69,0)+IF(W$2-$R$2&lt;$C$69,$R$72/$C$69,0)+IF(W$2-$S$2&lt;$C$69,$S$72/$C$69,0)+IF(W$2-$T$2&lt;$C$69,$T$72/$C$69,0)+IF(W$2-$U$2&lt;$C$69,$U$72/$C$69,0)+IF(W$2-$V$2&lt;$C$69,$V$72/$C$69,0)+IF(W$2-$W$2&lt;$C$69,$W$72/$C$69,0)</f>
        <v>1902197.8587797645</v>
      </c>
      <c r="X73" s="157">
        <f>IF(X$2-$F$2&lt;$C$69,$F$72/$C$69,0)+IF(X$2-$G$2&lt;$C$69,$G$72/$C$69,0)+IF(X$2-$H$2&lt;$C$69,$H$72/$C$69,0)+IF(X$2-$I$2&lt;$C$69,$I$72/$C$69,0)+IF(X$2-$J$2&lt;$C$69,$J$72/$C$69,0)+IF(X$2-$K$2&lt;$C$69,$K$72/$C$69,0)+IF(X$2-$L$2&lt;$C$69,$L$72/$C$69,0)+IF(X$2-$M$2&lt;$C$69,$M$72/$C$69,0)+IF(X$2-$N$2&lt;$C$69,$N$72/$C$69,0)+IF(X$2-$O$2&lt;$C$69,$O$72/$C$69,0)+IF(X$2-$P$2&lt;$C$69,$P$72/$C$69,0)+IF(X$2-$Q$2&lt;$C$69,$Q$72/$C$69,0)+IF(X$2-$R$2&lt;$C$69,$R$72/$C$69,0)+IF(X$2-$S$2&lt;$C$69,$S$72/$C$69,0)+IF(X$2-$T$2&lt;$C$69,$T$72/$C$69,0)+IF(X$2-$U$2&lt;$C$69,$U$72/$C$69,0)+IF(X$2-$V$2&lt;$C$69,$V$72/$C$69,0)+IF(X$2-$W$2&lt;$C$69,$W$72/$C$69,0)+IF(X$2-$X$2&lt;$C$69,$X$72/$C$69,0)</f>
        <v>1675656.6883751284</v>
      </c>
      <c r="Y73" s="157">
        <f>IF(Y$2-$F$2&lt;$C$69,$F$72/$C$69,0)+IF(Y$2-$G$2&lt;$C$69,$G$72/$C$69,0)+IF(Y$2-$H$2&lt;$C$69,$H$72/$C$69,0)+IF(Y$2-$I$2&lt;$C$69,$I$72/$C$69,0)+IF(Y$2-$J$2&lt;$C$69,$J$72/$C$69,0)+IF(Y$2-$K$2&lt;$C$69,$K$72/$C$69,0)+IF(Y$2-$L$2&lt;$C$69,$L$72/$C$69,0)+IF(Y$2-$M$2&lt;$C$69,$M$72/$C$69,0)+IF(Y$2-$N$2&lt;$C$69,$N$72/$C$69,0)+IF(Y$2-$O$2&lt;$C$69,$O$72/$C$69,0)+IF(Y$2-$P$2&lt;$C$69,$P$72/$C$69,0)+IF(Y$2-$Q$2&lt;$C$69,$Q$72/$C$69,0)+IF(Y$2-$R$2&lt;$C$69,$R$72/$C$69,0)+IF(Y$2-$S$2&lt;$C$69,$S$72/$C$69,0)+IF(Y$2-$T$2&lt;$C$69,$T$72/$C$69,0)+IF(Y$2-$U$2&lt;$C$69,$U$72/$C$69,0)+IF(Y$2-$V$2&lt;$C$69,$V$72/$C$69,0)+IF(Y$2-$W$2&lt;$C$69,$W$72/$C$69,0)+IF(Y$2-$X$2&lt;$C$69,$X$72/$C$69,0)+IF(Y$2-$Y$2&lt;$C$69,$Y$72/$C$69,0)</f>
        <v>1431608.6080899478</v>
      </c>
      <c r="Z73" s="8">
        <f t="shared" si="32"/>
        <v>0</v>
      </c>
      <c r="AA73" s="8">
        <f>IF(AA$2-$F$2&lt;$C$69,$F$72/$C$69,0)+IF(AA$2-$G$2&lt;$C$69,$G$72/$C$69,0)+IF(AA$2-$H$2&lt;$C$69,$H$72/$C$69,0)+IF(AA$2-$I$2&lt;$C$69,$I$72/$C$69,0)+IF(AA$2-$J$2&lt;$C$69,AA$72/$C$69,0)</f>
        <v>0</v>
      </c>
      <c r="AB73" s="8">
        <f>IF(AB$2-$F$2&lt;$C$69,$F$72/$C$69,0)+IF(AB$2-$G$2&lt;$C$69,$G$72/$C$69,0)+IF(AB$2-$H$2&lt;$C$69,$H$72/$C$69,0)+IF(AB$2-$I$2&lt;$C$69,$I$72/$C$69,0)+IF(AB$2-$J$2&lt;$C$69,AB$72/$C$69,0)</f>
        <v>0</v>
      </c>
      <c r="AC73" s="8">
        <f t="shared" ref="AC73:AI73" si="33">IF(AC$2-$F$2&lt;$C$69,$F$72/$C$69,0)+IF(AC$2-$G$2&lt;$C$69,$G$72/$C$69,0)+IF(AC$2-$H$2&lt;$C$69,$H$72/$C$69,0)+IF(AC$2-$I$2&lt;$C$69,$I$72/$C$69,0)</f>
        <v>0</v>
      </c>
      <c r="AD73" s="8">
        <f t="shared" si="33"/>
        <v>0</v>
      </c>
      <c r="AE73" s="8">
        <f t="shared" si="33"/>
        <v>0</v>
      </c>
      <c r="AF73" s="8">
        <f t="shared" si="33"/>
        <v>0</v>
      </c>
      <c r="AG73" s="8">
        <f t="shared" si="33"/>
        <v>0</v>
      </c>
      <c r="AH73" s="8">
        <f t="shared" si="33"/>
        <v>0</v>
      </c>
      <c r="AI73" s="8">
        <f t="shared" si="33"/>
        <v>0</v>
      </c>
    </row>
    <row r="74" spans="1:37">
      <c r="B74" s="155" t="s">
        <v>188</v>
      </c>
      <c r="C74" s="158"/>
      <c r="E74" s="8">
        <f>F72*0.081</f>
        <v>97666.190963999979</v>
      </c>
      <c r="F74" s="8">
        <f>F72</f>
        <v>1205755.4439999997</v>
      </c>
      <c r="G74" s="8">
        <f>F74+G72-F73</f>
        <v>3132219.9137333333</v>
      </c>
      <c r="H74" s="8">
        <f t="shared" ref="H74:AI74" si="34">G74+H72-G73</f>
        <v>5577519.8877333337</v>
      </c>
      <c r="I74" s="8">
        <f t="shared" si="34"/>
        <v>8584165.5001999997</v>
      </c>
      <c r="J74" s="8">
        <f t="shared" si="34"/>
        <v>11626874.209512573</v>
      </c>
      <c r="K74" s="8">
        <f t="shared" si="34"/>
        <v>14101740.412988191</v>
      </c>
      <c r="L74" s="8">
        <f t="shared" si="34"/>
        <v>15930504.417813173</v>
      </c>
      <c r="M74" s="8">
        <f t="shared" si="34"/>
        <v>17066562.254209936</v>
      </c>
      <c r="N74" s="8">
        <f t="shared" si="34"/>
        <v>17718299.068817608</v>
      </c>
      <c r="O74" s="8">
        <f t="shared" si="34"/>
        <v>17832422.516828015</v>
      </c>
      <c r="P74" s="8">
        <f t="shared" si="34"/>
        <v>17785781.259391263</v>
      </c>
      <c r="Q74" s="8">
        <f t="shared" si="34"/>
        <v>17535290.686562788</v>
      </c>
      <c r="R74" s="8">
        <f t="shared" si="34"/>
        <v>17066058.938204974</v>
      </c>
      <c r="S74" s="8">
        <f t="shared" si="34"/>
        <v>16389716.309478372</v>
      </c>
      <c r="T74" s="8">
        <f t="shared" si="34"/>
        <v>15467744.536890673</v>
      </c>
      <c r="U74" s="8">
        <f t="shared" si="34"/>
        <v>14214805.961346721</v>
      </c>
      <c r="V74" s="8">
        <f t="shared" si="34"/>
        <v>12732456.260802299</v>
      </c>
      <c r="W74" s="8">
        <f t="shared" si="34"/>
        <v>10995112.145147458</v>
      </c>
      <c r="X74" s="8">
        <f t="shared" si="34"/>
        <v>9092914.1532981489</v>
      </c>
      <c r="Y74" s="8">
        <f t="shared" si="34"/>
        <v>7417257.9420245495</v>
      </c>
      <c r="Z74" s="8" t="e">
        <f t="shared" si="34"/>
        <v>#REF!</v>
      </c>
      <c r="AA74" s="8" t="e">
        <f t="shared" si="34"/>
        <v>#REF!</v>
      </c>
      <c r="AB74" s="8" t="e">
        <f t="shared" si="34"/>
        <v>#REF!</v>
      </c>
      <c r="AC74" s="8" t="e">
        <f t="shared" si="34"/>
        <v>#REF!</v>
      </c>
      <c r="AD74" s="8" t="e">
        <f t="shared" si="34"/>
        <v>#REF!</v>
      </c>
      <c r="AE74" s="8" t="e">
        <f t="shared" si="34"/>
        <v>#REF!</v>
      </c>
      <c r="AF74" s="8" t="e">
        <f t="shared" si="34"/>
        <v>#REF!</v>
      </c>
      <c r="AG74" s="8" t="e">
        <f t="shared" si="34"/>
        <v>#REF!</v>
      </c>
      <c r="AH74" s="8" t="e">
        <f t="shared" si="34"/>
        <v>#REF!</v>
      </c>
      <c r="AI74" s="8" t="e">
        <f t="shared" si="34"/>
        <v>#REF!</v>
      </c>
    </row>
    <row r="75" spans="1:37">
      <c r="B75" s="155" t="s">
        <v>189</v>
      </c>
      <c r="C75" s="158"/>
      <c r="E75" s="8"/>
      <c r="F75" s="8">
        <f>F72-F73</f>
        <v>1125371.7477333329</v>
      </c>
      <c r="G75" s="8">
        <f>F75+G72-G73</f>
        <v>2918046.3397333333</v>
      </c>
      <c r="H75" s="8">
        <f t="shared" ref="H75:AI75" si="35">G75+H72-H73</f>
        <v>5186048.0772000002</v>
      </c>
      <c r="I75" s="8">
        <f t="shared" si="35"/>
        <v>7966152.5281333327</v>
      </c>
      <c r="J75" s="8">
        <f t="shared" si="35"/>
        <v>10764813.125353957</v>
      </c>
      <c r="K75" s="8">
        <f t="shared" si="35"/>
        <v>13017217.509653961</v>
      </c>
      <c r="L75" s="8">
        <f t="shared" si="35"/>
        <v>14651762.387268327</v>
      </c>
      <c r="M75" s="8">
        <f t="shared" si="35"/>
        <v>15626833.565868983</v>
      </c>
      <c r="N75" s="8">
        <f t="shared" si="35"/>
        <v>16139139.346946746</v>
      </c>
      <c r="O75" s="8">
        <f t="shared" si="35"/>
        <v>16140377.250298403</v>
      </c>
      <c r="P75" s="8">
        <f t="shared" si="35"/>
        <v>15984042.392255461</v>
      </c>
      <c r="Q75" s="8">
        <f t="shared" si="35"/>
        <v>15630135.266473163</v>
      </c>
      <c r="R75" s="8">
        <f t="shared" si="35"/>
        <v>15065175.273333229</v>
      </c>
      <c r="S75" s="8">
        <f t="shared" si="35"/>
        <v>14300529.908863615</v>
      </c>
      <c r="T75" s="8">
        <f t="shared" si="35"/>
        <v>13300743.827740779</v>
      </c>
      <c r="U75" s="8">
        <f t="shared" si="35"/>
        <v>12067251.472889764</v>
      </c>
      <c r="V75" s="8">
        <f t="shared" si="35"/>
        <v>10674344.664217841</v>
      </c>
      <c r="W75" s="8">
        <f t="shared" si="35"/>
        <v>9092914.2863676921</v>
      </c>
      <c r="X75" s="8">
        <f t="shared" si="35"/>
        <v>7417257.4649230186</v>
      </c>
      <c r="Y75" s="8">
        <f t="shared" si="35"/>
        <v>5985649.3339345995</v>
      </c>
      <c r="Z75" s="8" t="e">
        <f t="shared" si="35"/>
        <v>#REF!</v>
      </c>
      <c r="AA75" s="8" t="e">
        <f t="shared" si="35"/>
        <v>#REF!</v>
      </c>
      <c r="AB75" s="8" t="e">
        <f t="shared" si="35"/>
        <v>#REF!</v>
      </c>
      <c r="AC75" s="8" t="e">
        <f t="shared" si="35"/>
        <v>#REF!</v>
      </c>
      <c r="AD75" s="8" t="e">
        <f t="shared" si="35"/>
        <v>#REF!</v>
      </c>
      <c r="AE75" s="8" t="e">
        <f t="shared" si="35"/>
        <v>#REF!</v>
      </c>
      <c r="AF75" s="8" t="e">
        <f t="shared" si="35"/>
        <v>#REF!</v>
      </c>
      <c r="AG75" s="8" t="e">
        <f t="shared" si="35"/>
        <v>#REF!</v>
      </c>
      <c r="AH75" s="8" t="e">
        <f t="shared" si="35"/>
        <v>#REF!</v>
      </c>
      <c r="AI75" s="8" t="e">
        <f t="shared" si="35"/>
        <v>#REF!</v>
      </c>
    </row>
    <row r="76" spans="1:37" ht="29.25" customHeight="1">
      <c r="A76" s="337" t="s">
        <v>190</v>
      </c>
      <c r="B76" s="337"/>
      <c r="C76" s="158"/>
      <c r="E76" s="7"/>
      <c r="F76" s="8">
        <f>(AVERAGE(F74:F75)*$C$70)</f>
        <v>89145.97537348987</v>
      </c>
      <c r="G76" s="8">
        <f>(AVERAGE(G74:G75)*$C$70)</f>
        <v>231371.71079607724</v>
      </c>
      <c r="H76" s="8">
        <f>(AVERAGE(H74:H75)*$C$70)</f>
        <v>411615.79176611314</v>
      </c>
      <c r="I76" s="8">
        <f t="shared" ref="I76:AI76" si="36">(AVERAGE(I74:I75)*$C$70)</f>
        <v>632910.22841194039</v>
      </c>
      <c r="J76" s="8">
        <f t="shared" si="36"/>
        <v>856293.39094133931</v>
      </c>
      <c r="K76" s="8">
        <f t="shared" si="36"/>
        <v>1037071.6637426273</v>
      </c>
      <c r="L76" s="8">
        <f t="shared" si="36"/>
        <v>1169514.0501724987</v>
      </c>
      <c r="M76" s="8">
        <f t="shared" si="36"/>
        <v>1250246.9487670548</v>
      </c>
      <c r="N76" s="8">
        <f t="shared" si="36"/>
        <v>1294761.7710112706</v>
      </c>
      <c r="O76" s="8">
        <f t="shared" si="36"/>
        <v>1299173.3707832796</v>
      </c>
      <c r="P76" s="8">
        <f t="shared" si="36"/>
        <v>1291411.2444367954</v>
      </c>
      <c r="Q76" s="8">
        <f t="shared" si="36"/>
        <v>1268298.1245061376</v>
      </c>
      <c r="R76" s="8">
        <f t="shared" si="36"/>
        <v>1228749.0034431752</v>
      </c>
      <c r="S76" s="8">
        <f t="shared" si="36"/>
        <v>1173643.353004836</v>
      </c>
      <c r="T76" s="8">
        <f t="shared" si="36"/>
        <v>1100152.3058804164</v>
      </c>
      <c r="U76" s="8">
        <f t="shared" si="36"/>
        <v>1005067.2709347003</v>
      </c>
      <c r="V76" s="8">
        <f t="shared" si="36"/>
        <v>895112.93344851641</v>
      </c>
      <c r="W76" s="8">
        <f t="shared" si="36"/>
        <v>768197.7696954069</v>
      </c>
      <c r="X76" s="8">
        <f t="shared" si="36"/>
        <v>631374.96645803051</v>
      </c>
      <c r="Y76" s="8">
        <f t="shared" si="36"/>
        <v>512548.28402023227</v>
      </c>
      <c r="Z76" s="8" t="e">
        <f t="shared" si="36"/>
        <v>#REF!</v>
      </c>
      <c r="AA76" s="8" t="e">
        <f t="shared" si="36"/>
        <v>#REF!</v>
      </c>
      <c r="AB76" s="8" t="e">
        <f t="shared" si="36"/>
        <v>#REF!</v>
      </c>
      <c r="AC76" s="8" t="e">
        <f t="shared" si="36"/>
        <v>#REF!</v>
      </c>
      <c r="AD76" s="8" t="e">
        <f t="shared" si="36"/>
        <v>#REF!</v>
      </c>
      <c r="AE76" s="8" t="e">
        <f t="shared" si="36"/>
        <v>#REF!</v>
      </c>
      <c r="AF76" s="8" t="e">
        <f t="shared" si="36"/>
        <v>#REF!</v>
      </c>
      <c r="AG76" s="8" t="e">
        <f t="shared" si="36"/>
        <v>#REF!</v>
      </c>
      <c r="AH76" s="8" t="e">
        <f t="shared" si="36"/>
        <v>#REF!</v>
      </c>
      <c r="AI76" s="8" t="e">
        <f t="shared" si="36"/>
        <v>#REF!</v>
      </c>
    </row>
    <row r="77" spans="1:37">
      <c r="B77" s="153" t="s">
        <v>191</v>
      </c>
      <c r="F77" s="8">
        <f>F76+F73</f>
        <v>169529.67164015654</v>
      </c>
      <c r="G77" s="8">
        <f>G76+G73</f>
        <v>445545.28479607729</v>
      </c>
      <c r="H77" s="8">
        <f>H76+H73</f>
        <v>803087.60229944647</v>
      </c>
      <c r="I77" s="8">
        <f t="shared" ref="I77:AI77" si="37">I76+I73</f>
        <v>1250923.2004786071</v>
      </c>
      <c r="J77" s="8">
        <f t="shared" si="37"/>
        <v>1718354.4750999552</v>
      </c>
      <c r="K77" s="8">
        <f t="shared" si="37"/>
        <v>2121594.5670768591</v>
      </c>
      <c r="L77" s="8">
        <f t="shared" si="37"/>
        <v>2448256.0807173443</v>
      </c>
      <c r="M77" s="8">
        <f t="shared" si="37"/>
        <v>2689975.6371080074</v>
      </c>
      <c r="N77" s="8">
        <f t="shared" si="37"/>
        <v>2873921.4928821316</v>
      </c>
      <c r="O77" s="8">
        <f t="shared" si="37"/>
        <v>2991218.6373128919</v>
      </c>
      <c r="P77" s="8">
        <f t="shared" si="37"/>
        <v>3093150.1115725981</v>
      </c>
      <c r="Q77" s="8">
        <f t="shared" si="37"/>
        <v>3173453.5445957622</v>
      </c>
      <c r="R77" s="8">
        <f t="shared" si="37"/>
        <v>3229632.6683149207</v>
      </c>
      <c r="S77" s="8">
        <f t="shared" si="37"/>
        <v>3262829.7536195908</v>
      </c>
      <c r="T77" s="8">
        <f t="shared" si="37"/>
        <v>3267153.0150303086</v>
      </c>
      <c r="U77" s="8">
        <f t="shared" si="37"/>
        <v>3152621.7593916552</v>
      </c>
      <c r="V77" s="8">
        <f t="shared" si="37"/>
        <v>2953224.5300329733</v>
      </c>
      <c r="W77" s="8">
        <f t="shared" si="37"/>
        <v>2670395.6284751715</v>
      </c>
      <c r="X77" s="8">
        <f t="shared" si="37"/>
        <v>2307031.6548331589</v>
      </c>
      <c r="Y77" s="8">
        <f t="shared" si="37"/>
        <v>1944156.8921101801</v>
      </c>
      <c r="Z77" s="8" t="e">
        <f t="shared" si="37"/>
        <v>#REF!</v>
      </c>
      <c r="AA77" s="8" t="e">
        <f t="shared" si="37"/>
        <v>#REF!</v>
      </c>
      <c r="AB77" s="8" t="e">
        <f t="shared" si="37"/>
        <v>#REF!</v>
      </c>
      <c r="AC77" s="8" t="e">
        <f t="shared" si="37"/>
        <v>#REF!</v>
      </c>
      <c r="AD77" s="8" t="e">
        <f t="shared" si="37"/>
        <v>#REF!</v>
      </c>
      <c r="AE77" s="8" t="e">
        <f t="shared" si="37"/>
        <v>#REF!</v>
      </c>
      <c r="AF77" s="8" t="e">
        <f t="shared" si="37"/>
        <v>#REF!</v>
      </c>
      <c r="AG77" s="8" t="e">
        <f t="shared" si="37"/>
        <v>#REF!</v>
      </c>
      <c r="AH77" s="8" t="e">
        <f t="shared" si="37"/>
        <v>#REF!</v>
      </c>
      <c r="AI77" s="8" t="e">
        <f t="shared" si="37"/>
        <v>#REF!</v>
      </c>
    </row>
    <row r="78" spans="1:37">
      <c r="B78" s="153" t="s">
        <v>192</v>
      </c>
      <c r="E78" s="8">
        <f>E72+E$44</f>
        <v>3449794.878</v>
      </c>
      <c r="F78" s="8">
        <f>F56</f>
        <v>4593333</v>
      </c>
      <c r="G78" s="8">
        <f>G56</f>
        <v>5262600</v>
      </c>
      <c r="H78" s="8">
        <f>H56</f>
        <v>5765226</v>
      </c>
      <c r="I78" s="8">
        <f t="shared" ref="I78:Y78" si="38">I56</f>
        <v>6267878.2599999998</v>
      </c>
      <c r="J78" s="8">
        <f t="shared" si="38"/>
        <v>6270557.0426000003</v>
      </c>
      <c r="K78" s="8">
        <f t="shared" si="38"/>
        <v>5773262.6130259996</v>
      </c>
      <c r="L78" s="8">
        <f t="shared" si="38"/>
        <v>5275995.2391562602</v>
      </c>
      <c r="M78" s="8">
        <f t="shared" si="38"/>
        <v>4778755.1915478222</v>
      </c>
      <c r="N78" s="8">
        <f t="shared" si="38"/>
        <v>4531542.7434633011</v>
      </c>
      <c r="O78" s="8">
        <f t="shared" si="38"/>
        <v>4284358.1708979337</v>
      </c>
      <c r="P78" s="8">
        <f t="shared" si="38"/>
        <v>4407201.7526069134</v>
      </c>
      <c r="Q78" s="8">
        <f t="shared" si="38"/>
        <v>4533673.7701329822</v>
      </c>
      <c r="R78" s="8">
        <f t="shared" si="38"/>
        <v>4663882.5078343125</v>
      </c>
      <c r="S78" s="8">
        <f t="shared" si="38"/>
        <v>4797939.4929126557</v>
      </c>
      <c r="T78" s="8">
        <f t="shared" si="38"/>
        <v>4935959.592641782</v>
      </c>
      <c r="U78" s="8">
        <f t="shared" si="38"/>
        <v>5078061.1145121995</v>
      </c>
      <c r="V78" s="8">
        <f t="shared" si="38"/>
        <v>5224365.9093796415</v>
      </c>
      <c r="W78" s="8">
        <f t="shared" si="38"/>
        <v>5374999.4777074279</v>
      </c>
      <c r="X78" s="8">
        <f t="shared" si="38"/>
        <v>5530091.0789955119</v>
      </c>
      <c r="Y78" s="8">
        <f t="shared" si="38"/>
        <v>5689773.8444918059</v>
      </c>
      <c r="Z78" s="8" t="e">
        <f t="shared" ref="Z78:AI78" si="39">Z72+Z44</f>
        <v>#REF!</v>
      </c>
      <c r="AA78" s="8" t="e">
        <f t="shared" si="39"/>
        <v>#REF!</v>
      </c>
      <c r="AB78" s="8" t="e">
        <f t="shared" si="39"/>
        <v>#REF!</v>
      </c>
      <c r="AC78" s="8" t="e">
        <f t="shared" si="39"/>
        <v>#REF!</v>
      </c>
      <c r="AD78" s="8" t="e">
        <f t="shared" si="39"/>
        <v>#REF!</v>
      </c>
      <c r="AE78" s="8" t="e">
        <f t="shared" si="39"/>
        <v>#REF!</v>
      </c>
      <c r="AF78" s="8" t="e">
        <f t="shared" si="39"/>
        <v>#REF!</v>
      </c>
      <c r="AG78" s="8" t="e">
        <f t="shared" si="39"/>
        <v>#REF!</v>
      </c>
      <c r="AH78" s="8" t="e">
        <f t="shared" si="39"/>
        <v>#REF!</v>
      </c>
      <c r="AI78" s="8" t="e">
        <f t="shared" si="39"/>
        <v>#REF!</v>
      </c>
    </row>
    <row r="79" spans="1:37">
      <c r="B79" s="153" t="s">
        <v>193</v>
      </c>
      <c r="C79" t="s">
        <v>194</v>
      </c>
      <c r="E79" s="8">
        <f>E$44+E76</f>
        <v>3449794.878</v>
      </c>
      <c r="F79" s="8">
        <f>F$44+F77-F71</f>
        <v>3557107.2276401566</v>
      </c>
      <c r="G79" s="8">
        <f>G$44+G77-G71</f>
        <v>3701297.1187960771</v>
      </c>
      <c r="H79" s="8">
        <f>H$44+H77-H71</f>
        <v>3908840.0542994458</v>
      </c>
      <c r="I79" s="8">
        <f t="shared" ref="I79:Y79" si="40">I$44+I77-I71</f>
        <v>4120684.0374786071</v>
      </c>
      <c r="J79" s="8">
        <f t="shared" si="40"/>
        <v>4328189.8363207169</v>
      </c>
      <c r="K79" s="8">
        <f t="shared" si="40"/>
        <v>4557929.8924686229</v>
      </c>
      <c r="L79" s="8">
        <f t="shared" si="40"/>
        <v>4810964.4117143936</v>
      </c>
      <c r="M79" s="8">
        <f t="shared" si="40"/>
        <v>5053930.9617142212</v>
      </c>
      <c r="N79" s="8">
        <f t="shared" si="40"/>
        <v>5313998.7333968058</v>
      </c>
      <c r="O79" s="8">
        <f t="shared" si="40"/>
        <v>5582293.6383295581</v>
      </c>
      <c r="P79" s="8">
        <f t="shared" si="40"/>
        <v>5854947.8550866535</v>
      </c>
      <c r="Q79" s="8">
        <f t="shared" si="40"/>
        <v>6155879.0204214174</v>
      </c>
      <c r="R79" s="8">
        <f t="shared" si="40"/>
        <v>6457591.5044174232</v>
      </c>
      <c r="S79" s="8">
        <f t="shared" si="40"/>
        <v>6736228.2103871051</v>
      </c>
      <c r="T79" s="8">
        <f t="shared" si="40"/>
        <v>7035897.9796450362</v>
      </c>
      <c r="U79" s="8">
        <f t="shared" si="40"/>
        <v>7316620.7402979154</v>
      </c>
      <c r="V79" s="8">
        <f t="shared" si="40"/>
        <v>7512385.6515000816</v>
      </c>
      <c r="W79" s="8">
        <f t="shared" si="40"/>
        <v>7724627.6252529845</v>
      </c>
      <c r="X79" s="8">
        <f t="shared" si="40"/>
        <v>7837122.8668982163</v>
      </c>
      <c r="Y79" s="8">
        <f t="shared" si="40"/>
        <v>7633930.259500457</v>
      </c>
      <c r="Z79" s="80" t="e">
        <f t="shared" ref="Z79:AJ79" si="41">Z56+Z77</f>
        <v>#REF!</v>
      </c>
      <c r="AA79" s="80" t="e">
        <f t="shared" si="41"/>
        <v>#REF!</v>
      </c>
      <c r="AB79" s="80" t="e">
        <f t="shared" si="41"/>
        <v>#REF!</v>
      </c>
      <c r="AC79" s="80" t="e">
        <f t="shared" si="41"/>
        <v>#REF!</v>
      </c>
      <c r="AD79" s="80" t="e">
        <f t="shared" si="41"/>
        <v>#REF!</v>
      </c>
      <c r="AE79" s="80" t="e">
        <f t="shared" si="41"/>
        <v>#REF!</v>
      </c>
      <c r="AF79" s="80" t="e">
        <f t="shared" si="41"/>
        <v>#REF!</v>
      </c>
      <c r="AG79" s="80" t="e">
        <f t="shared" si="41"/>
        <v>#REF!</v>
      </c>
      <c r="AH79" s="80" t="e">
        <f t="shared" si="41"/>
        <v>#REF!</v>
      </c>
      <c r="AI79" s="80" t="e">
        <f t="shared" si="41"/>
        <v>#REF!</v>
      </c>
      <c r="AJ79" s="80">
        <f t="shared" si="41"/>
        <v>0</v>
      </c>
    </row>
    <row r="80" spans="1:37">
      <c r="B80" s="153" t="s">
        <v>195</v>
      </c>
      <c r="E80" s="159">
        <f>E79/E23</f>
        <v>0.35302955002327063</v>
      </c>
      <c r="F80" s="159">
        <f>F79/F23</f>
        <v>0.36283828168561982</v>
      </c>
      <c r="G80" s="159">
        <f t="shared" ref="G80:AI80" si="42">G79/G23</f>
        <v>0.37592989666221943</v>
      </c>
      <c r="H80" s="159">
        <f>H79/H23</f>
        <v>0.39474990972081342</v>
      </c>
      <c r="I80" s="159">
        <f t="shared" si="42"/>
        <v>0.41377061467959109</v>
      </c>
      <c r="J80" s="159">
        <f t="shared" si="42"/>
        <v>0.4342100887500433</v>
      </c>
      <c r="K80" s="159">
        <f t="shared" si="42"/>
        <v>0.45718440175008146</v>
      </c>
      <c r="L80" s="159">
        <f t="shared" si="42"/>
        <v>0.48250100549681091</v>
      </c>
      <c r="M80" s="159">
        <f t="shared" si="42"/>
        <v>0.50681535547029299</v>
      </c>
      <c r="N80" s="159">
        <f t="shared" si="42"/>
        <v>0.53285404025033845</v>
      </c>
      <c r="O80" s="159">
        <f t="shared" si="42"/>
        <v>0.55972890855142987</v>
      </c>
      <c r="P80" s="159">
        <f t="shared" si="42"/>
        <v>0.58777857280402368</v>
      </c>
      <c r="Q80" s="159">
        <f t="shared" si="42"/>
        <v>0.61875111499679525</v>
      </c>
      <c r="R80" s="159">
        <f t="shared" si="42"/>
        <v>0.64989202028954796</v>
      </c>
      <c r="S80" s="159">
        <f t="shared" si="42"/>
        <v>0.67879969546073848</v>
      </c>
      <c r="T80" s="159">
        <f t="shared" si="42"/>
        <v>0.70991779689743595</v>
      </c>
      <c r="U80" s="159">
        <f t="shared" si="42"/>
        <v>0.73921744455457628</v>
      </c>
      <c r="V80" s="159">
        <f t="shared" si="42"/>
        <v>0.76001488964304553</v>
      </c>
      <c r="W80" s="159">
        <f t="shared" si="42"/>
        <v>0.78255298442163779</v>
      </c>
      <c r="X80" s="159">
        <f t="shared" si="42"/>
        <v>0.79504959147854892</v>
      </c>
      <c r="Y80" s="159">
        <f t="shared" si="42"/>
        <v>0.77552622582527986</v>
      </c>
      <c r="Z80" s="159" t="e">
        <f t="shared" si="42"/>
        <v>#REF!</v>
      </c>
      <c r="AA80" s="159" t="e">
        <f t="shared" si="42"/>
        <v>#REF!</v>
      </c>
      <c r="AB80" s="159" t="e">
        <f t="shared" si="42"/>
        <v>#REF!</v>
      </c>
      <c r="AC80" s="159" t="e">
        <f t="shared" si="42"/>
        <v>#REF!</v>
      </c>
      <c r="AD80" s="159" t="e">
        <f t="shared" si="42"/>
        <v>#REF!</v>
      </c>
      <c r="AE80" s="159" t="e">
        <f t="shared" si="42"/>
        <v>#REF!</v>
      </c>
      <c r="AF80" s="159" t="e">
        <f t="shared" si="42"/>
        <v>#REF!</v>
      </c>
      <c r="AG80" s="159" t="e">
        <f t="shared" si="42"/>
        <v>#REF!</v>
      </c>
      <c r="AH80" s="159" t="e">
        <f t="shared" si="42"/>
        <v>#REF!</v>
      </c>
      <c r="AI80" s="159" t="e">
        <f t="shared" si="42"/>
        <v>#REF!</v>
      </c>
    </row>
    <row r="81" spans="2:35">
      <c r="B81" s="153" t="s">
        <v>196</v>
      </c>
      <c r="E81" s="159"/>
      <c r="F81" s="144">
        <f>F80/E80-1</f>
        <v>2.7784449380236387E-2</v>
      </c>
      <c r="G81" s="294">
        <f>G80/F80-1</f>
        <v>3.6081129355426622E-2</v>
      </c>
      <c r="H81" s="294">
        <f>H80/G80-1</f>
        <v>5.0062560136056922E-2</v>
      </c>
      <c r="I81" s="144">
        <f t="shared" ref="I81:AI81" si="43">I80/H80-1</f>
        <v>4.8184190775952374E-2</v>
      </c>
      <c r="J81" s="144">
        <f t="shared" si="43"/>
        <v>4.939808035009885E-2</v>
      </c>
      <c r="K81" s="144">
        <f t="shared" si="43"/>
        <v>5.291059234983253E-2</v>
      </c>
      <c r="L81" s="144">
        <f t="shared" si="43"/>
        <v>5.5375038277374777E-2</v>
      </c>
      <c r="M81" s="144">
        <f t="shared" si="43"/>
        <v>5.0392330164051424E-2</v>
      </c>
      <c r="N81" s="144">
        <f t="shared" si="43"/>
        <v>5.1377063656414146E-2</v>
      </c>
      <c r="O81" s="144">
        <f t="shared" si="43"/>
        <v>5.0435703346577654E-2</v>
      </c>
      <c r="P81" s="144">
        <f t="shared" si="43"/>
        <v>5.0112945434935607E-2</v>
      </c>
      <c r="Q81" s="144">
        <f t="shared" si="43"/>
        <v>5.2694234914035132E-2</v>
      </c>
      <c r="R81" s="144">
        <f t="shared" si="43"/>
        <v>5.0328645133696392E-2</v>
      </c>
      <c r="S81" s="144">
        <f t="shared" si="43"/>
        <v>4.4480735674075955E-2</v>
      </c>
      <c r="T81" s="144">
        <f t="shared" si="43"/>
        <v>4.5842833526281934E-2</v>
      </c>
      <c r="U81" s="144">
        <f t="shared" si="43"/>
        <v>4.1271887794881223E-2</v>
      </c>
      <c r="V81" s="144">
        <f t="shared" si="43"/>
        <v>2.8134407868311229E-2</v>
      </c>
      <c r="W81" s="144">
        <f t="shared" si="43"/>
        <v>2.9654806880399009E-2</v>
      </c>
      <c r="X81" s="144">
        <f t="shared" si="43"/>
        <v>1.5969023574994079E-2</v>
      </c>
      <c r="Y81" s="144">
        <f t="shared" si="43"/>
        <v>-2.4556160851503139E-2</v>
      </c>
      <c r="Z81" s="144" t="e">
        <f t="shared" si="43"/>
        <v>#REF!</v>
      </c>
      <c r="AA81" s="144" t="e">
        <f t="shared" si="43"/>
        <v>#REF!</v>
      </c>
      <c r="AB81" s="144" t="e">
        <f t="shared" si="43"/>
        <v>#REF!</v>
      </c>
      <c r="AC81" s="144" t="e">
        <f t="shared" si="43"/>
        <v>#REF!</v>
      </c>
      <c r="AD81" s="144" t="e">
        <f t="shared" si="43"/>
        <v>#REF!</v>
      </c>
      <c r="AE81" s="144" t="e">
        <f t="shared" si="43"/>
        <v>#REF!</v>
      </c>
      <c r="AF81" s="144" t="e">
        <f t="shared" si="43"/>
        <v>#REF!</v>
      </c>
      <c r="AG81" s="144" t="e">
        <f t="shared" si="43"/>
        <v>#REF!</v>
      </c>
      <c r="AH81" s="144" t="e">
        <f t="shared" si="43"/>
        <v>#REF!</v>
      </c>
      <c r="AI81" s="144" t="e">
        <f t="shared" si="43"/>
        <v>#REF!</v>
      </c>
    </row>
    <row r="82" spans="2:35">
      <c r="B82" s="153" t="s">
        <v>197</v>
      </c>
      <c r="E82" s="159"/>
      <c r="F82" s="144">
        <f>F80/F45-1</f>
        <v>2.7300376702423357E-2</v>
      </c>
      <c r="G82" s="144">
        <f t="shared" ref="G82:AG82" si="44">G80/G45-1</f>
        <v>6.3361392973147357E-2</v>
      </c>
      <c r="H82" s="144">
        <f t="shared" si="44"/>
        <v>0.11497891189364751</v>
      </c>
      <c r="I82" s="144">
        <f t="shared" si="44"/>
        <v>0.16741168248125327</v>
      </c>
      <c r="J82" s="144">
        <f t="shared" si="44"/>
        <v>0.22443887593847345</v>
      </c>
      <c r="K82" s="144">
        <f t="shared" si="44"/>
        <v>0.28888509518358085</v>
      </c>
      <c r="L82" s="144">
        <f t="shared" si="44"/>
        <v>0.35990985168596312</v>
      </c>
      <c r="M82" s="144">
        <f t="shared" si="44"/>
        <v>0.42808555015499716</v>
      </c>
      <c r="N82" s="144">
        <f t="shared" si="44"/>
        <v>0.5010968327414882</v>
      </c>
      <c r="O82" s="144">
        <f t="shared" si="44"/>
        <v>0.57644038511662288</v>
      </c>
      <c r="P82" s="144">
        <f t="shared" si="44"/>
        <v>0.65543756801579334</v>
      </c>
      <c r="Q82" s="144">
        <f t="shared" si="44"/>
        <v>0.74267767644342619</v>
      </c>
      <c r="R82" s="144">
        <f t="shared" si="44"/>
        <v>0.83040443622392712</v>
      </c>
      <c r="S82" s="144">
        <f t="shared" si="44"/>
        <v>0.91185535585638822</v>
      </c>
      <c r="T82" s="144">
        <f t="shared" si="44"/>
        <v>0.99954758028773694</v>
      </c>
      <c r="U82" s="144">
        <f t="shared" si="44"/>
        <v>1.0821351343735901</v>
      </c>
      <c r="V82" s="144">
        <f t="shared" si="44"/>
        <v>1.14079245479595</v>
      </c>
      <c r="W82" s="144">
        <f t="shared" si="44"/>
        <v>1.2043710668574112</v>
      </c>
      <c r="X82" s="144">
        <f t="shared" si="44"/>
        <v>1.2396820746899326</v>
      </c>
      <c r="Y82" s="144">
        <f t="shared" si="44"/>
        <v>1.1848044094947889</v>
      </c>
      <c r="Z82" s="144" t="e">
        <f t="shared" si="44"/>
        <v>#REF!</v>
      </c>
      <c r="AA82" s="144" t="e">
        <f t="shared" si="44"/>
        <v>#REF!</v>
      </c>
      <c r="AB82" s="144" t="e">
        <f t="shared" si="44"/>
        <v>#REF!</v>
      </c>
      <c r="AC82" s="144" t="e">
        <f t="shared" si="44"/>
        <v>#REF!</v>
      </c>
      <c r="AD82" s="144" t="e">
        <f t="shared" si="44"/>
        <v>#REF!</v>
      </c>
      <c r="AE82" s="144" t="e">
        <f t="shared" si="44"/>
        <v>#REF!</v>
      </c>
      <c r="AF82" s="144" t="e">
        <f t="shared" si="44"/>
        <v>#REF!</v>
      </c>
      <c r="AG82" s="144" t="e">
        <f t="shared" si="44"/>
        <v>#REF!</v>
      </c>
      <c r="AH82" s="144"/>
      <c r="AI82" s="144"/>
    </row>
    <row r="83" spans="2:35">
      <c r="B83" s="153"/>
      <c r="D83" s="160" t="s">
        <v>198</v>
      </c>
      <c r="E83" s="161"/>
      <c r="F83" s="162">
        <v>2.3974226983587643E-2</v>
      </c>
      <c r="G83" s="162">
        <v>3.2252421033822198E-2</v>
      </c>
      <c r="H83" s="162">
        <v>4.6306518381916462E-2</v>
      </c>
      <c r="I83" s="162">
        <v>4.1245239004634504E-2</v>
      </c>
      <c r="J83" s="162">
        <v>4.9435022009630902E-2</v>
      </c>
      <c r="K83" s="162">
        <v>5.3828887633419198E-2</v>
      </c>
      <c r="L83" s="162">
        <v>4.5273688591618511E-2</v>
      </c>
      <c r="M83" s="162">
        <v>4.1296731376259999E-2</v>
      </c>
      <c r="N83" s="162">
        <v>4.7775732934604687E-2</v>
      </c>
      <c r="O83" s="162">
        <v>3.4153689420579836E-2</v>
      </c>
      <c r="P83" s="162">
        <v>4.0849299408506567E-2</v>
      </c>
      <c r="Q83" s="162">
        <v>4.1499721918088373E-2</v>
      </c>
      <c r="R83" s="162">
        <v>3.7781413138365139E-2</v>
      </c>
      <c r="S83" s="162">
        <v>3.8164335287058426E-2</v>
      </c>
      <c r="T83" s="162">
        <v>4.5015506798047111E-2</v>
      </c>
      <c r="U83" s="162">
        <v>3.6988887678796489E-2</v>
      </c>
      <c r="V83" s="162">
        <v>2.1393478520771891E-2</v>
      </c>
      <c r="W83" s="162">
        <v>2.5493552274477471E-2</v>
      </c>
      <c r="X83" s="162">
        <v>2.9535086448880143E-2</v>
      </c>
      <c r="Y83" s="162">
        <v>-2.1243767221807208E-2</v>
      </c>
    </row>
    <row r="84" spans="2:35">
      <c r="B84" s="153" t="s">
        <v>199</v>
      </c>
      <c r="D84" s="160" t="s">
        <v>200</v>
      </c>
      <c r="E84" s="161"/>
      <c r="F84" s="162">
        <v>2.3491948869371893E-2</v>
      </c>
      <c r="G84" s="162">
        <v>5.5504327505940587E-2</v>
      </c>
      <c r="H84" s="162">
        <v>0.10278167317156606</v>
      </c>
      <c r="I84" s="162">
        <v>0.14699716678813046</v>
      </c>
      <c r="J84" s="162">
        <v>0.20306947613777671</v>
      </c>
      <c r="K84" s="162">
        <v>0.26749543608197479</v>
      </c>
      <c r="L84" s="162">
        <v>0.32454135746526114</v>
      </c>
      <c r="M84" s="162">
        <v>0.37889942764584772</v>
      </c>
      <c r="N84" s="162">
        <v>0.4444313719638886</v>
      </c>
      <c r="O84" s="162">
        <v>0.49341794976333708</v>
      </c>
      <c r="P84" s="162">
        <v>0.55442031486988941</v>
      </c>
      <c r="Q84" s="162">
        <v>0.61893584340384344</v>
      </c>
      <c r="R84" s="162">
        <v>0.68012002608219468</v>
      </c>
      <c r="S84" s="162">
        <v>0.7442709650762207</v>
      </c>
      <c r="T84" s="162">
        <v>0.82283337885940266</v>
      </c>
      <c r="U84" s="162">
        <v>0.89031465529370046</v>
      </c>
      <c r="V84" s="162">
        <v>0.93082512365860581</v>
      </c>
      <c r="W84" s="162">
        <v>0.98013299581911939</v>
      </c>
      <c r="X84" s="162">
        <v>1.0387159369937278</v>
      </c>
      <c r="Y84" s="162">
        <v>0.99551583321703441</v>
      </c>
    </row>
    <row r="85" spans="2:35">
      <c r="B85" s="135" t="s">
        <v>141</v>
      </c>
      <c r="E85" s="7">
        <f t="shared" ref="E85:E90" si="45">E38</f>
        <v>1886585.28</v>
      </c>
      <c r="F85" s="7">
        <f>F38*(1+F$82)</f>
        <v>1945015.4170448238</v>
      </c>
      <c r="G85" s="7">
        <f t="shared" ref="F85:AI90" si="46">G38*(1+G$82)</f>
        <v>2025801.4529998221</v>
      </c>
      <c r="H85" s="7">
        <f>H38*(1+H$82)</f>
        <v>2144693.1564369639</v>
      </c>
      <c r="I85" s="7">
        <f t="shared" si="46"/>
        <v>2263570.1594399265</v>
      </c>
      <c r="J85" s="7">
        <f t="shared" si="46"/>
        <v>2382651.4665509532</v>
      </c>
      <c r="K85" s="7">
        <f t="shared" si="46"/>
        <v>2511374.0958467047</v>
      </c>
      <c r="L85" s="7">
        <f t="shared" si="46"/>
        <v>2653125.7713785036</v>
      </c>
      <c r="M85" s="7">
        <f t="shared" si="46"/>
        <v>2789519.6369237606</v>
      </c>
      <c r="N85" s="7">
        <f t="shared" si="46"/>
        <v>2935544.1181469057</v>
      </c>
      <c r="O85" s="7">
        <f t="shared" si="46"/>
        <v>3086310.6186145917</v>
      </c>
      <c r="P85" s="7">
        <f t="shared" si="46"/>
        <v>3239009.8116193349</v>
      </c>
      <c r="Q85" s="7">
        <f t="shared" si="46"/>
        <v>3407498.7966531049</v>
      </c>
      <c r="R85" s="7">
        <f t="shared" si="46"/>
        <v>3576570.5055970396</v>
      </c>
      <c r="S85" s="7">
        <f t="shared" si="46"/>
        <v>3732998.7172614019</v>
      </c>
      <c r="T85" s="7">
        <f t="shared" si="46"/>
        <v>3901213.3685853276</v>
      </c>
      <c r="U85" s="7">
        <f t="shared" si="46"/>
        <v>4059047.9570916933</v>
      </c>
      <c r="V85" s="7">
        <f t="shared" si="46"/>
        <v>4169839.8949138997</v>
      </c>
      <c r="W85" s="7">
        <f t="shared" si="46"/>
        <v>4289842.7594571989</v>
      </c>
      <c r="X85" s="7">
        <f t="shared" si="46"/>
        <v>4354489.907316721</v>
      </c>
      <c r="Y85" s="7">
        <f t="shared" si="46"/>
        <v>4243656.0460990071</v>
      </c>
      <c r="Z85" s="7" t="e">
        <f t="shared" si="46"/>
        <v>#REF!</v>
      </c>
      <c r="AA85" s="7" t="e">
        <f t="shared" si="46"/>
        <v>#REF!</v>
      </c>
      <c r="AB85" s="7" t="e">
        <f t="shared" si="46"/>
        <v>#REF!</v>
      </c>
      <c r="AC85" s="7" t="e">
        <f t="shared" si="46"/>
        <v>#REF!</v>
      </c>
      <c r="AD85" s="7" t="e">
        <f t="shared" si="46"/>
        <v>#REF!</v>
      </c>
      <c r="AE85" s="7" t="e">
        <f t="shared" si="46"/>
        <v>#REF!</v>
      </c>
      <c r="AF85" s="7" t="e">
        <f t="shared" si="46"/>
        <v>#REF!</v>
      </c>
      <c r="AG85" s="7" t="e">
        <f t="shared" si="46"/>
        <v>#REF!</v>
      </c>
      <c r="AH85" s="7">
        <f t="shared" si="46"/>
        <v>1921935.2783925999</v>
      </c>
      <c r="AI85" s="7">
        <f t="shared" si="46"/>
        <v>1919302.0167732479</v>
      </c>
    </row>
    <row r="86" spans="2:35">
      <c r="B86" s="135" t="s">
        <v>142</v>
      </c>
      <c r="E86" s="7">
        <f t="shared" si="45"/>
        <v>279614.06</v>
      </c>
      <c r="F86" s="7">
        <f t="shared" si="46"/>
        <v>290795.49114966526</v>
      </c>
      <c r="G86" s="7">
        <f t="shared" si="46"/>
        <v>304735.46235509886</v>
      </c>
      <c r="H86" s="7">
        <f>H39*(1+H$82)</f>
        <v>323601.78353139444</v>
      </c>
      <c r="I86" s="7">
        <f t="shared" si="46"/>
        <v>343320.74655973632</v>
      </c>
      <c r="J86" s="7">
        <f t="shared" si="46"/>
        <v>360566.45470246702</v>
      </c>
      <c r="K86" s="7">
        <f t="shared" si="46"/>
        <v>380617.31464178528</v>
      </c>
      <c r="L86" s="7">
        <f t="shared" si="46"/>
        <v>402702.47277993918</v>
      </c>
      <c r="M86" s="7">
        <f t="shared" si="46"/>
        <v>424035.63151283027</v>
      </c>
      <c r="N86" s="7">
        <f t="shared" si="46"/>
        <v>446894.79257273098</v>
      </c>
      <c r="O86" s="7">
        <f t="shared" si="46"/>
        <v>470541.01853248302</v>
      </c>
      <c r="P86" s="7">
        <f t="shared" si="46"/>
        <v>494190.27663586609</v>
      </c>
      <c r="Q86" s="7">
        <f t="shared" si="46"/>
        <v>520288.56840852543</v>
      </c>
      <c r="R86" s="7">
        <f t="shared" si="46"/>
        <v>546518.13015824882</v>
      </c>
      <c r="S86" s="7">
        <f t="shared" si="46"/>
        <v>570857.10696200083</v>
      </c>
      <c r="T86" s="7">
        <f t="shared" si="46"/>
        <v>597040.3048640223</v>
      </c>
      <c r="U86" s="7">
        <f t="shared" si="46"/>
        <v>621677.42793863465</v>
      </c>
      <c r="V86" s="7">
        <f t="shared" si="46"/>
        <v>639145.69884629699</v>
      </c>
      <c r="W86" s="7">
        <f t="shared" si="46"/>
        <v>658057.81479760236</v>
      </c>
      <c r="X86" s="7">
        <f t="shared" si="46"/>
        <v>668505.17606289859</v>
      </c>
      <c r="Y86" s="7">
        <f t="shared" si="46"/>
        <v>652011.27042342292</v>
      </c>
      <c r="Z86" s="7" t="e">
        <f t="shared" si="46"/>
        <v>#REF!</v>
      </c>
      <c r="AA86" s="7" t="e">
        <f t="shared" si="46"/>
        <v>#REF!</v>
      </c>
      <c r="AB86" s="7" t="e">
        <f t="shared" si="46"/>
        <v>#REF!</v>
      </c>
      <c r="AC86" s="7" t="e">
        <f t="shared" si="46"/>
        <v>#REF!</v>
      </c>
      <c r="AD86" s="7" t="e">
        <f t="shared" si="46"/>
        <v>#REF!</v>
      </c>
      <c r="AE86" s="7" t="e">
        <f t="shared" si="46"/>
        <v>#REF!</v>
      </c>
      <c r="AF86" s="7" t="e">
        <f t="shared" si="46"/>
        <v>#REF!</v>
      </c>
      <c r="AG86" s="7" t="e">
        <f t="shared" si="46"/>
        <v>#REF!</v>
      </c>
      <c r="AH86" s="7">
        <f t="shared" si="46"/>
        <v>297509.46200635104</v>
      </c>
      <c r="AI86" s="7">
        <f t="shared" si="46"/>
        <v>297358.04034098733</v>
      </c>
    </row>
    <row r="87" spans="2:35">
      <c r="B87" s="135" t="s">
        <v>143</v>
      </c>
      <c r="E87" s="7">
        <f t="shared" si="45"/>
        <v>70339.80799999999</v>
      </c>
      <c r="F87" s="7">
        <f t="shared" si="46"/>
        <v>72164.646286169926</v>
      </c>
      <c r="G87" s="7">
        <f t="shared" si="46"/>
        <v>74723.272787119728</v>
      </c>
      <c r="H87" s="7">
        <f t="shared" si="46"/>
        <v>78295.924273357581</v>
      </c>
      <c r="I87" s="7">
        <f t="shared" si="46"/>
        <v>82175.509223874396</v>
      </c>
      <c r="J87" s="7">
        <f t="shared" si="46"/>
        <v>86031.160923539603</v>
      </c>
      <c r="K87" s="7">
        <f t="shared" si="46"/>
        <v>90472.320395592309</v>
      </c>
      <c r="L87" s="7">
        <f t="shared" si="46"/>
        <v>95365.930557463711</v>
      </c>
      <c r="M87" s="7">
        <f t="shared" si="46"/>
        <v>100050.14118646468</v>
      </c>
      <c r="N87" s="7">
        <f t="shared" si="46"/>
        <v>105063.35959887557</v>
      </c>
      <c r="O87" s="7">
        <f t="shared" si="46"/>
        <v>110229.53210426375</v>
      </c>
      <c r="P87" s="7">
        <f t="shared" si="46"/>
        <v>115640.45574684259</v>
      </c>
      <c r="Q87" s="7">
        <f t="shared" si="46"/>
        <v>121615.62298817419</v>
      </c>
      <c r="R87" s="7">
        <f t="shared" si="46"/>
        <v>127612.55625454466</v>
      </c>
      <c r="S87" s="7">
        <f t="shared" si="46"/>
        <v>133160.11465572435</v>
      </c>
      <c r="T87" s="7">
        <f t="shared" si="46"/>
        <v>139130.51117388601</v>
      </c>
      <c r="U87" s="7">
        <f t="shared" si="46"/>
        <v>144733.74082192022</v>
      </c>
      <c r="V87" s="7">
        <f t="shared" si="46"/>
        <v>148663.5164290705</v>
      </c>
      <c r="W87" s="7">
        <f t="shared" si="46"/>
        <v>152926.31416480793</v>
      </c>
      <c r="X87" s="7">
        <f t="shared" si="46"/>
        <v>155220.93536329732</v>
      </c>
      <c r="Y87" s="7">
        <f t="shared" si="46"/>
        <v>151266.09848179528</v>
      </c>
      <c r="Z87" s="7" t="e">
        <f t="shared" si="46"/>
        <v>#REF!</v>
      </c>
      <c r="AA87" s="7" t="e">
        <f t="shared" si="46"/>
        <v>#REF!</v>
      </c>
      <c r="AB87" s="7" t="e">
        <f t="shared" si="46"/>
        <v>#REF!</v>
      </c>
      <c r="AC87" s="7" t="e">
        <f t="shared" si="46"/>
        <v>#REF!</v>
      </c>
      <c r="AD87" s="7" t="e">
        <f t="shared" si="46"/>
        <v>#REF!</v>
      </c>
      <c r="AE87" s="7" t="e">
        <f t="shared" si="46"/>
        <v>#REF!</v>
      </c>
      <c r="AF87" s="7" t="e">
        <f t="shared" si="46"/>
        <v>#REF!</v>
      </c>
      <c r="AG87" s="7" t="e">
        <f t="shared" si="46"/>
        <v>#REF!</v>
      </c>
      <c r="AH87" s="7">
        <f t="shared" si="46"/>
        <v>68605.186881564558</v>
      </c>
      <c r="AI87" s="7">
        <f t="shared" si="46"/>
        <v>68534.475938593925</v>
      </c>
    </row>
    <row r="88" spans="2:35">
      <c r="B88" s="135" t="s">
        <v>144</v>
      </c>
      <c r="E88" s="7">
        <f t="shared" si="45"/>
        <v>248640.75</v>
      </c>
      <c r="F88" s="7">
        <f t="shared" si="46"/>
        <v>255515.65191424434</v>
      </c>
      <c r="G88" s="7">
        <f t="shared" si="46"/>
        <v>265383.85570417461</v>
      </c>
      <c r="H88" s="7">
        <f t="shared" si="46"/>
        <v>279334.53620809881</v>
      </c>
      <c r="I88" s="7">
        <f t="shared" si="46"/>
        <v>294564.47240485926</v>
      </c>
      <c r="J88" s="7">
        <f t="shared" si="46"/>
        <v>306597.01027000119</v>
      </c>
      <c r="K88" s="7">
        <f t="shared" si="46"/>
        <v>320684.00771447335</v>
      </c>
      <c r="L88" s="7">
        <f t="shared" si="46"/>
        <v>336186.84586717346</v>
      </c>
      <c r="M88" s="7">
        <f t="shared" si="46"/>
        <v>350757.66027723299</v>
      </c>
      <c r="N88" s="7">
        <f t="shared" si="46"/>
        <v>366284.44657983055</v>
      </c>
      <c r="O88" s="7">
        <f t="shared" si="46"/>
        <v>382136.27688149881</v>
      </c>
      <c r="P88" s="7">
        <f t="shared" si="46"/>
        <v>397849.4667627993</v>
      </c>
      <c r="Q88" s="7">
        <f t="shared" si="46"/>
        <v>415198.62178789318</v>
      </c>
      <c r="R88" s="7">
        <f t="shared" si="46"/>
        <v>432300.55569634854</v>
      </c>
      <c r="S88" s="7">
        <f t="shared" si="46"/>
        <v>447569.12550177</v>
      </c>
      <c r="T88" s="7">
        <f t="shared" si="46"/>
        <v>463947.71766543906</v>
      </c>
      <c r="U88" s="7">
        <f t="shared" si="46"/>
        <v>478788.45312858658</v>
      </c>
      <c r="V88" s="7">
        <f t="shared" si="46"/>
        <v>487833.2415349792</v>
      </c>
      <c r="W88" s="7">
        <f t="shared" si="46"/>
        <v>497745.75244419038</v>
      </c>
      <c r="X88" s="7">
        <f t="shared" si="46"/>
        <v>501070.19537637953</v>
      </c>
      <c r="Y88" s="7">
        <f t="shared" si="46"/>
        <v>484257.89846754982</v>
      </c>
      <c r="Z88" s="7" t="e">
        <f t="shared" si="46"/>
        <v>#REF!</v>
      </c>
      <c r="AA88" s="7" t="e">
        <f t="shared" si="46"/>
        <v>#REF!</v>
      </c>
      <c r="AB88" s="7" t="e">
        <f t="shared" si="46"/>
        <v>#REF!</v>
      </c>
      <c r="AC88" s="7" t="e">
        <f t="shared" si="46"/>
        <v>#REF!</v>
      </c>
      <c r="AD88" s="7" t="e">
        <f t="shared" si="46"/>
        <v>#REF!</v>
      </c>
      <c r="AE88" s="7" t="e">
        <f t="shared" si="46"/>
        <v>#REF!</v>
      </c>
      <c r="AF88" s="7" t="e">
        <f t="shared" si="46"/>
        <v>#REF!</v>
      </c>
      <c r="AG88" s="7" t="e">
        <f t="shared" si="46"/>
        <v>#REF!</v>
      </c>
      <c r="AH88" s="7">
        <f t="shared" si="46"/>
        <v>202967.45323450552</v>
      </c>
      <c r="AI88" s="7">
        <f t="shared" si="46"/>
        <v>200891.81807418814</v>
      </c>
    </row>
    <row r="89" spans="2:35">
      <c r="B89" s="135" t="s">
        <v>145</v>
      </c>
      <c r="E89" s="7">
        <f t="shared" si="45"/>
        <v>405502.18800000002</v>
      </c>
      <c r="F89" s="7">
        <f t="shared" si="46"/>
        <v>418909.56535872066</v>
      </c>
      <c r="G89" s="7">
        <f t="shared" si="46"/>
        <v>435760.30219326832</v>
      </c>
      <c r="H89" s="7">
        <f t="shared" si="46"/>
        <v>459144.69112136151</v>
      </c>
      <c r="I89" s="7">
        <f t="shared" si="46"/>
        <v>483528.81468759925</v>
      </c>
      <c r="J89" s="7">
        <f t="shared" si="46"/>
        <v>506604.32578330004</v>
      </c>
      <c r="K89" s="7">
        <f t="shared" si="46"/>
        <v>532950.02935570164</v>
      </c>
      <c r="L89" s="7">
        <f t="shared" si="46"/>
        <v>561974.29109693156</v>
      </c>
      <c r="M89" s="7">
        <f t="shared" si="46"/>
        <v>589777.41358684003</v>
      </c>
      <c r="N89" s="7">
        <f t="shared" si="46"/>
        <v>619532.02110659936</v>
      </c>
      <c r="O89" s="7">
        <f t="shared" si="46"/>
        <v>650200.50637237926</v>
      </c>
      <c r="P89" s="7">
        <f t="shared" si="46"/>
        <v>681140.2748913609</v>
      </c>
      <c r="Q89" s="7">
        <f t="shared" si="46"/>
        <v>715301.55809568567</v>
      </c>
      <c r="R89" s="7">
        <f t="shared" si="46"/>
        <v>749483.07508587244</v>
      </c>
      <c r="S89" s="7">
        <f t="shared" si="46"/>
        <v>780920.38069606922</v>
      </c>
      <c r="T89" s="7">
        <f t="shared" si="46"/>
        <v>814731.82421754603</v>
      </c>
      <c r="U89" s="7">
        <f t="shared" si="46"/>
        <v>846286.25939909171</v>
      </c>
      <c r="V89" s="7">
        <f t="shared" si="46"/>
        <v>867965.7284094881</v>
      </c>
      <c r="W89" s="7">
        <f t="shared" si="46"/>
        <v>891510.60463510989</v>
      </c>
      <c r="X89" s="7">
        <f t="shared" si="46"/>
        <v>903516.56152213539</v>
      </c>
      <c r="Y89" s="7">
        <f t="shared" si="46"/>
        <v>879152.75169120182</v>
      </c>
      <c r="Z89" s="7" t="e">
        <f t="shared" si="46"/>
        <v>#REF!</v>
      </c>
      <c r="AA89" s="7" t="e">
        <f t="shared" si="46"/>
        <v>#REF!</v>
      </c>
      <c r="AB89" s="7" t="e">
        <f t="shared" si="46"/>
        <v>#REF!</v>
      </c>
      <c r="AC89" s="7" t="e">
        <f t="shared" si="46"/>
        <v>#REF!</v>
      </c>
      <c r="AD89" s="7" t="e">
        <f t="shared" si="46"/>
        <v>#REF!</v>
      </c>
      <c r="AE89" s="7" t="e">
        <f t="shared" si="46"/>
        <v>#REF!</v>
      </c>
      <c r="AF89" s="7" t="e">
        <f t="shared" si="46"/>
        <v>#REF!</v>
      </c>
      <c r="AG89" s="7" t="e">
        <f t="shared" si="46"/>
        <v>#REF!</v>
      </c>
      <c r="AH89" s="7">
        <f t="shared" si="46"/>
        <v>393096.43421066285</v>
      </c>
      <c r="AI89" s="7">
        <f t="shared" si="46"/>
        <v>392048.94593526929</v>
      </c>
    </row>
    <row r="90" spans="2:35">
      <c r="B90" s="135" t="s">
        <v>147</v>
      </c>
      <c r="E90" s="7">
        <f t="shared" si="45"/>
        <v>559112.79200000002</v>
      </c>
      <c r="F90" s="7">
        <f t="shared" si="46"/>
        <v>574706.45588653244</v>
      </c>
      <c r="G90" s="7">
        <f t="shared" si="46"/>
        <v>594892.77275659377</v>
      </c>
      <c r="H90" s="7">
        <f t="shared" si="46"/>
        <v>623769.96272827045</v>
      </c>
      <c r="I90" s="7">
        <f t="shared" si="46"/>
        <v>653524.33516261086</v>
      </c>
      <c r="J90" s="7">
        <f t="shared" si="46"/>
        <v>685739.41809045547</v>
      </c>
      <c r="K90" s="7">
        <f t="shared" si="46"/>
        <v>721832.12451436569</v>
      </c>
      <c r="L90" s="7">
        <f t="shared" si="46"/>
        <v>761609.10003438115</v>
      </c>
      <c r="M90" s="7">
        <f t="shared" si="46"/>
        <v>799790.47822709288</v>
      </c>
      <c r="N90" s="7">
        <f t="shared" si="46"/>
        <v>840679.99539186317</v>
      </c>
      <c r="O90" s="7">
        <f t="shared" si="46"/>
        <v>882875.6858243423</v>
      </c>
      <c r="P90" s="7">
        <f t="shared" si="46"/>
        <v>927117.56943044928</v>
      </c>
      <c r="Q90" s="7">
        <f t="shared" si="46"/>
        <v>975975.8524880344</v>
      </c>
      <c r="R90" s="7">
        <f t="shared" si="46"/>
        <v>1025106.681625368</v>
      </c>
      <c r="S90" s="7">
        <f t="shared" si="46"/>
        <v>1070722.7653101389</v>
      </c>
      <c r="T90" s="7">
        <f t="shared" si="46"/>
        <v>1119834.2531388155</v>
      </c>
      <c r="U90" s="7">
        <f t="shared" si="46"/>
        <v>1166086.901917988</v>
      </c>
      <c r="V90" s="7">
        <f t="shared" si="46"/>
        <v>1198937.5713663464</v>
      </c>
      <c r="W90" s="7">
        <f t="shared" si="46"/>
        <v>1234544.3797540737</v>
      </c>
      <c r="X90" s="7">
        <f t="shared" si="46"/>
        <v>1254320.0912567829</v>
      </c>
      <c r="Y90" s="7">
        <f t="shared" si="46"/>
        <v>1223586.1943374795</v>
      </c>
      <c r="Z90" s="7" t="e">
        <f t="shared" si="46"/>
        <v>#REF!</v>
      </c>
      <c r="AA90" s="7" t="e">
        <f t="shared" si="46"/>
        <v>#REF!</v>
      </c>
      <c r="AB90" s="7" t="e">
        <f t="shared" si="46"/>
        <v>#REF!</v>
      </c>
      <c r="AC90" s="7" t="e">
        <f t="shared" si="46"/>
        <v>#REF!</v>
      </c>
      <c r="AD90" s="7" t="e">
        <f t="shared" si="46"/>
        <v>#REF!</v>
      </c>
      <c r="AE90" s="7" t="e">
        <f t="shared" si="46"/>
        <v>#REF!</v>
      </c>
      <c r="AF90" s="7" t="e">
        <f t="shared" si="46"/>
        <v>#REF!</v>
      </c>
      <c r="AG90" s="7" t="e">
        <f t="shared" si="46"/>
        <v>#REF!</v>
      </c>
      <c r="AH90" s="7">
        <f t="shared" si="46"/>
        <v>560043.81400000001</v>
      </c>
      <c r="AI90" s="7">
        <f t="shared" si="46"/>
        <v>560043.81400000001</v>
      </c>
    </row>
    <row r="91" spans="2:35">
      <c r="B91" s="135" t="s">
        <v>201</v>
      </c>
      <c r="E91" s="203">
        <f>SUM(E85:E90)</f>
        <v>3449794.878</v>
      </c>
      <c r="F91" s="203">
        <f>SUM(F85:F90)</f>
        <v>3557107.2276401566</v>
      </c>
      <c r="G91" s="203">
        <f>SUM(G85:G90)</f>
        <v>3701297.1187960771</v>
      </c>
      <c r="H91" s="203">
        <f t="shared" ref="H91:AI91" si="47">SUM(H85:H90)</f>
        <v>3908840.0542994468</v>
      </c>
      <c r="I91" s="203">
        <f t="shared" si="47"/>
        <v>4120684.0374786062</v>
      </c>
      <c r="J91" s="203">
        <f t="shared" si="47"/>
        <v>4328189.8363207169</v>
      </c>
      <c r="K91" s="203">
        <f t="shared" si="47"/>
        <v>4557929.8924686229</v>
      </c>
      <c r="L91" s="203">
        <f t="shared" si="47"/>
        <v>4810964.4117143927</v>
      </c>
      <c r="M91" s="203">
        <f t="shared" si="47"/>
        <v>5053930.9617142221</v>
      </c>
      <c r="N91" s="203">
        <f t="shared" si="47"/>
        <v>5313998.7333968058</v>
      </c>
      <c r="O91" s="203">
        <f t="shared" si="47"/>
        <v>5582293.6383295581</v>
      </c>
      <c r="P91" s="203">
        <f t="shared" si="47"/>
        <v>5854947.8550866526</v>
      </c>
      <c r="Q91" s="203">
        <f t="shared" si="47"/>
        <v>6155879.0204214184</v>
      </c>
      <c r="R91" s="203">
        <f t="shared" si="47"/>
        <v>6457591.5044174222</v>
      </c>
      <c r="S91" s="203">
        <f t="shared" si="47"/>
        <v>6736228.2103871051</v>
      </c>
      <c r="T91" s="203">
        <f t="shared" si="47"/>
        <v>7035897.9796450362</v>
      </c>
      <c r="U91" s="203">
        <f t="shared" si="47"/>
        <v>7316620.7402979154</v>
      </c>
      <c r="V91" s="203">
        <f t="shared" si="47"/>
        <v>7512385.6515000807</v>
      </c>
      <c r="W91" s="203">
        <f t="shared" si="47"/>
        <v>7724627.6252529835</v>
      </c>
      <c r="X91" s="203">
        <f t="shared" si="47"/>
        <v>7837122.8668982144</v>
      </c>
      <c r="Y91" s="203">
        <f t="shared" si="47"/>
        <v>7633930.259500457</v>
      </c>
      <c r="Z91" s="203" t="e">
        <f t="shared" si="47"/>
        <v>#REF!</v>
      </c>
      <c r="AA91" s="203" t="e">
        <f t="shared" si="47"/>
        <v>#REF!</v>
      </c>
      <c r="AB91" s="203" t="e">
        <f t="shared" si="47"/>
        <v>#REF!</v>
      </c>
      <c r="AC91" s="203" t="e">
        <f t="shared" si="47"/>
        <v>#REF!</v>
      </c>
      <c r="AD91" s="203" t="e">
        <f t="shared" si="47"/>
        <v>#REF!</v>
      </c>
      <c r="AE91" s="203" t="e">
        <f t="shared" si="47"/>
        <v>#REF!</v>
      </c>
      <c r="AF91" s="203" t="e">
        <f t="shared" si="47"/>
        <v>#REF!</v>
      </c>
      <c r="AG91" s="203" t="e">
        <f t="shared" si="47"/>
        <v>#REF!</v>
      </c>
      <c r="AH91" s="203">
        <f t="shared" si="47"/>
        <v>3444157.6287256833</v>
      </c>
      <c r="AI91" s="203">
        <f t="shared" si="47"/>
        <v>3438179.1110622864</v>
      </c>
    </row>
    <row r="92" spans="2:35">
      <c r="B92" s="135" t="s">
        <v>202</v>
      </c>
      <c r="E92" s="44">
        <f t="shared" ref="E92:AI92" si="48">E91/E23</f>
        <v>0.35302955002327063</v>
      </c>
      <c r="F92" s="44">
        <f t="shared" si="48"/>
        <v>0.36283828168561982</v>
      </c>
      <c r="G92" s="44">
        <f>G91/G23</f>
        <v>0.37592989666221943</v>
      </c>
      <c r="H92" s="44">
        <f t="shared" si="48"/>
        <v>0.39474990972081353</v>
      </c>
      <c r="I92" s="44">
        <f t="shared" si="48"/>
        <v>0.41377061467959098</v>
      </c>
      <c r="J92" s="44">
        <f t="shared" si="48"/>
        <v>0.4342100887500433</v>
      </c>
      <c r="K92" s="44">
        <f t="shared" si="48"/>
        <v>0.45718440175008146</v>
      </c>
      <c r="L92" s="44">
        <f t="shared" si="48"/>
        <v>0.48250100549681085</v>
      </c>
      <c r="M92" s="44">
        <f t="shared" si="48"/>
        <v>0.50681535547029311</v>
      </c>
      <c r="N92" s="44">
        <f t="shared" si="48"/>
        <v>0.53285404025033845</v>
      </c>
      <c r="O92" s="44">
        <f t="shared" si="48"/>
        <v>0.55972890855142987</v>
      </c>
      <c r="P92" s="44">
        <f t="shared" si="48"/>
        <v>0.58777857280402357</v>
      </c>
      <c r="Q92" s="44">
        <f t="shared" si="48"/>
        <v>0.61875111499679536</v>
      </c>
      <c r="R92" s="44">
        <f t="shared" si="48"/>
        <v>0.64989202028954784</v>
      </c>
      <c r="S92" s="44">
        <f t="shared" si="48"/>
        <v>0.67879969546073848</v>
      </c>
      <c r="T92" s="44">
        <f t="shared" si="48"/>
        <v>0.70991779689743595</v>
      </c>
      <c r="U92" s="44">
        <f t="shared" si="48"/>
        <v>0.73921744455457628</v>
      </c>
      <c r="V92" s="44">
        <f t="shared" si="48"/>
        <v>0.76001488964304542</v>
      </c>
      <c r="W92" s="44">
        <f t="shared" si="48"/>
        <v>0.78255298442163768</v>
      </c>
      <c r="X92" s="44">
        <f t="shared" si="48"/>
        <v>0.7950495914785487</v>
      </c>
      <c r="Y92" s="44">
        <f t="shared" si="48"/>
        <v>0.77552622582527986</v>
      </c>
      <c r="Z92" s="44" t="e">
        <f t="shared" si="48"/>
        <v>#REF!</v>
      </c>
      <c r="AA92" s="44" t="e">
        <f t="shared" si="48"/>
        <v>#REF!</v>
      </c>
      <c r="AB92" s="44" t="e">
        <f t="shared" si="48"/>
        <v>#REF!</v>
      </c>
      <c r="AC92" s="44" t="e">
        <f t="shared" si="48"/>
        <v>#REF!</v>
      </c>
      <c r="AD92" s="44" t="e">
        <f t="shared" si="48"/>
        <v>#REF!</v>
      </c>
      <c r="AE92" s="44" t="e">
        <f t="shared" si="48"/>
        <v>#REF!</v>
      </c>
      <c r="AF92" s="44" t="e">
        <f t="shared" si="48"/>
        <v>#REF!</v>
      </c>
      <c r="AG92" s="44" t="e">
        <f t="shared" si="48"/>
        <v>#REF!</v>
      </c>
      <c r="AH92" s="44">
        <f t="shared" si="48"/>
        <v>0.35468860247413431</v>
      </c>
      <c r="AI92" s="44">
        <f t="shared" si="48"/>
        <v>0.35464707816118224</v>
      </c>
    </row>
    <row r="93" spans="2:35">
      <c r="B93" s="135" t="s">
        <v>203</v>
      </c>
      <c r="F93" s="144">
        <f>F92/E92-1</f>
        <v>2.7784449380236387E-2</v>
      </c>
      <c r="G93" s="144">
        <f>G92/F92-1</f>
        <v>3.6081129355426622E-2</v>
      </c>
      <c r="H93" s="144">
        <f t="shared" ref="H93:AI93" si="49">H92/G92-1</f>
        <v>5.0062560136057144E-2</v>
      </c>
      <c r="I93" s="144">
        <f t="shared" si="49"/>
        <v>4.8184190775951929E-2</v>
      </c>
      <c r="J93" s="144">
        <f t="shared" si="49"/>
        <v>4.9398080350099072E-2</v>
      </c>
      <c r="K93" s="144">
        <f t="shared" si="49"/>
        <v>5.291059234983253E-2</v>
      </c>
      <c r="L93" s="144">
        <f t="shared" si="49"/>
        <v>5.5375038277374555E-2</v>
      </c>
      <c r="M93" s="144">
        <f t="shared" si="49"/>
        <v>5.0392330164051868E-2</v>
      </c>
      <c r="N93" s="144">
        <f t="shared" si="49"/>
        <v>5.1377063656413924E-2</v>
      </c>
      <c r="O93" s="144">
        <f t="shared" si="49"/>
        <v>5.0435703346577654E-2</v>
      </c>
      <c r="P93" s="144">
        <f t="shared" si="49"/>
        <v>5.0112945434935385E-2</v>
      </c>
      <c r="Q93" s="144">
        <f t="shared" si="49"/>
        <v>5.2694234914035576E-2</v>
      </c>
      <c r="R93" s="144">
        <f t="shared" si="49"/>
        <v>5.032864513369617E-2</v>
      </c>
      <c r="S93" s="144">
        <f t="shared" si="49"/>
        <v>4.4480735674075955E-2</v>
      </c>
      <c r="T93" s="144">
        <f t="shared" si="49"/>
        <v>4.5842833526281934E-2</v>
      </c>
      <c r="U93" s="144">
        <f t="shared" si="49"/>
        <v>4.1271887794881223E-2</v>
      </c>
      <c r="V93" s="144">
        <f t="shared" si="49"/>
        <v>2.8134407868311229E-2</v>
      </c>
      <c r="W93" s="144">
        <f t="shared" si="49"/>
        <v>2.9654806880399009E-2</v>
      </c>
      <c r="X93" s="144">
        <f t="shared" si="49"/>
        <v>1.5969023574994079E-2</v>
      </c>
      <c r="Y93" s="144">
        <f t="shared" si="49"/>
        <v>-2.4556160851502806E-2</v>
      </c>
      <c r="Z93" s="144" t="e">
        <f t="shared" si="49"/>
        <v>#REF!</v>
      </c>
      <c r="AA93" s="144" t="e">
        <f t="shared" si="49"/>
        <v>#REF!</v>
      </c>
      <c r="AB93" s="144" t="e">
        <f t="shared" si="49"/>
        <v>#REF!</v>
      </c>
      <c r="AC93" s="144" t="e">
        <f t="shared" si="49"/>
        <v>#REF!</v>
      </c>
      <c r="AD93" s="144" t="e">
        <f t="shared" si="49"/>
        <v>#REF!</v>
      </c>
      <c r="AE93" s="144" t="e">
        <f t="shared" si="49"/>
        <v>#REF!</v>
      </c>
      <c r="AF93" s="144" t="e">
        <f t="shared" si="49"/>
        <v>#REF!</v>
      </c>
      <c r="AG93" s="144" t="e">
        <f t="shared" si="49"/>
        <v>#REF!</v>
      </c>
      <c r="AH93" s="144" t="e">
        <f t="shared" si="49"/>
        <v>#REF!</v>
      </c>
      <c r="AI93" s="144">
        <f t="shared" si="49"/>
        <v>-1.170725889200197E-4</v>
      </c>
    </row>
    <row r="94" spans="2:35">
      <c r="B94" s="135"/>
      <c r="F94" s="144"/>
      <c r="G94" s="144"/>
      <c r="H94" s="144"/>
      <c r="I94" s="144"/>
      <c r="J94" s="144"/>
    </row>
    <row r="95" spans="2:35">
      <c r="B95" s="135"/>
      <c r="F95" s="28">
        <f>F78-F72+F77</f>
        <v>3557107.2276401566</v>
      </c>
      <c r="G95" s="28">
        <f>G78-G72+G77</f>
        <v>3701297.1187960771</v>
      </c>
      <c r="H95" s="28">
        <f>H78-H72+H77</f>
        <v>3908840.0542994458</v>
      </c>
      <c r="I95" s="144"/>
      <c r="J95" s="144"/>
    </row>
    <row r="96" spans="2:35">
      <c r="B96" s="135"/>
      <c r="F96" s="144" t="s">
        <v>359</v>
      </c>
      <c r="G96" s="144"/>
      <c r="H96" s="144"/>
      <c r="I96" s="144"/>
      <c r="J96" s="144"/>
    </row>
    <row r="97" spans="2:25">
      <c r="B97" s="135"/>
      <c r="F97" s="28">
        <f>F44+F77-F71</f>
        <v>3557107.2276401566</v>
      </c>
      <c r="G97" s="144"/>
      <c r="H97" s="144"/>
      <c r="I97" s="144"/>
      <c r="J97" s="144"/>
    </row>
    <row r="98" spans="2:25">
      <c r="B98" s="135"/>
      <c r="F98" s="144" t="s">
        <v>360</v>
      </c>
      <c r="G98" s="144"/>
      <c r="H98" s="144"/>
      <c r="I98" s="144"/>
      <c r="J98" s="144"/>
    </row>
    <row r="99" spans="2:25">
      <c r="B99" s="135"/>
      <c r="F99" s="28">
        <f>F78-F72+F77</f>
        <v>3557107.2276401566</v>
      </c>
      <c r="G99" s="144"/>
      <c r="H99" s="144"/>
      <c r="I99" s="144"/>
      <c r="J99" s="144"/>
    </row>
    <row r="100" spans="2:25">
      <c r="B100" s="135"/>
      <c r="F100" s="144"/>
      <c r="G100" s="144"/>
      <c r="H100" s="144"/>
      <c r="I100" s="144"/>
      <c r="J100" s="144"/>
    </row>
    <row r="101" spans="2:25">
      <c r="B101" s="153" t="s">
        <v>204</v>
      </c>
      <c r="F101" s="144"/>
      <c r="G101" s="144"/>
      <c r="H101" s="144"/>
      <c r="I101" s="144"/>
      <c r="J101" s="144"/>
    </row>
    <row r="102" spans="2:25">
      <c r="B102" s="135" t="s">
        <v>141</v>
      </c>
      <c r="F102" s="144">
        <f t="shared" ref="F102:Y102" si="50">F85/(F26+F85-F38)</f>
        <v>3.9113389574033264E-2</v>
      </c>
      <c r="G102" s="144">
        <f t="shared" si="50"/>
        <v>4.0126248977045774E-2</v>
      </c>
      <c r="H102" s="144">
        <f t="shared" si="50"/>
        <v>4.1612705243827097E-2</v>
      </c>
      <c r="I102" s="144">
        <f t="shared" si="50"/>
        <v>4.3238450987693224E-2</v>
      </c>
      <c r="J102" s="144">
        <f t="shared" si="50"/>
        <v>4.4865575360883453E-2</v>
      </c>
      <c r="K102" s="144">
        <f t="shared" si="50"/>
        <v>4.7115737072593214E-2</v>
      </c>
      <c r="L102" s="144">
        <f t="shared" si="50"/>
        <v>4.9583341730068668E-2</v>
      </c>
      <c r="M102" s="144">
        <f t="shared" si="50"/>
        <v>5.1939970126407456E-2</v>
      </c>
      <c r="N102" s="144">
        <f t="shared" si="50"/>
        <v>5.4450824752393212E-2</v>
      </c>
      <c r="O102" s="144">
        <f t="shared" si="50"/>
        <v>5.7027980425305658E-2</v>
      </c>
      <c r="P102" s="144">
        <f t="shared" si="50"/>
        <v>5.9715066149071405E-2</v>
      </c>
      <c r="Q102" s="144">
        <f t="shared" si="50"/>
        <v>6.2664795951357127E-2</v>
      </c>
      <c r="R102" s="144">
        <f t="shared" si="50"/>
        <v>6.5612376812262341E-2</v>
      </c>
      <c r="S102" s="144">
        <f t="shared" si="50"/>
        <v>6.8332544191662514E-2</v>
      </c>
      <c r="T102" s="144">
        <f t="shared" si="50"/>
        <v>7.124349932779607E-2</v>
      </c>
      <c r="U102" s="144">
        <f t="shared" si="50"/>
        <v>7.3968420238581412E-2</v>
      </c>
      <c r="V102" s="144">
        <f t="shared" si="50"/>
        <v>7.5894088174882579E-2</v>
      </c>
      <c r="W102" s="144">
        <f t="shared" si="50"/>
        <v>7.7972293229321921E-2</v>
      </c>
      <c r="X102" s="144">
        <f t="shared" si="50"/>
        <v>7.912247794126287E-2</v>
      </c>
      <c r="Y102" s="144">
        <f t="shared" si="50"/>
        <v>7.7333710897177374E-2</v>
      </c>
    </row>
    <row r="103" spans="2:25">
      <c r="B103" s="135" t="s">
        <v>142</v>
      </c>
      <c r="F103" s="144">
        <f t="shared" ref="F103:Y103" si="51">F86/(F27+F86-F39)</f>
        <v>4.0391129216738722E-2</v>
      </c>
      <c r="G103" s="144">
        <f t="shared" si="51"/>
        <v>4.1364684086748774E-2</v>
      </c>
      <c r="H103" s="144">
        <f t="shared" si="51"/>
        <v>4.2788121927553942E-2</v>
      </c>
      <c r="I103" s="144">
        <f t="shared" si="51"/>
        <v>4.4403088840996571E-2</v>
      </c>
      <c r="J103" s="144">
        <f t="shared" si="51"/>
        <v>4.5929820269790568E-2</v>
      </c>
      <c r="K103" s="144">
        <f t="shared" si="51"/>
        <v>4.8230662234688158E-2</v>
      </c>
      <c r="L103" s="144">
        <f t="shared" si="51"/>
        <v>5.0753549003737602E-2</v>
      </c>
      <c r="M103" s="144">
        <f t="shared" si="51"/>
        <v>5.3162684672296026E-2</v>
      </c>
      <c r="N103" s="144">
        <f t="shared" si="51"/>
        <v>5.5729172624453295E-2</v>
      </c>
      <c r="O103" s="144">
        <f t="shared" si="51"/>
        <v>5.836309789826595E-2</v>
      </c>
      <c r="P103" s="144">
        <f t="shared" si="51"/>
        <v>6.1109015854197583E-2</v>
      </c>
      <c r="Q103" s="144">
        <f t="shared" si="51"/>
        <v>6.4122906545392919E-2</v>
      </c>
      <c r="R103" s="144">
        <f t="shared" si="51"/>
        <v>6.7134160688128303E-2</v>
      </c>
      <c r="S103" s="144">
        <f t="shared" si="51"/>
        <v>6.991269786139763E-2</v>
      </c>
      <c r="T103" s="144">
        <f t="shared" si="51"/>
        <v>7.2885701189198154E-2</v>
      </c>
      <c r="U103" s="144">
        <f t="shared" si="51"/>
        <v>7.5668315649533566E-2</v>
      </c>
      <c r="V103" s="144">
        <f t="shared" si="51"/>
        <v>7.7634527960872737E-2</v>
      </c>
      <c r="W103" s="144">
        <f t="shared" si="51"/>
        <v>7.97562781885328E-2</v>
      </c>
      <c r="X103" s="144">
        <f t="shared" si="51"/>
        <v>8.0930468950506318E-2</v>
      </c>
      <c r="Y103" s="144">
        <f t="shared" si="51"/>
        <v>7.9104338764864446E-2</v>
      </c>
    </row>
    <row r="104" spans="2:25">
      <c r="B104" s="135" t="s">
        <v>143</v>
      </c>
      <c r="F104" s="144">
        <f t="shared" ref="F104:Y104" si="52">F87/(F28+F87-F40)</f>
        <v>4.0157858867550557E-2</v>
      </c>
      <c r="G104" s="144">
        <f t="shared" si="52"/>
        <v>4.1198007962263437E-2</v>
      </c>
      <c r="H104" s="144">
        <f t="shared" si="52"/>
        <v>4.266624822177878E-2</v>
      </c>
      <c r="I104" s="144">
        <f t="shared" si="52"/>
        <v>4.4358895947854464E-2</v>
      </c>
      <c r="J104" s="144">
        <f t="shared" si="52"/>
        <v>4.6206691762619705E-2</v>
      </c>
      <c r="K104" s="144">
        <f t="shared" si="52"/>
        <v>4.8520698160279159E-2</v>
      </c>
      <c r="L104" s="144">
        <f t="shared" si="52"/>
        <v>5.1057942477346532E-2</v>
      </c>
      <c r="M104" s="144">
        <f t="shared" si="52"/>
        <v>5.3480712847677879E-2</v>
      </c>
      <c r="N104" s="144">
        <f t="shared" si="52"/>
        <v>5.6061644913737184E-2</v>
      </c>
      <c r="O104" s="144">
        <f t="shared" si="52"/>
        <v>5.8710306810852153E-2</v>
      </c>
      <c r="P104" s="144">
        <f t="shared" si="52"/>
        <v>6.1471494129502605E-2</v>
      </c>
      <c r="Q104" s="144">
        <f t="shared" si="52"/>
        <v>6.4502034032657973E-2</v>
      </c>
      <c r="R104" s="144">
        <f t="shared" si="52"/>
        <v>6.7529807569595979E-2</v>
      </c>
      <c r="S104" s="144">
        <f t="shared" si="52"/>
        <v>7.0323485292263066E-2</v>
      </c>
      <c r="T104" s="144">
        <f t="shared" si="52"/>
        <v>7.3312580226790242E-2</v>
      </c>
      <c r="U104" s="144">
        <f t="shared" si="52"/>
        <v>7.6110154078560768E-2</v>
      </c>
      <c r="V104" s="144">
        <f t="shared" si="52"/>
        <v>7.8086877486001668E-2</v>
      </c>
      <c r="W104" s="144">
        <f t="shared" si="52"/>
        <v>8.0219915209519918E-2</v>
      </c>
      <c r="X104" s="144">
        <f t="shared" si="52"/>
        <v>8.1400327970133232E-2</v>
      </c>
      <c r="Y104" s="144">
        <f t="shared" si="52"/>
        <v>7.9564513619631766E-2</v>
      </c>
    </row>
    <row r="105" spans="2:25">
      <c r="B105" s="135" t="s">
        <v>144</v>
      </c>
      <c r="F105" s="144">
        <f t="shared" ref="F105:Y105" si="53">F88/(F29+F88-F41)</f>
        <v>4.2993032034798331E-2</v>
      </c>
      <c r="G105" s="144">
        <f t="shared" si="53"/>
        <v>4.3949517405811607E-2</v>
      </c>
      <c r="H105" s="144">
        <f t="shared" si="53"/>
        <v>4.5359197184146244E-2</v>
      </c>
      <c r="I105" s="144">
        <f t="shared" si="53"/>
        <v>4.6954343957505411E-2</v>
      </c>
      <c r="J105" s="144">
        <f t="shared" si="53"/>
        <v>4.8394208754420812E-2</v>
      </c>
      <c r="K105" s="144">
        <f t="shared" si="53"/>
        <v>5.0811928735158808E-2</v>
      </c>
      <c r="L105" s="144">
        <f t="shared" si="53"/>
        <v>5.3462253958212476E-2</v>
      </c>
      <c r="M105" s="144">
        <f t="shared" si="53"/>
        <v>5.5992380487237835E-2</v>
      </c>
      <c r="N105" s="144">
        <f t="shared" si="53"/>
        <v>5.8687007986033483E-2</v>
      </c>
      <c r="O105" s="144">
        <f t="shared" si="53"/>
        <v>6.1451631592135313E-2</v>
      </c>
      <c r="P105" s="144">
        <f t="shared" si="53"/>
        <v>6.4332933812100646E-2</v>
      </c>
      <c r="Q105" s="144">
        <f t="shared" si="53"/>
        <v>6.7494397492609812E-2</v>
      </c>
      <c r="R105" s="144">
        <f t="shared" si="53"/>
        <v>7.0652026492487974E-2</v>
      </c>
      <c r="S105" s="144">
        <f t="shared" si="53"/>
        <v>7.3564678903731667E-2</v>
      </c>
      <c r="T105" s="144">
        <f t="shared" si="53"/>
        <v>7.6680177484694162E-2</v>
      </c>
      <c r="U105" s="144">
        <f t="shared" si="53"/>
        <v>7.9595219618735683E-2</v>
      </c>
      <c r="V105" s="144">
        <f t="shared" si="53"/>
        <v>8.1654457008045814E-2</v>
      </c>
      <c r="W105" s="144">
        <f t="shared" si="53"/>
        <v>8.3876081194168048E-2</v>
      </c>
      <c r="X105" s="144">
        <f t="shared" si="53"/>
        <v>8.5105315428497696E-2</v>
      </c>
      <c r="Y105" s="144">
        <f t="shared" si="53"/>
        <v>8.3193510327089895E-2</v>
      </c>
    </row>
    <row r="106" spans="2:25">
      <c r="B106" s="135" t="s">
        <v>145</v>
      </c>
      <c r="F106" s="144">
        <f t="shared" ref="F106:Y106" si="54">F89/(F30+F89-F42)</f>
        <v>4.3142965024925352E-2</v>
      </c>
      <c r="G106" s="144">
        <f t="shared" si="54"/>
        <v>4.4135392444353126E-2</v>
      </c>
      <c r="H106" s="144">
        <f t="shared" si="54"/>
        <v>4.5580646210312062E-2</v>
      </c>
      <c r="I106" s="144">
        <f t="shared" si="54"/>
        <v>4.7249075752536042E-2</v>
      </c>
      <c r="J106" s="144">
        <f t="shared" si="54"/>
        <v>4.8897079718121829E-2</v>
      </c>
      <c r="K106" s="144">
        <f t="shared" si="54"/>
        <v>5.1338567200281203E-2</v>
      </c>
      <c r="L106" s="144">
        <f t="shared" si="54"/>
        <v>5.4014798455540892E-2</v>
      </c>
      <c r="M106" s="144">
        <f t="shared" si="54"/>
        <v>5.6569511603049717E-2</v>
      </c>
      <c r="N106" s="144">
        <f t="shared" si="54"/>
        <v>5.9290169055170108E-2</v>
      </c>
      <c r="O106" s="144">
        <f t="shared" si="54"/>
        <v>6.2081332398020585E-2</v>
      </c>
      <c r="P106" s="144">
        <f t="shared" si="54"/>
        <v>6.4990115132321571E-2</v>
      </c>
      <c r="Q106" s="144">
        <f t="shared" si="54"/>
        <v>6.8181520823022923E-2</v>
      </c>
      <c r="R106" s="144">
        <f t="shared" si="54"/>
        <v>7.1368835622703228E-2</v>
      </c>
      <c r="S106" s="144">
        <f t="shared" si="54"/>
        <v>7.4308675910196617E-2</v>
      </c>
      <c r="T106" s="144">
        <f t="shared" si="54"/>
        <v>7.745304888789574E-2</v>
      </c>
      <c r="U106" s="144">
        <f t="shared" si="54"/>
        <v>8.039491391965238E-2</v>
      </c>
      <c r="V106" s="144">
        <f t="shared" si="54"/>
        <v>8.2472986638992829E-2</v>
      </c>
      <c r="W106" s="144">
        <f t="shared" si="54"/>
        <v>8.4714826706982355E-2</v>
      </c>
      <c r="X106" s="144">
        <f t="shared" si="54"/>
        <v>8.5955199753160696E-2</v>
      </c>
      <c r="Y106" s="144">
        <f t="shared" si="54"/>
        <v>8.4026056292134887E-2</v>
      </c>
    </row>
    <row r="107" spans="2:25">
      <c r="B107" s="135" t="s">
        <v>147</v>
      </c>
      <c r="F107" s="144">
        <f t="shared" ref="F107:Y107" si="55">F90/(F33+F90-F43)</f>
        <v>5.269217654232268E-2</v>
      </c>
      <c r="G107" s="144">
        <f t="shared" si="55"/>
        <v>5.3394672060821893E-2</v>
      </c>
      <c r="H107" s="144">
        <f t="shared" si="55"/>
        <v>5.5060249386290623E-2</v>
      </c>
      <c r="I107" s="144">
        <f t="shared" si="55"/>
        <v>5.633023529786374E-2</v>
      </c>
      <c r="J107" s="144">
        <f t="shared" si="55"/>
        <v>5.8384718404278273E-2</v>
      </c>
      <c r="K107" s="144">
        <f t="shared" si="55"/>
        <v>6.1269417319415619E-2</v>
      </c>
      <c r="L107" s="144">
        <f t="shared" si="55"/>
        <v>6.4428175910900262E-2</v>
      </c>
      <c r="M107" s="144">
        <f t="shared" si="55"/>
        <v>6.7440293752216482E-2</v>
      </c>
      <c r="N107" s="144">
        <f t="shared" si="55"/>
        <v>7.0644622178874225E-2</v>
      </c>
      <c r="O107" s="144">
        <f t="shared" si="55"/>
        <v>7.3928304250608048E-2</v>
      </c>
      <c r="P107" s="144">
        <f t="shared" si="55"/>
        <v>7.7346394143924344E-2</v>
      </c>
      <c r="Q107" s="144">
        <f t="shared" si="55"/>
        <v>8.1091943472376388E-2</v>
      </c>
      <c r="R107" s="144">
        <f t="shared" si="55"/>
        <v>8.4827845918926739E-2</v>
      </c>
      <c r="S107" s="144">
        <f t="shared" si="55"/>
        <v>8.8269394504289875E-2</v>
      </c>
      <c r="T107" s="144">
        <f t="shared" si="55"/>
        <v>9.1945838505165342E-2</v>
      </c>
      <c r="U107" s="144">
        <f t="shared" si="55"/>
        <v>9.5381263867546237E-2</v>
      </c>
      <c r="V107" s="144">
        <f t="shared" si="55"/>
        <v>9.7805509103191468E-2</v>
      </c>
      <c r="W107" s="144">
        <f t="shared" si="55"/>
        <v>0.10041851448416653</v>
      </c>
      <c r="X107" s="144">
        <f t="shared" si="55"/>
        <v>0.10186322781937018</v>
      </c>
      <c r="Y107" s="144">
        <f t="shared" si="55"/>
        <v>9.9615961862730779E-2</v>
      </c>
    </row>
    <row r="108" spans="2:25">
      <c r="B108" s="135" t="s">
        <v>97</v>
      </c>
      <c r="F108" s="144">
        <f t="shared" ref="F108:Y108" si="56">F91/F35</f>
        <v>4.1755256656787636E-2</v>
      </c>
      <c r="G108" s="144">
        <f t="shared" si="56"/>
        <v>4.2790047942163123E-2</v>
      </c>
      <c r="H108" s="144">
        <f t="shared" si="56"/>
        <v>4.4370918081203505E-2</v>
      </c>
      <c r="I108" s="144">
        <f t="shared" si="56"/>
        <v>4.6065320410662754E-2</v>
      </c>
      <c r="J108" s="144">
        <f t="shared" si="56"/>
        <v>4.7842974826782743E-2</v>
      </c>
      <c r="K108" s="144">
        <f t="shared" si="56"/>
        <v>5.0358069314024166E-2</v>
      </c>
      <c r="L108" s="144">
        <f t="shared" si="56"/>
        <v>5.312996897582415E-2</v>
      </c>
      <c r="M108" s="144">
        <f t="shared" si="56"/>
        <v>5.5790338774869372E-2</v>
      </c>
      <c r="N108" s="144">
        <f t="shared" si="56"/>
        <v>5.8639406107262509E-2</v>
      </c>
      <c r="O108" s="144">
        <f t="shared" si="56"/>
        <v>6.1579368050661748E-2</v>
      </c>
      <c r="P108" s="144">
        <f t="shared" si="56"/>
        <v>6.4665095382602095E-2</v>
      </c>
      <c r="Q108" s="144">
        <f t="shared" si="56"/>
        <v>6.8072895940187228E-2</v>
      </c>
      <c r="R108" s="144">
        <f t="shared" si="56"/>
        <v>7.1499805774596456E-2</v>
      </c>
      <c r="S108" s="144">
        <f t="shared" si="56"/>
        <v>7.4681679645988042E-2</v>
      </c>
      <c r="T108" s="144">
        <f t="shared" si="56"/>
        <v>7.8107480232210758E-2</v>
      </c>
      <c r="U108" s="144">
        <f t="shared" si="56"/>
        <v>8.1334018949758738E-2</v>
      </c>
      <c r="V108" s="144">
        <f t="shared" si="56"/>
        <v>8.3625921165720027E-2</v>
      </c>
      <c r="W108" s="144">
        <f t="shared" si="56"/>
        <v>8.6110214946048286E-2</v>
      </c>
      <c r="X108" s="144">
        <f t="shared" si="56"/>
        <v>8.749043152761983E-2</v>
      </c>
      <c r="Y108" s="144">
        <f t="shared" si="56"/>
        <v>8.5347646867446711E-2</v>
      </c>
    </row>
    <row r="109" spans="2:25">
      <c r="B109" s="135"/>
      <c r="F109" s="144"/>
      <c r="G109" s="144"/>
      <c r="H109" s="144"/>
      <c r="I109" s="144"/>
      <c r="J109" s="144"/>
    </row>
    <row r="110" spans="2:25">
      <c r="B110" s="153" t="s">
        <v>205</v>
      </c>
      <c r="F110" s="144"/>
      <c r="G110" s="144"/>
      <c r="H110" s="144"/>
      <c r="I110" s="144"/>
      <c r="J110" s="144"/>
    </row>
    <row r="111" spans="2:25">
      <c r="B111" s="135" t="s">
        <v>141</v>
      </c>
      <c r="F111" s="144">
        <f t="shared" ref="F111:Y111" si="57">F102-F48</f>
        <v>9.9981682903012292E-4</v>
      </c>
      <c r="G111" s="144">
        <f t="shared" si="57"/>
        <v>2.300520625281334E-3</v>
      </c>
      <c r="H111" s="144">
        <f t="shared" si="57"/>
        <v>4.1303436588454034E-3</v>
      </c>
      <c r="I111" s="144">
        <f t="shared" si="57"/>
        <v>5.9694844394291222E-3</v>
      </c>
      <c r="J111" s="144">
        <f t="shared" si="57"/>
        <v>7.9199975328182459E-3</v>
      </c>
      <c r="K111" s="144">
        <f t="shared" si="57"/>
        <v>1.0170159244528E-2</v>
      </c>
      <c r="L111" s="144">
        <f t="shared" si="57"/>
        <v>1.2637763902003461E-2</v>
      </c>
      <c r="M111" s="144">
        <f t="shared" si="57"/>
        <v>1.4994392298342249E-2</v>
      </c>
      <c r="N111" s="144">
        <f t="shared" si="57"/>
        <v>1.7505246924327998E-2</v>
      </c>
      <c r="O111" s="144">
        <f t="shared" si="57"/>
        <v>2.0082402597240444E-2</v>
      </c>
      <c r="P111" s="144">
        <f t="shared" si="57"/>
        <v>2.2769488321006191E-2</v>
      </c>
      <c r="Q111" s="144">
        <f t="shared" si="57"/>
        <v>2.5719218123291913E-2</v>
      </c>
      <c r="R111" s="144">
        <f t="shared" si="57"/>
        <v>2.8666798984197127E-2</v>
      </c>
      <c r="S111" s="144">
        <f t="shared" si="57"/>
        <v>3.13869663635973E-2</v>
      </c>
      <c r="T111" s="144">
        <f t="shared" si="57"/>
        <v>3.4297921499730856E-2</v>
      </c>
      <c r="U111" s="144">
        <f t="shared" si="57"/>
        <v>3.7022842410516198E-2</v>
      </c>
      <c r="V111" s="144">
        <f t="shared" si="57"/>
        <v>3.8948510346817365E-2</v>
      </c>
      <c r="W111" s="144">
        <f t="shared" si="57"/>
        <v>4.1026715401256707E-2</v>
      </c>
      <c r="X111" s="144">
        <f t="shared" si="57"/>
        <v>4.2176900113197656E-2</v>
      </c>
      <c r="Y111" s="144">
        <f t="shared" si="57"/>
        <v>4.038813306911216E-2</v>
      </c>
    </row>
    <row r="112" spans="2:25">
      <c r="B112" s="135" t="s">
        <v>142</v>
      </c>
      <c r="F112" s="144">
        <f t="shared" ref="F112:Y112" si="58">F103-F49</f>
        <v>1.0311405323889938E-3</v>
      </c>
      <c r="G112" s="144">
        <f t="shared" si="58"/>
        <v>2.368638119978464E-3</v>
      </c>
      <c r="H112" s="144">
        <f t="shared" si="58"/>
        <v>4.2423194234604139E-3</v>
      </c>
      <c r="I112" s="144">
        <f t="shared" si="58"/>
        <v>6.1238408524181692E-3</v>
      </c>
      <c r="J112" s="144">
        <f t="shared" si="58"/>
        <v>8.1004250041738432E-3</v>
      </c>
      <c r="K112" s="144">
        <f t="shared" si="58"/>
        <v>1.0401266969071433E-2</v>
      </c>
      <c r="L112" s="144">
        <f t="shared" si="58"/>
        <v>1.2924153738120878E-2</v>
      </c>
      <c r="M112" s="144">
        <f t="shared" si="58"/>
        <v>1.5333289406679301E-2</v>
      </c>
      <c r="N112" s="144">
        <f t="shared" si="58"/>
        <v>1.7899777358836577E-2</v>
      </c>
      <c r="O112" s="144">
        <f t="shared" si="58"/>
        <v>2.0533702632649233E-2</v>
      </c>
      <c r="P112" s="144">
        <f t="shared" si="58"/>
        <v>2.3279620588580859E-2</v>
      </c>
      <c r="Q112" s="144">
        <f t="shared" si="58"/>
        <v>2.6293511279776201E-2</v>
      </c>
      <c r="R112" s="144">
        <f t="shared" si="58"/>
        <v>2.9304765422511578E-2</v>
      </c>
      <c r="S112" s="144">
        <f t="shared" si="58"/>
        <v>3.2083302595780905E-2</v>
      </c>
      <c r="T112" s="144">
        <f t="shared" si="58"/>
        <v>3.5056305923581429E-2</v>
      </c>
      <c r="U112" s="144">
        <f t="shared" si="58"/>
        <v>3.7838920383916841E-2</v>
      </c>
      <c r="V112" s="144">
        <f t="shared" si="58"/>
        <v>3.9805132695256012E-2</v>
      </c>
      <c r="W112" s="144">
        <f t="shared" si="58"/>
        <v>4.1926882922916076E-2</v>
      </c>
      <c r="X112" s="144">
        <f t="shared" si="58"/>
        <v>4.3101073684889593E-2</v>
      </c>
      <c r="Y112" s="144">
        <f t="shared" si="58"/>
        <v>4.1274943499247728E-2</v>
      </c>
    </row>
    <row r="113" spans="1:28">
      <c r="B113" s="135" t="s">
        <v>143</v>
      </c>
      <c r="F113" s="144">
        <f t="shared" ref="F113:Y113" si="59">F104-F50</f>
        <v>1.0254282479298937E-3</v>
      </c>
      <c r="G113" s="144">
        <f t="shared" si="59"/>
        <v>2.3594805370346847E-3</v>
      </c>
      <c r="H113" s="144">
        <f t="shared" si="59"/>
        <v>4.2307211889302462E-3</v>
      </c>
      <c r="I113" s="144">
        <f t="shared" si="59"/>
        <v>6.1179899033391646E-3</v>
      </c>
      <c r="J113" s="144">
        <f t="shared" si="59"/>
        <v>8.14730759159802E-3</v>
      </c>
      <c r="K113" s="144">
        <f t="shared" si="59"/>
        <v>1.0461313989257467E-2</v>
      </c>
      <c r="L113" s="144">
        <f t="shared" si="59"/>
        <v>1.2998558306324848E-2</v>
      </c>
      <c r="M113" s="144">
        <f t="shared" si="59"/>
        <v>1.5421328676656194E-2</v>
      </c>
      <c r="N113" s="144">
        <f t="shared" si="59"/>
        <v>1.8002260742715492E-2</v>
      </c>
      <c r="O113" s="144">
        <f t="shared" si="59"/>
        <v>2.0650922639830462E-2</v>
      </c>
      <c r="P113" s="144">
        <f t="shared" si="59"/>
        <v>2.341210995848092E-2</v>
      </c>
      <c r="Q113" s="144">
        <f t="shared" si="59"/>
        <v>2.6442649861636282E-2</v>
      </c>
      <c r="R113" s="144">
        <f t="shared" si="59"/>
        <v>2.9470423398574294E-2</v>
      </c>
      <c r="S113" s="144">
        <f t="shared" si="59"/>
        <v>3.2264101121241374E-2</v>
      </c>
      <c r="T113" s="144">
        <f t="shared" si="59"/>
        <v>3.525319605576855E-2</v>
      </c>
      <c r="U113" s="144">
        <f t="shared" si="59"/>
        <v>3.8050769907539084E-2</v>
      </c>
      <c r="V113" s="144">
        <f t="shared" si="59"/>
        <v>4.0027493314979977E-2</v>
      </c>
      <c r="W113" s="144">
        <f t="shared" si="59"/>
        <v>4.2160531038498233E-2</v>
      </c>
      <c r="X113" s="144">
        <f t="shared" si="59"/>
        <v>4.3340943799111548E-2</v>
      </c>
      <c r="Y113" s="144">
        <f t="shared" si="59"/>
        <v>4.1505129448610081E-2</v>
      </c>
    </row>
    <row r="114" spans="1:28">
      <c r="B114" s="135" t="s">
        <v>144</v>
      </c>
      <c r="F114" s="144">
        <f t="shared" ref="F114:Y114" si="60">F105-F51</f>
        <v>1.0946640271879485E-3</v>
      </c>
      <c r="G114" s="144">
        <f t="shared" si="60"/>
        <v>2.5102534595672216E-3</v>
      </c>
      <c r="H114" s="144">
        <f t="shared" si="60"/>
        <v>4.4863493198645382E-3</v>
      </c>
      <c r="I114" s="144">
        <f t="shared" si="60"/>
        <v>6.460786624887041E-3</v>
      </c>
      <c r="J114" s="144">
        <f t="shared" si="60"/>
        <v>8.5168911796283248E-3</v>
      </c>
      <c r="K114" s="144">
        <f t="shared" si="60"/>
        <v>1.0934611160366321E-2</v>
      </c>
      <c r="L114" s="144">
        <f t="shared" si="60"/>
        <v>1.3584936383419982E-2</v>
      </c>
      <c r="M114" s="144">
        <f t="shared" si="60"/>
        <v>1.6115062912445348E-2</v>
      </c>
      <c r="N114" s="144">
        <f t="shared" si="60"/>
        <v>1.880969041124099E-2</v>
      </c>
      <c r="O114" s="144">
        <f t="shared" si="60"/>
        <v>2.1574314017342826E-2</v>
      </c>
      <c r="P114" s="144">
        <f t="shared" si="60"/>
        <v>2.4455616237308159E-2</v>
      </c>
      <c r="Q114" s="144">
        <f t="shared" si="60"/>
        <v>2.7617079917817325E-2</v>
      </c>
      <c r="R114" s="144">
        <f t="shared" si="60"/>
        <v>3.0774708917695487E-2</v>
      </c>
      <c r="S114" s="144">
        <f t="shared" si="60"/>
        <v>3.368736132893918E-2</v>
      </c>
      <c r="T114" s="144">
        <f t="shared" si="60"/>
        <v>3.6802859909901675E-2</v>
      </c>
      <c r="U114" s="144">
        <f t="shared" si="60"/>
        <v>3.9717902043943196E-2</v>
      </c>
      <c r="V114" s="144">
        <f t="shared" si="60"/>
        <v>4.177713943325332E-2</v>
      </c>
      <c r="W114" s="144">
        <f t="shared" si="60"/>
        <v>4.3998763619375554E-2</v>
      </c>
      <c r="X114" s="144">
        <f t="shared" si="60"/>
        <v>4.5227997853705203E-2</v>
      </c>
      <c r="Y114" s="144">
        <f t="shared" si="60"/>
        <v>4.3316192752297401E-2</v>
      </c>
    </row>
    <row r="115" spans="1:28">
      <c r="B115" s="135" t="s">
        <v>145</v>
      </c>
      <c r="F115" s="144">
        <f t="shared" ref="F115:Y115" si="61">F106-F52</f>
        <v>1.0983138189143982E-3</v>
      </c>
      <c r="G115" s="144">
        <f t="shared" si="61"/>
        <v>2.5204079184894881E-3</v>
      </c>
      <c r="H115" s="144">
        <f t="shared" si="61"/>
        <v>4.5073098437830236E-3</v>
      </c>
      <c r="I115" s="144">
        <f t="shared" si="61"/>
        <v>6.4996069138635593E-3</v>
      </c>
      <c r="J115" s="144">
        <f t="shared" si="61"/>
        <v>8.6016438700250164E-3</v>
      </c>
      <c r="K115" s="144">
        <f t="shared" si="61"/>
        <v>1.1043131352184384E-2</v>
      </c>
      <c r="L115" s="144">
        <f t="shared" si="61"/>
        <v>1.3719362607444073E-2</v>
      </c>
      <c r="M115" s="144">
        <f t="shared" si="61"/>
        <v>1.6274075754952905E-2</v>
      </c>
      <c r="N115" s="144">
        <f t="shared" si="61"/>
        <v>1.8994733207073289E-2</v>
      </c>
      <c r="O115" s="144">
        <f t="shared" si="61"/>
        <v>2.1785896549923772E-2</v>
      </c>
      <c r="P115" s="144">
        <f t="shared" si="61"/>
        <v>2.4694679284224752E-2</v>
      </c>
      <c r="Q115" s="144">
        <f t="shared" si="61"/>
        <v>2.7886084974926104E-2</v>
      </c>
      <c r="R115" s="144">
        <f t="shared" si="61"/>
        <v>3.1073399774606415E-2</v>
      </c>
      <c r="S115" s="144">
        <f t="shared" si="61"/>
        <v>3.4013240062099805E-2</v>
      </c>
      <c r="T115" s="144">
        <f t="shared" si="61"/>
        <v>3.7157613039798934E-2</v>
      </c>
      <c r="U115" s="144">
        <f t="shared" si="61"/>
        <v>4.0099478071555568E-2</v>
      </c>
      <c r="V115" s="144">
        <f t="shared" si="61"/>
        <v>4.2177550790896016E-2</v>
      </c>
      <c r="W115" s="144">
        <f t="shared" si="61"/>
        <v>4.4419390858885542E-2</v>
      </c>
      <c r="X115" s="144">
        <f t="shared" si="61"/>
        <v>4.5659763905063884E-2</v>
      </c>
      <c r="Y115" s="144">
        <f t="shared" si="61"/>
        <v>4.3730620444038075E-2</v>
      </c>
    </row>
    <row r="116" spans="1:28">
      <c r="B116" s="135" t="s">
        <v>147</v>
      </c>
      <c r="F116" s="144">
        <f t="shared" ref="F116:Y116" si="62">F107-F53</f>
        <v>1.3283637575740234E-3</v>
      </c>
      <c r="G116" s="144">
        <f t="shared" si="62"/>
        <v>3.0213054763886318E-3</v>
      </c>
      <c r="H116" s="144">
        <f t="shared" si="62"/>
        <v>5.395935538965356E-3</v>
      </c>
      <c r="I116" s="144">
        <f t="shared" si="62"/>
        <v>7.6850342006030067E-3</v>
      </c>
      <c r="J116" s="144">
        <f t="shared" si="62"/>
        <v>1.0186065866664575E-2</v>
      </c>
      <c r="K116" s="144">
        <f t="shared" si="62"/>
        <v>1.307076478180192E-2</v>
      </c>
      <c r="L116" s="144">
        <f t="shared" si="62"/>
        <v>1.6229523373286564E-2</v>
      </c>
      <c r="M116" s="144">
        <f t="shared" si="62"/>
        <v>1.9241641214602784E-2</v>
      </c>
      <c r="N116" s="144">
        <f t="shared" si="62"/>
        <v>2.2445969641260527E-2</v>
      </c>
      <c r="O116" s="144">
        <f t="shared" si="62"/>
        <v>2.572965171299435E-2</v>
      </c>
      <c r="P116" s="144">
        <f t="shared" si="62"/>
        <v>2.9147741606310645E-2</v>
      </c>
      <c r="Q116" s="144">
        <f t="shared" si="62"/>
        <v>3.289329093476269E-2</v>
      </c>
      <c r="R116" s="144">
        <f t="shared" si="62"/>
        <v>3.6629193381313041E-2</v>
      </c>
      <c r="S116" s="144">
        <f t="shared" si="62"/>
        <v>4.0070741966676177E-2</v>
      </c>
      <c r="T116" s="144">
        <f t="shared" si="62"/>
        <v>4.3747185967551644E-2</v>
      </c>
      <c r="U116" s="144">
        <f t="shared" si="62"/>
        <v>4.7182611329932539E-2</v>
      </c>
      <c r="V116" s="144">
        <f t="shared" si="62"/>
        <v>4.960685656557777E-2</v>
      </c>
      <c r="W116" s="144">
        <f t="shared" si="62"/>
        <v>5.2219861946552829E-2</v>
      </c>
      <c r="X116" s="144">
        <f t="shared" si="62"/>
        <v>5.3664575281756485E-2</v>
      </c>
      <c r="Y116" s="144">
        <f t="shared" si="62"/>
        <v>5.141730932511708E-2</v>
      </c>
    </row>
    <row r="117" spans="1:28">
      <c r="B117" s="135" t="s">
        <v>97</v>
      </c>
      <c r="F117" s="144">
        <f t="shared" ref="F117:Y117" si="63">F108-F54</f>
        <v>1.1096406288643654E-3</v>
      </c>
      <c r="G117" s="144">
        <f t="shared" si="63"/>
        <v>2.5496854229610719E-3</v>
      </c>
      <c r="H117" s="144">
        <f t="shared" si="63"/>
        <v>4.5756200644497813E-3</v>
      </c>
      <c r="I117" s="144">
        <f t="shared" si="63"/>
        <v>6.6059582148398632E-3</v>
      </c>
      <c r="J117" s="144">
        <f t="shared" si="63"/>
        <v>8.7695871984183604E-3</v>
      </c>
      <c r="K117" s="144">
        <f t="shared" si="63"/>
        <v>1.128703846557489E-2</v>
      </c>
      <c r="L117" s="144">
        <f t="shared" si="63"/>
        <v>1.4061225624964757E-2</v>
      </c>
      <c r="M117" s="144">
        <f t="shared" si="63"/>
        <v>1.6723814525804487E-2</v>
      </c>
      <c r="N117" s="144">
        <f t="shared" si="63"/>
        <v>1.9575033424410346E-2</v>
      </c>
      <c r="O117" s="144">
        <f t="shared" si="63"/>
        <v>2.2517080233094705E-2</v>
      </c>
      <c r="P117" s="144">
        <f t="shared" si="63"/>
        <v>2.5602857922261225E-2</v>
      </c>
      <c r="Q117" s="144">
        <f t="shared" si="63"/>
        <v>2.9010654620200305E-2</v>
      </c>
      <c r="R117" s="144">
        <f t="shared" si="63"/>
        <v>3.2437506558310382E-2</v>
      </c>
      <c r="S117" s="144">
        <f t="shared" si="63"/>
        <v>3.5619268665354281E-2</v>
      </c>
      <c r="T117" s="144">
        <f t="shared" si="63"/>
        <v>3.9044903776305158E-2</v>
      </c>
      <c r="U117" s="144">
        <f t="shared" si="63"/>
        <v>4.2271223453428937E-2</v>
      </c>
      <c r="V117" s="144">
        <f t="shared" si="63"/>
        <v>4.4562853198353312E-2</v>
      </c>
      <c r="W117" s="144">
        <f t="shared" si="63"/>
        <v>4.7046821200453323E-2</v>
      </c>
      <c r="X117" s="144">
        <f t="shared" si="63"/>
        <v>4.8426658809015456E-2</v>
      </c>
      <c r="Y117" s="144">
        <f t="shared" si="63"/>
        <v>4.6283442082551397E-2</v>
      </c>
    </row>
    <row r="118" spans="1:28">
      <c r="B118" s="135"/>
      <c r="F118" s="144"/>
      <c r="G118" s="144"/>
      <c r="H118" s="144"/>
      <c r="I118" s="144"/>
      <c r="J118" s="144"/>
    </row>
    <row r="119" spans="1:28">
      <c r="B119" s="135"/>
      <c r="F119" s="144"/>
      <c r="G119" s="144"/>
      <c r="H119" s="144"/>
      <c r="I119" s="144"/>
      <c r="J119" s="144"/>
    </row>
    <row r="120" spans="1:28">
      <c r="A120" s="20"/>
      <c r="B120" s="135" t="s">
        <v>206</v>
      </c>
      <c r="E120" s="123">
        <f t="shared" ref="E120:AB120" si="64">E38/E5</f>
        <v>39.889248573245915</v>
      </c>
      <c r="F120" s="123">
        <f t="shared" si="64"/>
        <v>39.530852369510335</v>
      </c>
      <c r="G120" s="123">
        <f t="shared" si="64"/>
        <v>39.26898281764511</v>
      </c>
      <c r="H120" s="123">
        <f t="shared" si="64"/>
        <v>39.144564153787968</v>
      </c>
      <c r="I120" s="123">
        <f t="shared" si="64"/>
        <v>38.957983283326186</v>
      </c>
      <c r="J120" s="123">
        <f t="shared" si="64"/>
        <v>38.84703945019654</v>
      </c>
      <c r="K120" s="123">
        <f t="shared" si="64"/>
        <v>38.651482205319446</v>
      </c>
      <c r="L120" s="123">
        <f t="shared" si="64"/>
        <v>38.457154645861735</v>
      </c>
      <c r="M120" s="123">
        <f t="shared" si="64"/>
        <v>38.264037620742002</v>
      </c>
      <c r="N120" s="123">
        <f t="shared" si="64"/>
        <v>38.072112405267418</v>
      </c>
      <c r="O120" s="123">
        <f t="shared" si="64"/>
        <v>37.881360688482054</v>
      </c>
      <c r="P120" s="123">
        <f t="shared" si="64"/>
        <v>37.691450458542249</v>
      </c>
      <c r="Q120" s="123">
        <f t="shared" si="64"/>
        <v>37.502370697335024</v>
      </c>
      <c r="R120" s="123">
        <f t="shared" si="64"/>
        <v>37.314110578243088</v>
      </c>
      <c r="S120" s="123">
        <f t="shared" si="64"/>
        <v>37.126659461596041</v>
      </c>
      <c r="T120" s="123">
        <f t="shared" si="64"/>
        <v>36.940006890255006</v>
      </c>
      <c r="U120" s="123">
        <f t="shared" si="64"/>
        <v>36.754142585325532</v>
      </c>
      <c r="V120" s="123">
        <f t="shared" si="64"/>
        <v>36.56905644199464</v>
      </c>
      <c r="W120" s="123">
        <f t="shared" si="64"/>
        <v>36.384738525487499</v>
      </c>
      <c r="X120" s="123">
        <f t="shared" si="64"/>
        <v>36.201179067139755</v>
      </c>
      <c r="Y120" s="123">
        <f t="shared" si="64"/>
        <v>36.018368460581549</v>
      </c>
      <c r="Z120" s="123" t="e">
        <f t="shared" si="64"/>
        <v>#DIV/0!</v>
      </c>
      <c r="AA120" s="123" t="e">
        <f t="shared" si="64"/>
        <v>#DIV/0!</v>
      </c>
      <c r="AB120" s="123" t="e">
        <f t="shared" si="64"/>
        <v>#DIV/0!</v>
      </c>
    </row>
    <row r="121" spans="1:28">
      <c r="A121" s="20"/>
      <c r="B121" s="135" t="s">
        <v>207</v>
      </c>
      <c r="E121" s="19">
        <f>E120</f>
        <v>39.889248573245915</v>
      </c>
      <c r="F121" s="123">
        <f t="shared" ref="F121:AB121" si="65">F85/F5</f>
        <v>40.610059530565849</v>
      </c>
      <c r="G121" s="123">
        <f t="shared" si="65"/>
        <v>41.757120269609693</v>
      </c>
      <c r="H121" s="123">
        <f t="shared" si="65"/>
        <v>43.645363546741592</v>
      </c>
      <c r="I121" s="123">
        <f t="shared" si="65"/>
        <v>45.480004810864365</v>
      </c>
      <c r="J121" s="123">
        <f t="shared" si="65"/>
        <v>47.565825317936181</v>
      </c>
      <c r="K121" s="123">
        <f t="shared" si="65"/>
        <v>49.817319321189636</v>
      </c>
      <c r="L121" s="123">
        <f t="shared" si="65"/>
        <v>52.298263470717984</v>
      </c>
      <c r="M121" s="123">
        <f t="shared" si="65"/>
        <v>54.644319216768849</v>
      </c>
      <c r="N121" s="123">
        <f t="shared" si="65"/>
        <v>57.149927347324848</v>
      </c>
      <c r="O121" s="123">
        <f t="shared" si="65"/>
        <v>59.717706832492347</v>
      </c>
      <c r="P121" s="123">
        <f t="shared" si="65"/>
        <v>62.395843082076937</v>
      </c>
      <c r="Q121" s="123">
        <f t="shared" si="65"/>
        <v>65.354544227951848</v>
      </c>
      <c r="R121" s="123">
        <f t="shared" si="65"/>
        <v>68.299913536166315</v>
      </c>
      <c r="S121" s="123">
        <f t="shared" si="65"/>
        <v>70.98080273670864</v>
      </c>
      <c r="T121" s="123">
        <f t="shared" si="65"/>
        <v>73.863301393221732</v>
      </c>
      <c r="U121" s="123">
        <f t="shared" si="65"/>
        <v>76.527091610682874</v>
      </c>
      <c r="V121" s="123">
        <f t="shared" si="65"/>
        <v>78.286760110029348</v>
      </c>
      <c r="W121" s="123">
        <f t="shared" si="65"/>
        <v>80.205464880756821</v>
      </c>
      <c r="X121" s="123">
        <f t="shared" si="65"/>
        <v>81.079131839313334</v>
      </c>
      <c r="Y121" s="123">
        <f t="shared" si="65"/>
        <v>78.693090235486594</v>
      </c>
      <c r="Z121" s="123" t="e">
        <f t="shared" si="65"/>
        <v>#REF!</v>
      </c>
      <c r="AA121" s="123" t="e">
        <f t="shared" si="65"/>
        <v>#REF!</v>
      </c>
      <c r="AB121" s="123" t="e">
        <f t="shared" si="65"/>
        <v>#REF!</v>
      </c>
    </row>
    <row r="122" spans="1:28">
      <c r="A122" s="20"/>
      <c r="B122" s="135" t="s">
        <v>208</v>
      </c>
      <c r="C122" t="s">
        <v>209</v>
      </c>
      <c r="F122" s="123">
        <f>F121-$E$120</f>
        <v>0.72081095731993372</v>
      </c>
      <c r="G122" s="123">
        <f t="shared" ref="G122:Y122" si="66">G121-$E$120</f>
        <v>1.8678716963637783</v>
      </c>
      <c r="H122" s="123">
        <f t="shared" si="66"/>
        <v>3.7561149734956771</v>
      </c>
      <c r="I122" s="123">
        <f t="shared" si="66"/>
        <v>5.5907562376184501</v>
      </c>
      <c r="J122" s="123">
        <f t="shared" si="66"/>
        <v>7.6765767446902657</v>
      </c>
      <c r="K122" s="123">
        <f t="shared" si="66"/>
        <v>9.9280707479437211</v>
      </c>
      <c r="L122" s="123">
        <f t="shared" si="66"/>
        <v>12.409014897472069</v>
      </c>
      <c r="M122" s="123">
        <f t="shared" si="66"/>
        <v>14.755070643522934</v>
      </c>
      <c r="N122" s="123">
        <f t="shared" si="66"/>
        <v>17.260678774078933</v>
      </c>
      <c r="O122" s="123">
        <f t="shared" si="66"/>
        <v>19.828458259246432</v>
      </c>
      <c r="P122" s="123">
        <f t="shared" si="66"/>
        <v>22.506594508831022</v>
      </c>
      <c r="Q122" s="123">
        <f t="shared" si="66"/>
        <v>25.465295654705933</v>
      </c>
      <c r="R122" s="123">
        <f t="shared" si="66"/>
        <v>28.4106649629204</v>
      </c>
      <c r="S122" s="123">
        <f t="shared" si="66"/>
        <v>31.091554163462725</v>
      </c>
      <c r="T122" s="123">
        <f t="shared" si="66"/>
        <v>33.974052819975817</v>
      </c>
      <c r="U122" s="123">
        <f t="shared" si="66"/>
        <v>36.637843037436959</v>
      </c>
      <c r="V122" s="123">
        <f t="shared" si="66"/>
        <v>38.397511536783433</v>
      </c>
      <c r="W122" s="123">
        <f t="shared" si="66"/>
        <v>40.316216307510906</v>
      </c>
      <c r="X122" s="123">
        <f t="shared" si="66"/>
        <v>41.189883266067419</v>
      </c>
      <c r="Y122" s="123">
        <f t="shared" si="66"/>
        <v>38.803841662240679</v>
      </c>
      <c r="Z122" s="123" t="e">
        <f t="shared" ref="Z122:AB122" si="67">Z121-Z120</f>
        <v>#REF!</v>
      </c>
      <c r="AA122" s="123" t="e">
        <f t="shared" si="67"/>
        <v>#REF!</v>
      </c>
      <c r="AB122" s="123" t="e">
        <f t="shared" si="67"/>
        <v>#REF!</v>
      </c>
    </row>
    <row r="123" spans="1:28">
      <c r="A123" s="20"/>
      <c r="B123" s="135" t="s">
        <v>210</v>
      </c>
      <c r="F123" s="123">
        <f>F122/12</f>
        <v>6.0067579776661141E-2</v>
      </c>
      <c r="G123" s="123">
        <f t="shared" ref="G123:AB123" si="68">G122/12</f>
        <v>0.15565597469698153</v>
      </c>
      <c r="H123" s="123">
        <f t="shared" si="68"/>
        <v>0.31300958112463978</v>
      </c>
      <c r="I123" s="123">
        <f t="shared" si="68"/>
        <v>0.46589635313487082</v>
      </c>
      <c r="J123" s="123">
        <f t="shared" si="68"/>
        <v>0.63971472872418877</v>
      </c>
      <c r="K123" s="123">
        <f t="shared" si="68"/>
        <v>0.82733922899531009</v>
      </c>
      <c r="L123" s="123">
        <f t="shared" si="68"/>
        <v>1.034084574789339</v>
      </c>
      <c r="M123" s="123">
        <f t="shared" si="68"/>
        <v>1.2295892202935779</v>
      </c>
      <c r="N123" s="123">
        <f t="shared" si="68"/>
        <v>1.438389897839911</v>
      </c>
      <c r="O123" s="123">
        <f t="shared" si="68"/>
        <v>1.6523715216038692</v>
      </c>
      <c r="P123" s="123">
        <f t="shared" si="68"/>
        <v>1.8755495424025852</v>
      </c>
      <c r="Q123" s="123">
        <f t="shared" si="68"/>
        <v>2.1221079712254944</v>
      </c>
      <c r="R123" s="123">
        <f t="shared" si="68"/>
        <v>2.3675554135766999</v>
      </c>
      <c r="S123" s="123">
        <f t="shared" si="68"/>
        <v>2.5909628469552271</v>
      </c>
      <c r="T123" s="123">
        <f t="shared" si="68"/>
        <v>2.8311710683313183</v>
      </c>
      <c r="U123" s="123">
        <f t="shared" si="68"/>
        <v>3.0531535864530799</v>
      </c>
      <c r="V123" s="123">
        <f t="shared" si="68"/>
        <v>3.199792628065286</v>
      </c>
      <c r="W123" s="123">
        <f t="shared" si="68"/>
        <v>3.3596846922925754</v>
      </c>
      <c r="X123" s="123">
        <f t="shared" si="68"/>
        <v>3.4324902721722848</v>
      </c>
      <c r="Y123" s="123">
        <f t="shared" si="68"/>
        <v>3.23365347185339</v>
      </c>
      <c r="Z123" s="123" t="e">
        <f t="shared" si="68"/>
        <v>#REF!</v>
      </c>
      <c r="AA123" s="123" t="e">
        <f t="shared" si="68"/>
        <v>#REF!</v>
      </c>
      <c r="AB123" s="123" t="e">
        <f t="shared" si="68"/>
        <v>#REF!</v>
      </c>
    </row>
    <row r="124" spans="1:28">
      <c r="A124" s="20"/>
      <c r="C124" s="153" t="s">
        <v>211</v>
      </c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</row>
    <row r="125" spans="1:28">
      <c r="A125" s="20"/>
      <c r="B125" s="135" t="s">
        <v>212</v>
      </c>
      <c r="E125" s="204">
        <f t="shared" ref="E125:Y125" si="69">E39/E6</f>
        <v>69.000755120506696</v>
      </c>
      <c r="F125" s="204">
        <f t="shared" si="69"/>
        <v>68.373825603864745</v>
      </c>
      <c r="G125" s="204">
        <f t="shared" si="69"/>
        <v>67.875854021513874</v>
      </c>
      <c r="H125" s="204">
        <f t="shared" si="69"/>
        <v>67.534916579406627</v>
      </c>
      <c r="I125" s="204">
        <f t="shared" si="69"/>
        <v>67.359766219388817</v>
      </c>
      <c r="J125" s="204">
        <f t="shared" si="69"/>
        <v>66.851400966496797</v>
      </c>
      <c r="K125" s="204">
        <f t="shared" si="69"/>
        <v>66.452057628041402</v>
      </c>
      <c r="L125" s="204">
        <f t="shared" si="69"/>
        <v>66.056188454144021</v>
      </c>
      <c r="M125" s="204">
        <f t="shared" si="69"/>
        <v>65.663733517818898</v>
      </c>
      <c r="N125" s="204">
        <f t="shared" si="69"/>
        <v>65.274634429371559</v>
      </c>
      <c r="O125" s="204">
        <f t="shared" si="69"/>
        <v>64.88883428426368</v>
      </c>
      <c r="P125" s="204">
        <f t="shared" si="69"/>
        <v>64.505368322081097</v>
      </c>
      <c r="Q125" s="204">
        <f t="shared" si="69"/>
        <v>64.124208467956208</v>
      </c>
      <c r="R125" s="204">
        <f t="shared" si="69"/>
        <v>63.745327150508018</v>
      </c>
      <c r="S125" s="204">
        <f t="shared" si="69"/>
        <v>63.368697289874333</v>
      </c>
      <c r="T125" s="204">
        <f t="shared" si="69"/>
        <v>62.994292286097711</v>
      </c>
      <c r="U125" s="204">
        <f t="shared" si="69"/>
        <v>62.622086007852303</v>
      </c>
      <c r="V125" s="204">
        <f t="shared" si="69"/>
        <v>62.252052781499863</v>
      </c>
      <c r="W125" s="204">
        <f t="shared" si="69"/>
        <v>61.884167380463175</v>
      </c>
      <c r="X125" s="204">
        <f t="shared" si="69"/>
        <v>61.518405014906428</v>
      </c>
      <c r="Y125" s="204">
        <f t="shared" si="69"/>
        <v>61.154741321711342</v>
      </c>
    </row>
    <row r="126" spans="1:28">
      <c r="A126" s="20"/>
      <c r="B126" s="135" t="s">
        <v>213</v>
      </c>
      <c r="E126" s="204">
        <f t="shared" ref="E126:Y126" si="70">E40/E7</f>
        <v>70.85349584487534</v>
      </c>
      <c r="F126" s="204">
        <f t="shared" si="70"/>
        <v>70.617622518220642</v>
      </c>
      <c r="G126" s="204">
        <f t="shared" si="70"/>
        <v>70.499940807624768</v>
      </c>
      <c r="H126" s="204">
        <f t="shared" si="70"/>
        <v>70.309775219023777</v>
      </c>
      <c r="I126" s="204">
        <f t="shared" si="70"/>
        <v>70.33844616537597</v>
      </c>
      <c r="J126" s="204">
        <f t="shared" si="70"/>
        <v>70.138960049159181</v>
      </c>
      <c r="K126" s="204">
        <f t="shared" si="70"/>
        <v>70.001743500800544</v>
      </c>
      <c r="L126" s="204">
        <f t="shared" si="70"/>
        <v>69.864663656350615</v>
      </c>
      <c r="M126" s="204">
        <f t="shared" si="70"/>
        <v>69.727720243694108</v>
      </c>
      <c r="N126" s="204">
        <f t="shared" si="70"/>
        <v>69.590912991527446</v>
      </c>
      <c r="O126" s="204">
        <f t="shared" si="70"/>
        <v>69.454241629355494</v>
      </c>
      <c r="P126" s="204">
        <f t="shared" si="70"/>
        <v>69.317705887488344</v>
      </c>
      <c r="Q126" s="204">
        <f t="shared" si="70"/>
        <v>69.181305497038167</v>
      </c>
      <c r="R126" s="204">
        <f t="shared" si="70"/>
        <v>69.04504018991598</v>
      </c>
      <c r="S126" s="204">
        <f t="shared" si="70"/>
        <v>68.908909698828566</v>
      </c>
      <c r="T126" s="204">
        <f t="shared" si="70"/>
        <v>68.772913757275205</v>
      </c>
      <c r="U126" s="204">
        <f t="shared" si="70"/>
        <v>68.637052099544647</v>
      </c>
      <c r="V126" s="204">
        <f t="shared" si="70"/>
        <v>68.501324460711984</v>
      </c>
      <c r="W126" s="204">
        <f t="shared" si="70"/>
        <v>68.365730576635485</v>
      </c>
      <c r="X126" s="204">
        <f t="shared" si="70"/>
        <v>68.230270183953607</v>
      </c>
      <c r="Y126" s="204">
        <f t="shared" si="70"/>
        <v>68.094943020081843</v>
      </c>
    </row>
    <row r="127" spans="1:28">
      <c r="A127" s="20"/>
      <c r="B127" s="135" t="s">
        <v>214</v>
      </c>
      <c r="E127" s="204">
        <f t="shared" ref="E127:Y127" si="71">E41/E8</f>
        <v>506.13893129770992</v>
      </c>
      <c r="F127" s="204">
        <f t="shared" si="71"/>
        <v>500.11800804289544</v>
      </c>
      <c r="G127" s="204">
        <f t="shared" si="71"/>
        <v>495.83584370860927</v>
      </c>
      <c r="H127" s="204">
        <f t="shared" si="71"/>
        <v>491.87628141361256</v>
      </c>
      <c r="I127" s="204">
        <f t="shared" si="71"/>
        <v>489.63008538162995</v>
      </c>
      <c r="J127" s="204">
        <f t="shared" si="71"/>
        <v>484.95410800365056</v>
      </c>
      <c r="K127" s="204">
        <f t="shared" si="71"/>
        <v>480.94192663705769</v>
      </c>
      <c r="L127" s="204">
        <f t="shared" si="71"/>
        <v>476.93748581329419</v>
      </c>
      <c r="M127" s="204">
        <f t="shared" si="71"/>
        <v>472.94075572282418</v>
      </c>
      <c r="N127" s="204">
        <f t="shared" si="71"/>
        <v>468.95170672797974</v>
      </c>
      <c r="O127" s="204">
        <f t="shared" si="71"/>
        <v>464.97030936164197</v>
      </c>
      <c r="P127" s="204">
        <f t="shared" si="71"/>
        <v>460.98891199530425</v>
      </c>
      <c r="Q127" s="204">
        <f t="shared" si="71"/>
        <v>457.00751462896653</v>
      </c>
      <c r="R127" s="204">
        <f t="shared" si="71"/>
        <v>453.02611726262882</v>
      </c>
      <c r="S127" s="204">
        <f t="shared" si="71"/>
        <v>449.0447198962911</v>
      </c>
      <c r="T127" s="204">
        <f t="shared" si="71"/>
        <v>445.06332252995338</v>
      </c>
      <c r="U127" s="204">
        <f t="shared" si="71"/>
        <v>441.08192516361567</v>
      </c>
      <c r="V127" s="204">
        <f t="shared" si="71"/>
        <v>437.10052779727795</v>
      </c>
      <c r="W127" s="204">
        <f t="shared" si="71"/>
        <v>433.11913043094029</v>
      </c>
      <c r="X127" s="204">
        <f t="shared" si="71"/>
        <v>429.13773306460251</v>
      </c>
      <c r="Y127" s="204">
        <f t="shared" si="71"/>
        <v>425.15633569826485</v>
      </c>
    </row>
    <row r="128" spans="1:28">
      <c r="A128" s="20"/>
      <c r="B128" s="135" t="s">
        <v>215</v>
      </c>
      <c r="E128" s="204">
        <f t="shared" ref="E128:Y128" si="72">E42/E9</f>
        <v>745.97980315805614</v>
      </c>
      <c r="F128" s="204">
        <f t="shared" si="72"/>
        <v>741.97500591357084</v>
      </c>
      <c r="G128" s="204">
        <f t="shared" si="72"/>
        <v>738.81330468750002</v>
      </c>
      <c r="H128" s="204">
        <f t="shared" si="72"/>
        <v>735.7893073257892</v>
      </c>
      <c r="I128" s="204">
        <f t="shared" si="72"/>
        <v>733.51022727272732</v>
      </c>
      <c r="J128" s="204">
        <f t="shared" si="72"/>
        <v>730.13659669211472</v>
      </c>
      <c r="K128" s="204">
        <f t="shared" si="72"/>
        <v>727.13410817360364</v>
      </c>
      <c r="L128" s="204">
        <f t="shared" si="72"/>
        <v>724.14214239522732</v>
      </c>
      <c r="M128" s="204">
        <f t="shared" si="72"/>
        <v>721.16062585705504</v>
      </c>
      <c r="N128" s="204">
        <f t="shared" si="72"/>
        <v>718.18948582655628</v>
      </c>
      <c r="O128" s="204">
        <f t="shared" si="72"/>
        <v>715.22865032795505</v>
      </c>
      <c r="P128" s="204">
        <f t="shared" si="72"/>
        <v>712.27294033800706</v>
      </c>
      <c r="Q128" s="204">
        <f t="shared" si="72"/>
        <v>709.32233814182052</v>
      </c>
      <c r="R128" s="204">
        <f t="shared" si="72"/>
        <v>706.37682611618504</v>
      </c>
      <c r="S128" s="204">
        <f t="shared" si="72"/>
        <v>703.43638672894065</v>
      </c>
      <c r="T128" s="204">
        <f t="shared" si="72"/>
        <v>700.50100253835046</v>
      </c>
      <c r="U128" s="204">
        <f t="shared" si="72"/>
        <v>697.5706561924809</v>
      </c>
      <c r="V128" s="204">
        <f t="shared" si="72"/>
        <v>694.64533042858602</v>
      </c>
      <c r="W128" s="204">
        <f t="shared" si="72"/>
        <v>691.72500807249708</v>
      </c>
      <c r="X128" s="204">
        <f t="shared" si="72"/>
        <v>688.80967203801788</v>
      </c>
      <c r="Y128" s="204">
        <f t="shared" si="72"/>
        <v>685.89930532632479</v>
      </c>
    </row>
    <row r="129" spans="1:25">
      <c r="A129" s="20"/>
      <c r="B129" s="135" t="s">
        <v>216</v>
      </c>
      <c r="E129" s="204">
        <f t="shared" ref="E129:Y129" si="73">E43/E10</f>
        <v>12707.10890909091</v>
      </c>
      <c r="F129" s="204">
        <f t="shared" si="73"/>
        <v>12714.402386363638</v>
      </c>
      <c r="G129" s="204">
        <f t="shared" si="73"/>
        <v>12714.671022727272</v>
      </c>
      <c r="H129" s="204">
        <f t="shared" si="73"/>
        <v>12714.671022727272</v>
      </c>
      <c r="I129" s="204">
        <f t="shared" si="73"/>
        <v>12722.86890909091</v>
      </c>
      <c r="J129" s="204">
        <f t="shared" si="73"/>
        <v>12728.2685</v>
      </c>
      <c r="K129" s="204">
        <f t="shared" si="73"/>
        <v>12728.2685</v>
      </c>
      <c r="L129" s="204">
        <f t="shared" si="73"/>
        <v>12728.2685</v>
      </c>
      <c r="M129" s="204">
        <f t="shared" si="73"/>
        <v>12728.2685</v>
      </c>
      <c r="N129" s="204">
        <f t="shared" si="73"/>
        <v>12728.2685</v>
      </c>
      <c r="O129" s="204">
        <f t="shared" si="73"/>
        <v>12728.2685</v>
      </c>
      <c r="P129" s="204">
        <f t="shared" si="73"/>
        <v>12728.2685</v>
      </c>
      <c r="Q129" s="204">
        <f t="shared" si="73"/>
        <v>12728.2685</v>
      </c>
      <c r="R129" s="204">
        <f t="shared" si="73"/>
        <v>12728.2685</v>
      </c>
      <c r="S129" s="204">
        <f t="shared" si="73"/>
        <v>12728.2685</v>
      </c>
      <c r="T129" s="204">
        <f t="shared" si="73"/>
        <v>12728.2685</v>
      </c>
      <c r="U129" s="204">
        <f t="shared" si="73"/>
        <v>12728.2685</v>
      </c>
      <c r="V129" s="204">
        <f t="shared" si="73"/>
        <v>12728.2685</v>
      </c>
      <c r="W129" s="204">
        <f t="shared" si="73"/>
        <v>12728.2685</v>
      </c>
      <c r="X129" s="204">
        <f t="shared" si="73"/>
        <v>12728.2685</v>
      </c>
      <c r="Y129" s="204">
        <f t="shared" si="73"/>
        <v>12728.2685</v>
      </c>
    </row>
    <row r="130" spans="1:25">
      <c r="A130" s="20"/>
      <c r="B130" s="135"/>
      <c r="C130" s="14" t="s">
        <v>217</v>
      </c>
      <c r="F130" s="144"/>
      <c r="G130" s="144"/>
      <c r="H130" s="144"/>
      <c r="I130" s="144"/>
      <c r="J130" s="144"/>
    </row>
    <row r="131" spans="1:25">
      <c r="A131" s="20"/>
      <c r="B131" s="135" t="s">
        <v>218</v>
      </c>
      <c r="D131" t="s">
        <v>218</v>
      </c>
      <c r="E131" s="205">
        <f>E125</f>
        <v>69.000755120506696</v>
      </c>
      <c r="F131" s="206">
        <f t="shared" ref="F131:Y131" si="74">F86/F6</f>
        <v>70.24045679943606</v>
      </c>
      <c r="G131" s="206">
        <f t="shared" si="74"/>
        <v>72.176562681558991</v>
      </c>
      <c r="H131" s="206">
        <f t="shared" si="74"/>
        <v>75.300007802535063</v>
      </c>
      <c r="I131" s="206">
        <f t="shared" si="74"/>
        <v>78.636578013720595</v>
      </c>
      <c r="J131" s="206">
        <f t="shared" si="74"/>
        <v>81.855454254329516</v>
      </c>
      <c r="K131" s="206">
        <f t="shared" si="74"/>
        <v>85.649066621062929</v>
      </c>
      <c r="L131" s="206">
        <f t="shared" si="74"/>
        <v>89.830461443615022</v>
      </c>
      <c r="M131" s="206">
        <f t="shared" si="74"/>
        <v>93.773429006025523</v>
      </c>
      <c r="N131" s="206">
        <f t="shared" si="74"/>
        <v>97.983547000288155</v>
      </c>
      <c r="O131" s="206">
        <f t="shared" si="74"/>
        <v>102.29337890885334</v>
      </c>
      <c r="P131" s="206">
        <f t="shared" si="74"/>
        <v>106.78461005906892</v>
      </c>
      <c r="Q131" s="206">
        <f t="shared" si="74"/>
        <v>111.74782661671179</v>
      </c>
      <c r="R131" s="206">
        <f t="shared" si="74"/>
        <v>116.67972960483544</v>
      </c>
      <c r="S131" s="206">
        <f t="shared" si="74"/>
        <v>121.15178330728843</v>
      </c>
      <c r="T131" s="206">
        <f t="shared" si="74"/>
        <v>125.96008471260512</v>
      </c>
      <c r="U131" s="206">
        <f t="shared" si="74"/>
        <v>130.38764546471407</v>
      </c>
      <c r="V131" s="206">
        <f t="shared" si="74"/>
        <v>133.26872489019414</v>
      </c>
      <c r="W131" s="206">
        <f t="shared" si="74"/>
        <v>136.41566807005421</v>
      </c>
      <c r="X131" s="206">
        <f t="shared" si="74"/>
        <v>137.78166897540117</v>
      </c>
      <c r="Y131" s="206">
        <f t="shared" si="74"/>
        <v>133.6111485011881</v>
      </c>
    </row>
    <row r="132" spans="1:25">
      <c r="A132" s="20"/>
      <c r="B132" s="135" t="s">
        <v>219</v>
      </c>
      <c r="D132" t="s">
        <v>219</v>
      </c>
      <c r="E132" s="205">
        <f t="shared" ref="E132:E134" si="75">E126</f>
        <v>70.85349584487534</v>
      </c>
      <c r="F132" s="206">
        <f t="shared" ref="F132:Y132" si="76">F87/F7</f>
        <v>72.545510214797616</v>
      </c>
      <c r="G132" s="206">
        <f t="shared" si="76"/>
        <v>74.966915261720317</v>
      </c>
      <c r="H132" s="206">
        <f t="shared" si="76"/>
        <v>78.39391666919407</v>
      </c>
      <c r="I132" s="206">
        <f t="shared" si="76"/>
        <v>82.113923781038622</v>
      </c>
      <c r="J132" s="206">
        <f t="shared" si="76"/>
        <v>85.880869402085949</v>
      </c>
      <c r="K132" s="206">
        <f t="shared" si="76"/>
        <v>90.224203835045927</v>
      </c>
      <c r="L132" s="206">
        <f t="shared" si="76"/>
        <v>95.009644390997465</v>
      </c>
      <c r="M132" s="206">
        <f t="shared" si="76"/>
        <v>99.577149725269649</v>
      </c>
      <c r="N132" s="206">
        <f t="shared" si="76"/>
        <v>104.46269907917033</v>
      </c>
      <c r="O132" s="206">
        <f t="shared" si="76"/>
        <v>109.49047142216415</v>
      </c>
      <c r="P132" s="206">
        <f t="shared" si="76"/>
        <v>114.75113445481776</v>
      </c>
      <c r="Q132" s="206">
        <f t="shared" si="76"/>
        <v>120.5607167169013</v>
      </c>
      <c r="R132" s="206">
        <f t="shared" si="76"/>
        <v>126.38034786288156</v>
      </c>
      <c r="S132" s="206">
        <f t="shared" si="76"/>
        <v>131.7438680739296</v>
      </c>
      <c r="T132" s="206">
        <f t="shared" si="76"/>
        <v>137.51471329269683</v>
      </c>
      <c r="U132" s="206">
        <f t="shared" si="76"/>
        <v>142.9116176962925</v>
      </c>
      <c r="V132" s="206">
        <f t="shared" si="76"/>
        <v>146.64711854902146</v>
      </c>
      <c r="W132" s="206">
        <f t="shared" si="76"/>
        <v>150.70343844770429</v>
      </c>
      <c r="X132" s="206">
        <f t="shared" si="76"/>
        <v>152.81411308225185</v>
      </c>
      <c r="Y132" s="206">
        <f t="shared" si="76"/>
        <v>148.77413177457123</v>
      </c>
    </row>
    <row r="133" spans="1:25">
      <c r="A133" s="20"/>
      <c r="B133" s="135" t="s">
        <v>220</v>
      </c>
      <c r="D133" t="s">
        <v>220</v>
      </c>
      <c r="E133" s="205">
        <f t="shared" si="75"/>
        <v>506.13893129770992</v>
      </c>
      <c r="F133" s="206">
        <f t="shared" ref="F133:Y133" si="77">F88/F8</f>
        <v>513.7714180581321</v>
      </c>
      <c r="G133" s="206">
        <f t="shared" si="77"/>
        <v>527.25269345200252</v>
      </c>
      <c r="H133" s="206">
        <f t="shared" si="77"/>
        <v>548.4316810368432</v>
      </c>
      <c r="I133" s="206">
        <f t="shared" si="77"/>
        <v>571.59988176880836</v>
      </c>
      <c r="J133" s="206">
        <f t="shared" si="77"/>
        <v>593.79666288573503</v>
      </c>
      <c r="K133" s="206">
        <f t="shared" si="77"/>
        <v>619.8788808913788</v>
      </c>
      <c r="L133" s="206">
        <f t="shared" si="77"/>
        <v>648.59198559583297</v>
      </c>
      <c r="M133" s="206">
        <f t="shared" si="77"/>
        <v>675.39985932714944</v>
      </c>
      <c r="N133" s="206">
        <f t="shared" si="77"/>
        <v>703.94192167808558</v>
      </c>
      <c r="O133" s="206">
        <f t="shared" si="77"/>
        <v>732.99797355786211</v>
      </c>
      <c r="P133" s="206">
        <f t="shared" si="77"/>
        <v>763.13836335575309</v>
      </c>
      <c r="Q133" s="206">
        <f t="shared" si="77"/>
        <v>796.41679371079249</v>
      </c>
      <c r="R133" s="206">
        <f t="shared" si="77"/>
        <v>829.22101476281682</v>
      </c>
      <c r="S133" s="206">
        <f t="shared" si="77"/>
        <v>858.50855275275569</v>
      </c>
      <c r="T133" s="206">
        <f t="shared" si="77"/>
        <v>889.92528963958898</v>
      </c>
      <c r="U133" s="206">
        <f t="shared" si="77"/>
        <v>918.39217352030664</v>
      </c>
      <c r="V133" s="206">
        <f t="shared" si="77"/>
        <v>935.74151189574013</v>
      </c>
      <c r="W133" s="206">
        <f t="shared" si="77"/>
        <v>954.75527962440606</v>
      </c>
      <c r="X133" s="206">
        <f t="shared" si="77"/>
        <v>961.13208831786346</v>
      </c>
      <c r="Y133" s="206">
        <f t="shared" si="77"/>
        <v>928.88343695821573</v>
      </c>
    </row>
    <row r="134" spans="1:25">
      <c r="A134" s="20"/>
      <c r="B134" s="135" t="s">
        <v>221</v>
      </c>
      <c r="D134" t="s">
        <v>221</v>
      </c>
      <c r="E134" s="205">
        <f t="shared" si="75"/>
        <v>745.97980315805614</v>
      </c>
      <c r="F134" s="206">
        <f t="shared" ref="F134:Y134" si="78">F89/F9</f>
        <v>762.23120307879412</v>
      </c>
      <c r="G134" s="206">
        <f t="shared" si="78"/>
        <v>785.62554481959432</v>
      </c>
      <c r="H134" s="206">
        <f t="shared" si="78"/>
        <v>820.38956126508913</v>
      </c>
      <c r="I134" s="206">
        <f t="shared" si="78"/>
        <v>856.30840853766108</v>
      </c>
      <c r="J134" s="206">
        <f t="shared" si="78"/>
        <v>894.00763373523546</v>
      </c>
      <c r="K134" s="206">
        <f t="shared" si="78"/>
        <v>937.19231422456335</v>
      </c>
      <c r="L134" s="206">
        <f t="shared" si="78"/>
        <v>984.76803346424924</v>
      </c>
      <c r="M134" s="206">
        <f t="shared" si="78"/>
        <v>1029.8790691271945</v>
      </c>
      <c r="N134" s="206">
        <f t="shared" si="78"/>
        <v>1078.0719624824815</v>
      </c>
      <c r="O134" s="206">
        <f t="shared" si="78"/>
        <v>1127.5153289694438</v>
      </c>
      <c r="P134" s="206">
        <f t="shared" si="78"/>
        <v>1179.1233841166086</v>
      </c>
      <c r="Q134" s="206">
        <f t="shared" si="78"/>
        <v>1236.1202040824062</v>
      </c>
      <c r="R134" s="206">
        <f t="shared" si="78"/>
        <v>1292.9552761688426</v>
      </c>
      <c r="S134" s="206">
        <f t="shared" si="78"/>
        <v>1344.8686234719908</v>
      </c>
      <c r="T134" s="206">
        <f t="shared" si="78"/>
        <v>1400.6850846146924</v>
      </c>
      <c r="U134" s="206">
        <f t="shared" si="78"/>
        <v>1452.4363719664045</v>
      </c>
      <c r="V134" s="206">
        <f t="shared" si="78"/>
        <v>1487.0914821407564</v>
      </c>
      <c r="W134" s="206">
        <f t="shared" si="78"/>
        <v>1524.8185940167216</v>
      </c>
      <c r="X134" s="206">
        <f t="shared" si="78"/>
        <v>1542.7146753366001</v>
      </c>
      <c r="Y134" s="206">
        <f t="shared" si="78"/>
        <v>1498.5558267463668</v>
      </c>
    </row>
    <row r="135" spans="1:25">
      <c r="A135" s="20"/>
      <c r="B135" s="135" t="s">
        <v>222</v>
      </c>
      <c r="D135" t="s">
        <v>223</v>
      </c>
      <c r="E135" s="205">
        <f>E129</f>
        <v>12707.10890909091</v>
      </c>
      <c r="F135" s="206">
        <f t="shared" ref="F135:Y135" si="79">F90/F10</f>
        <v>13061.510361057555</v>
      </c>
      <c r="G135" s="206">
        <f t="shared" si="79"/>
        <v>13520.290289922586</v>
      </c>
      <c r="H135" s="206">
        <f t="shared" si="79"/>
        <v>14176.590062006146</v>
      </c>
      <c r="I135" s="206">
        <f t="shared" si="79"/>
        <v>14852.825799150247</v>
      </c>
      <c r="J135" s="206">
        <f t="shared" si="79"/>
        <v>15584.986774783079</v>
      </c>
      <c r="K135" s="206">
        <f t="shared" si="79"/>
        <v>16405.275557144676</v>
      </c>
      <c r="L135" s="206">
        <f t="shared" si="79"/>
        <v>17309.297728054116</v>
      </c>
      <c r="M135" s="206">
        <f t="shared" si="79"/>
        <v>18177.056323343018</v>
      </c>
      <c r="N135" s="206">
        <f t="shared" si="79"/>
        <v>19106.363531633255</v>
      </c>
      <c r="O135" s="206">
        <f t="shared" si="79"/>
        <v>20065.356496007778</v>
      </c>
      <c r="P135" s="206">
        <f t="shared" si="79"/>
        <v>21070.85385069203</v>
      </c>
      <c r="Q135" s="206">
        <f t="shared" si="79"/>
        <v>22181.269374728054</v>
      </c>
      <c r="R135" s="206">
        <f t="shared" si="79"/>
        <v>23297.879127849272</v>
      </c>
      <c r="S135" s="206">
        <f t="shared" si="79"/>
        <v>24334.608302503158</v>
      </c>
      <c r="T135" s="206">
        <f t="shared" si="79"/>
        <v>25450.778480427627</v>
      </c>
      <c r="U135" s="206">
        <f t="shared" si="79"/>
        <v>26501.975043590635</v>
      </c>
      <c r="V135" s="206">
        <f t="shared" si="79"/>
        <v>27248.581167416964</v>
      </c>
      <c r="W135" s="206">
        <f t="shared" si="79"/>
        <v>28057.826812592582</v>
      </c>
      <c r="X135" s="206">
        <f t="shared" si="79"/>
        <v>28507.274801290521</v>
      </c>
      <c r="Y135" s="206">
        <f t="shared" si="79"/>
        <v>27808.777144033626</v>
      </c>
    </row>
    <row r="136" spans="1:25">
      <c r="A136" s="20"/>
      <c r="B136" s="135"/>
      <c r="E136" s="205">
        <f>E135</f>
        <v>12707.10890909091</v>
      </c>
      <c r="F136" s="206">
        <f>E136*1.02</f>
        <v>12961.251087272729</v>
      </c>
      <c r="G136" s="206">
        <f t="shared" ref="G136:Y136" si="80">F136*1.02</f>
        <v>13220.476109018184</v>
      </c>
      <c r="H136" s="206">
        <f t="shared" si="80"/>
        <v>13484.885631198547</v>
      </c>
      <c r="I136" s="206">
        <f t="shared" si="80"/>
        <v>13754.583343822518</v>
      </c>
      <c r="J136" s="206">
        <f t="shared" si="80"/>
        <v>14029.675010698969</v>
      </c>
      <c r="K136" s="206">
        <f t="shared" si="80"/>
        <v>14310.268510912949</v>
      </c>
      <c r="L136" s="206">
        <f t="shared" si="80"/>
        <v>14596.473881131207</v>
      </c>
      <c r="M136" s="206">
        <f t="shared" si="80"/>
        <v>14888.403358753832</v>
      </c>
      <c r="N136" s="206">
        <f t="shared" si="80"/>
        <v>15186.171425928909</v>
      </c>
      <c r="O136" s="206">
        <f t="shared" si="80"/>
        <v>15489.894854447488</v>
      </c>
      <c r="P136" s="206">
        <f t="shared" si="80"/>
        <v>15799.692751536439</v>
      </c>
      <c r="Q136" s="206">
        <f t="shared" si="80"/>
        <v>16115.686606567167</v>
      </c>
      <c r="R136" s="206">
        <f t="shared" si="80"/>
        <v>16438.000338698512</v>
      </c>
      <c r="S136" s="206">
        <f t="shared" si="80"/>
        <v>16766.760345472481</v>
      </c>
      <c r="T136" s="206">
        <f t="shared" si="80"/>
        <v>17102.095552381932</v>
      </c>
      <c r="U136" s="206">
        <f t="shared" si="80"/>
        <v>17444.137463429572</v>
      </c>
      <c r="V136" s="206">
        <f t="shared" si="80"/>
        <v>17793.020212698164</v>
      </c>
      <c r="W136" s="206">
        <f t="shared" si="80"/>
        <v>18148.880616952127</v>
      </c>
      <c r="X136" s="206">
        <f t="shared" si="80"/>
        <v>18511.858229291171</v>
      </c>
      <c r="Y136" s="206">
        <f t="shared" si="80"/>
        <v>18882.095393876993</v>
      </c>
    </row>
    <row r="137" spans="1:25">
      <c r="A137" s="20"/>
      <c r="B137" s="135" t="s">
        <v>224</v>
      </c>
      <c r="C137" s="14" t="s">
        <v>225</v>
      </c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  <c r="P137" s="206"/>
      <c r="Q137" s="206"/>
      <c r="R137" s="206"/>
      <c r="S137" s="206"/>
      <c r="T137" s="206"/>
      <c r="U137" s="206"/>
      <c r="V137" s="206"/>
      <c r="W137" s="206"/>
      <c r="X137" s="206"/>
      <c r="Y137" s="206"/>
    </row>
    <row r="138" spans="1:25">
      <c r="A138" s="20"/>
      <c r="B138" s="135" t="s">
        <v>218</v>
      </c>
      <c r="F138" s="206">
        <f>F131-$E125</f>
        <v>1.2397016789293644</v>
      </c>
      <c r="G138" s="206">
        <f>G131-$E125</f>
        <v>3.1758075610522951</v>
      </c>
      <c r="H138" s="206">
        <f t="shared" ref="H138:Y142" si="81">H131-$E125</f>
        <v>6.2992526820283672</v>
      </c>
      <c r="I138" s="206">
        <f t="shared" si="81"/>
        <v>9.6358228932138985</v>
      </c>
      <c r="J138" s="206">
        <f t="shared" si="81"/>
        <v>12.85469913382282</v>
      </c>
      <c r="K138" s="206">
        <f t="shared" si="81"/>
        <v>16.648311500556233</v>
      </c>
      <c r="L138" s="206">
        <f t="shared" si="81"/>
        <v>20.829706323108326</v>
      </c>
      <c r="M138" s="206">
        <f t="shared" si="81"/>
        <v>24.772673885518827</v>
      </c>
      <c r="N138" s="206">
        <f t="shared" si="81"/>
        <v>28.982791879781459</v>
      </c>
      <c r="O138" s="206">
        <f t="shared" si="81"/>
        <v>33.292623788346646</v>
      </c>
      <c r="P138" s="206">
        <f t="shared" si="81"/>
        <v>37.783854938562229</v>
      </c>
      <c r="Q138" s="206">
        <f t="shared" si="81"/>
        <v>42.747071496205095</v>
      </c>
      <c r="R138" s="206">
        <f t="shared" si="81"/>
        <v>47.678974484328748</v>
      </c>
      <c r="S138" s="206">
        <f t="shared" si="81"/>
        <v>52.15102818678173</v>
      </c>
      <c r="T138" s="206">
        <f t="shared" si="81"/>
        <v>56.959329592098427</v>
      </c>
      <c r="U138" s="206">
        <f t="shared" si="81"/>
        <v>61.386890344207373</v>
      </c>
      <c r="V138" s="206">
        <f t="shared" si="81"/>
        <v>64.26796976968744</v>
      </c>
      <c r="W138" s="206">
        <f t="shared" si="81"/>
        <v>67.414912949547514</v>
      </c>
      <c r="X138" s="206">
        <f t="shared" si="81"/>
        <v>68.780913854894479</v>
      </c>
      <c r="Y138" s="206">
        <f t="shared" si="81"/>
        <v>64.610393380681401</v>
      </c>
    </row>
    <row r="139" spans="1:25">
      <c r="A139" s="20"/>
      <c r="B139" s="135" t="s">
        <v>219</v>
      </c>
      <c r="F139" s="206">
        <f t="shared" ref="F139:G142" si="82">F132-$E126</f>
        <v>1.6920143699222763</v>
      </c>
      <c r="G139" s="206">
        <f t="shared" si="82"/>
        <v>4.1134194168449767</v>
      </c>
      <c r="H139" s="206">
        <f t="shared" si="81"/>
        <v>7.5404208243187298</v>
      </c>
      <c r="I139" s="206">
        <f t="shared" si="81"/>
        <v>11.260427936163282</v>
      </c>
      <c r="J139" s="206">
        <f t="shared" si="81"/>
        <v>15.027373557210609</v>
      </c>
      <c r="K139" s="206">
        <f t="shared" si="81"/>
        <v>19.370707990170587</v>
      </c>
      <c r="L139" s="206">
        <f t="shared" si="81"/>
        <v>24.156148546122125</v>
      </c>
      <c r="M139" s="206">
        <f t="shared" si="81"/>
        <v>28.723653880394309</v>
      </c>
      <c r="N139" s="206">
        <f t="shared" si="81"/>
        <v>33.609203234294995</v>
      </c>
      <c r="O139" s="206">
        <f t="shared" si="81"/>
        <v>38.636975577288808</v>
      </c>
      <c r="P139" s="206">
        <f t="shared" si="81"/>
        <v>43.897638609942419</v>
      </c>
      <c r="Q139" s="206">
        <f t="shared" si="81"/>
        <v>49.707220872025957</v>
      </c>
      <c r="R139" s="206">
        <f t="shared" si="81"/>
        <v>55.526852018006224</v>
      </c>
      <c r="S139" s="206">
        <f t="shared" si="81"/>
        <v>60.890372229054265</v>
      </c>
      <c r="T139" s="206">
        <f t="shared" si="81"/>
        <v>66.661217447821485</v>
      </c>
      <c r="U139" s="206">
        <f t="shared" si="81"/>
        <v>72.058121851417155</v>
      </c>
      <c r="V139" s="206">
        <f t="shared" si="81"/>
        <v>75.793622704146117</v>
      </c>
      <c r="W139" s="206">
        <f t="shared" si="81"/>
        <v>79.849942602828946</v>
      </c>
      <c r="X139" s="206">
        <f t="shared" si="81"/>
        <v>81.960617237376511</v>
      </c>
      <c r="Y139" s="206">
        <f t="shared" si="81"/>
        <v>77.920635929695891</v>
      </c>
    </row>
    <row r="140" spans="1:25">
      <c r="A140" s="20"/>
      <c r="B140" s="135" t="s">
        <v>220</v>
      </c>
      <c r="F140" s="206">
        <f t="shared" si="82"/>
        <v>7.6324867604221822</v>
      </c>
      <c r="G140" s="206">
        <f t="shared" si="82"/>
        <v>21.113762154292601</v>
      </c>
      <c r="H140" s="206">
        <f t="shared" si="81"/>
        <v>42.292749739133285</v>
      </c>
      <c r="I140" s="206">
        <f t="shared" si="81"/>
        <v>65.460950471098442</v>
      </c>
      <c r="J140" s="206">
        <f t="shared" si="81"/>
        <v>87.657731588025115</v>
      </c>
      <c r="K140" s="206">
        <f t="shared" si="81"/>
        <v>113.73994959366888</v>
      </c>
      <c r="L140" s="206">
        <f t="shared" si="81"/>
        <v>142.45305429812305</v>
      </c>
      <c r="M140" s="206">
        <f t="shared" si="81"/>
        <v>169.26092802943953</v>
      </c>
      <c r="N140" s="206">
        <f t="shared" si="81"/>
        <v>197.80299038037566</v>
      </c>
      <c r="O140" s="206">
        <f t="shared" si="81"/>
        <v>226.85904226015219</v>
      </c>
      <c r="P140" s="206">
        <f t="shared" si="81"/>
        <v>256.99943205804317</v>
      </c>
      <c r="Q140" s="206">
        <f t="shared" si="81"/>
        <v>290.27786241308257</v>
      </c>
      <c r="R140" s="206">
        <f t="shared" si="81"/>
        <v>323.0820834651069</v>
      </c>
      <c r="S140" s="206">
        <f t="shared" si="81"/>
        <v>352.36962145504577</v>
      </c>
      <c r="T140" s="206">
        <f t="shared" si="81"/>
        <v>383.78635834187907</v>
      </c>
      <c r="U140" s="206">
        <f t="shared" si="81"/>
        <v>412.25324222259673</v>
      </c>
      <c r="V140" s="206">
        <f t="shared" si="81"/>
        <v>429.60258059803022</v>
      </c>
      <c r="W140" s="206">
        <f t="shared" si="81"/>
        <v>448.61634832669614</v>
      </c>
      <c r="X140" s="206">
        <f t="shared" si="81"/>
        <v>454.99315702015355</v>
      </c>
      <c r="Y140" s="206">
        <f t="shared" si="81"/>
        <v>422.74450566050581</v>
      </c>
    </row>
    <row r="141" spans="1:25">
      <c r="A141" s="20"/>
      <c r="B141" s="135" t="s">
        <v>221</v>
      </c>
      <c r="F141" s="206">
        <f t="shared" si="82"/>
        <v>16.251399920737981</v>
      </c>
      <c r="G141" s="206">
        <f t="shared" si="82"/>
        <v>39.645741661538182</v>
      </c>
      <c r="H141" s="206">
        <f t="shared" si="81"/>
        <v>74.409758107032985</v>
      </c>
      <c r="I141" s="206">
        <f t="shared" si="81"/>
        <v>110.32860537960494</v>
      </c>
      <c r="J141" s="206">
        <f t="shared" si="81"/>
        <v>148.02783057717932</v>
      </c>
      <c r="K141" s="206">
        <f t="shared" si="81"/>
        <v>191.2125110665072</v>
      </c>
      <c r="L141" s="206">
        <f t="shared" si="81"/>
        <v>238.7882303061931</v>
      </c>
      <c r="M141" s="206">
        <f t="shared" si="81"/>
        <v>283.89926596913836</v>
      </c>
      <c r="N141" s="206">
        <f t="shared" si="81"/>
        <v>332.09215932442532</v>
      </c>
      <c r="O141" s="206">
        <f t="shared" si="81"/>
        <v>381.53552581138763</v>
      </c>
      <c r="P141" s="206">
        <f t="shared" si="81"/>
        <v>433.14358095855243</v>
      </c>
      <c r="Q141" s="206">
        <f t="shared" si="81"/>
        <v>490.14040092435005</v>
      </c>
      <c r="R141" s="206">
        <f t="shared" si="81"/>
        <v>546.97547301078646</v>
      </c>
      <c r="S141" s="206">
        <f t="shared" si="81"/>
        <v>598.88882031393462</v>
      </c>
      <c r="T141" s="206">
        <f t="shared" si="81"/>
        <v>654.70528145663627</v>
      </c>
      <c r="U141" s="206">
        <f t="shared" si="81"/>
        <v>706.45656880834838</v>
      </c>
      <c r="V141" s="206">
        <f t="shared" si="81"/>
        <v>741.11167898270025</v>
      </c>
      <c r="W141" s="206">
        <f t="shared" si="81"/>
        <v>778.83879085866545</v>
      </c>
      <c r="X141" s="206">
        <f t="shared" si="81"/>
        <v>796.73487217854392</v>
      </c>
      <c r="Y141" s="206">
        <f t="shared" si="81"/>
        <v>752.5760235883107</v>
      </c>
    </row>
    <row r="142" spans="1:25">
      <c r="A142" s="20"/>
      <c r="B142" s="135" t="s">
        <v>222</v>
      </c>
      <c r="C142" t="s">
        <v>226</v>
      </c>
      <c r="F142" s="206">
        <f t="shared" si="82"/>
        <v>354.40145196664525</v>
      </c>
      <c r="G142" s="206">
        <f t="shared" si="82"/>
        <v>813.18138083167651</v>
      </c>
      <c r="H142" s="206">
        <f t="shared" si="81"/>
        <v>1469.4811529152357</v>
      </c>
      <c r="I142" s="206">
        <f t="shared" si="81"/>
        <v>2145.7168900593369</v>
      </c>
      <c r="J142" s="206">
        <f t="shared" si="81"/>
        <v>2877.8778656921695</v>
      </c>
      <c r="K142" s="206">
        <f t="shared" si="81"/>
        <v>3698.166648053766</v>
      </c>
      <c r="L142" s="206">
        <f t="shared" si="81"/>
        <v>4602.1888189632064</v>
      </c>
      <c r="M142" s="206">
        <f t="shared" si="81"/>
        <v>5469.9474142521085</v>
      </c>
      <c r="N142" s="206">
        <f t="shared" si="81"/>
        <v>6399.2546225423448</v>
      </c>
      <c r="O142" s="206">
        <f t="shared" si="81"/>
        <v>7358.2475869168684</v>
      </c>
      <c r="P142" s="206">
        <f t="shared" si="81"/>
        <v>8363.7449416011204</v>
      </c>
      <c r="Q142" s="206">
        <f t="shared" si="81"/>
        <v>9474.1604656371437</v>
      </c>
      <c r="R142" s="206">
        <f t="shared" si="81"/>
        <v>10590.770218758362</v>
      </c>
      <c r="S142" s="206">
        <f t="shared" si="81"/>
        <v>11627.499393412249</v>
      </c>
      <c r="T142" s="206">
        <f t="shared" si="81"/>
        <v>12743.669571336717</v>
      </c>
      <c r="U142" s="206">
        <f t="shared" si="81"/>
        <v>13794.866134499725</v>
      </c>
      <c r="V142" s="206">
        <f t="shared" si="81"/>
        <v>14541.472258326054</v>
      </c>
      <c r="W142" s="206">
        <f t="shared" si="81"/>
        <v>15350.717903501672</v>
      </c>
      <c r="X142" s="206">
        <f t="shared" si="81"/>
        <v>15800.165892199611</v>
      </c>
      <c r="Y142" s="206">
        <f t="shared" si="81"/>
        <v>15101.668234942716</v>
      </c>
    </row>
    <row r="143" spans="1:25">
      <c r="A143" s="20"/>
      <c r="B143" s="135" t="s">
        <v>227</v>
      </c>
      <c r="C143" s="14" t="s">
        <v>225</v>
      </c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6"/>
      <c r="S143" s="206"/>
      <c r="T143" s="206"/>
      <c r="U143" s="206"/>
      <c r="V143" s="206"/>
      <c r="W143" s="206"/>
      <c r="X143" s="206"/>
      <c r="Y143" s="206"/>
    </row>
    <row r="144" spans="1:25">
      <c r="A144" s="20"/>
      <c r="B144" s="135" t="s">
        <v>227</v>
      </c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  <c r="U144" s="206"/>
      <c r="V144" s="206"/>
      <c r="W144" s="206"/>
      <c r="X144" s="206"/>
      <c r="Y144" s="206"/>
    </row>
    <row r="145" spans="1:25">
      <c r="A145" s="20"/>
      <c r="B145" s="135" t="s">
        <v>228</v>
      </c>
      <c r="F145" s="206">
        <f>F138/12</f>
        <v>0.1033084732441137</v>
      </c>
      <c r="G145" s="206">
        <f t="shared" ref="G145:Y149" si="83">G138/12</f>
        <v>0.26465063008769124</v>
      </c>
      <c r="H145" s="206">
        <f t="shared" si="83"/>
        <v>0.5249377235023639</v>
      </c>
      <c r="I145" s="206">
        <f t="shared" si="83"/>
        <v>0.80298524110115821</v>
      </c>
      <c r="J145" s="206">
        <f t="shared" si="83"/>
        <v>1.0712249278185684</v>
      </c>
      <c r="K145" s="206">
        <f t="shared" si="83"/>
        <v>1.3873592917130193</v>
      </c>
      <c r="L145" s="206">
        <f t="shared" si="83"/>
        <v>1.7358088602590271</v>
      </c>
      <c r="M145" s="206">
        <f t="shared" si="83"/>
        <v>2.0643894904599023</v>
      </c>
      <c r="N145" s="206">
        <f t="shared" si="83"/>
        <v>2.4152326566484548</v>
      </c>
      <c r="O145" s="206">
        <f t="shared" si="83"/>
        <v>2.7743853156955538</v>
      </c>
      <c r="P145" s="206">
        <f t="shared" si="83"/>
        <v>3.1486545782135189</v>
      </c>
      <c r="Q145" s="206">
        <f t="shared" si="83"/>
        <v>3.5622559580170914</v>
      </c>
      <c r="R145" s="206">
        <f t="shared" si="83"/>
        <v>3.9732478736940622</v>
      </c>
      <c r="S145" s="206">
        <f t="shared" si="83"/>
        <v>4.3459190155651442</v>
      </c>
      <c r="T145" s="206">
        <f t="shared" si="83"/>
        <v>4.7466107993415356</v>
      </c>
      <c r="U145" s="206">
        <f t="shared" si="83"/>
        <v>5.1155741953506144</v>
      </c>
      <c r="V145" s="206">
        <f t="shared" si="83"/>
        <v>5.355664147473953</v>
      </c>
      <c r="W145" s="206">
        <f t="shared" si="83"/>
        <v>5.6179094124622928</v>
      </c>
      <c r="X145" s="206">
        <f t="shared" si="83"/>
        <v>5.7317428212412063</v>
      </c>
      <c r="Y145" s="206">
        <f t="shared" si="83"/>
        <v>5.3841994483901168</v>
      </c>
    </row>
    <row r="146" spans="1:25">
      <c r="A146" s="20"/>
      <c r="B146" s="135" t="s">
        <v>143</v>
      </c>
      <c r="F146" s="206">
        <f t="shared" ref="F146:U149" si="84">F139/12</f>
        <v>0.14100119749352302</v>
      </c>
      <c r="G146" s="206">
        <f t="shared" si="84"/>
        <v>0.34278495140374804</v>
      </c>
      <c r="H146" s="206">
        <f t="shared" si="84"/>
        <v>0.62836840202656086</v>
      </c>
      <c r="I146" s="206">
        <f t="shared" si="84"/>
        <v>0.93836899468027346</v>
      </c>
      <c r="J146" s="206">
        <f t="shared" si="84"/>
        <v>1.2522811297675507</v>
      </c>
      <c r="K146" s="206">
        <f t="shared" si="84"/>
        <v>1.6142256658475489</v>
      </c>
      <c r="L146" s="206">
        <f t="shared" si="84"/>
        <v>2.0130123788435106</v>
      </c>
      <c r="M146" s="206">
        <f t="shared" si="84"/>
        <v>2.3936378233661926</v>
      </c>
      <c r="N146" s="206">
        <f t="shared" si="84"/>
        <v>2.8007669361912497</v>
      </c>
      <c r="O146" s="206">
        <f t="shared" si="84"/>
        <v>3.2197479647740672</v>
      </c>
      <c r="P146" s="206">
        <f t="shared" si="84"/>
        <v>3.6581365508285351</v>
      </c>
      <c r="Q146" s="206">
        <f t="shared" si="84"/>
        <v>4.1422684060021631</v>
      </c>
      <c r="R146" s="206">
        <f t="shared" si="84"/>
        <v>4.6272376681671856</v>
      </c>
      <c r="S146" s="206">
        <f t="shared" si="84"/>
        <v>5.0741976857545223</v>
      </c>
      <c r="T146" s="206">
        <f t="shared" si="84"/>
        <v>5.5551014539851238</v>
      </c>
      <c r="U146" s="206">
        <f t="shared" si="84"/>
        <v>6.0048434876180963</v>
      </c>
      <c r="V146" s="206">
        <f t="shared" si="83"/>
        <v>6.3161352253455094</v>
      </c>
      <c r="W146" s="206">
        <f t="shared" si="83"/>
        <v>6.6541618835690786</v>
      </c>
      <c r="X146" s="206">
        <f t="shared" si="83"/>
        <v>6.8300514364480422</v>
      </c>
      <c r="Y146" s="206">
        <f t="shared" si="83"/>
        <v>6.4933863274746573</v>
      </c>
    </row>
    <row r="147" spans="1:25">
      <c r="A147" s="20"/>
      <c r="B147" s="135" t="s">
        <v>229</v>
      </c>
      <c r="F147" s="206">
        <f t="shared" si="84"/>
        <v>0.63604056336851522</v>
      </c>
      <c r="G147" s="206">
        <f t="shared" si="83"/>
        <v>1.7594801795243835</v>
      </c>
      <c r="H147" s="206">
        <f t="shared" si="83"/>
        <v>3.5243958115944403</v>
      </c>
      <c r="I147" s="206">
        <f t="shared" si="83"/>
        <v>5.4550792059248705</v>
      </c>
      <c r="J147" s="206">
        <f t="shared" si="83"/>
        <v>7.3048109656687599</v>
      </c>
      <c r="K147" s="206">
        <f t="shared" si="83"/>
        <v>9.4783291328057402</v>
      </c>
      <c r="L147" s="206">
        <f t="shared" si="83"/>
        <v>11.871087858176921</v>
      </c>
      <c r="M147" s="206">
        <f t="shared" si="83"/>
        <v>14.105077335786627</v>
      </c>
      <c r="N147" s="206">
        <f t="shared" si="83"/>
        <v>16.483582531697973</v>
      </c>
      <c r="O147" s="206">
        <f t="shared" si="83"/>
        <v>18.904920188346015</v>
      </c>
      <c r="P147" s="206">
        <f t="shared" si="83"/>
        <v>21.416619338170264</v>
      </c>
      <c r="Q147" s="206">
        <f t="shared" si="83"/>
        <v>24.18982186775688</v>
      </c>
      <c r="R147" s="206">
        <f t="shared" si="83"/>
        <v>26.923506955425577</v>
      </c>
      <c r="S147" s="206">
        <f t="shared" si="83"/>
        <v>29.364135121253813</v>
      </c>
      <c r="T147" s="206">
        <f t="shared" si="83"/>
        <v>31.982196528489922</v>
      </c>
      <c r="U147" s="206">
        <f t="shared" si="83"/>
        <v>34.354436851883058</v>
      </c>
      <c r="V147" s="206">
        <f t="shared" si="83"/>
        <v>35.800215049835849</v>
      </c>
      <c r="W147" s="206">
        <f t="shared" si="83"/>
        <v>37.384695693891345</v>
      </c>
      <c r="X147" s="206">
        <f t="shared" si="83"/>
        <v>37.916096418346129</v>
      </c>
      <c r="Y147" s="206">
        <f t="shared" si="83"/>
        <v>35.228708805042153</v>
      </c>
    </row>
    <row r="148" spans="1:25">
      <c r="A148" s="20"/>
      <c r="B148" s="135" t="s">
        <v>230</v>
      </c>
      <c r="F148" s="206">
        <f t="shared" si="84"/>
        <v>1.3542833267281651</v>
      </c>
      <c r="G148" s="206">
        <f t="shared" si="83"/>
        <v>3.303811805128182</v>
      </c>
      <c r="H148" s="206">
        <f t="shared" si="83"/>
        <v>6.2008131755860818</v>
      </c>
      <c r="I148" s="206">
        <f t="shared" si="83"/>
        <v>9.1940504483004108</v>
      </c>
      <c r="J148" s="206">
        <f t="shared" si="83"/>
        <v>12.335652548098276</v>
      </c>
      <c r="K148" s="206">
        <f t="shared" si="83"/>
        <v>15.934375922208934</v>
      </c>
      <c r="L148" s="206">
        <f t="shared" si="83"/>
        <v>19.899019192182759</v>
      </c>
      <c r="M148" s="206">
        <f t="shared" si="83"/>
        <v>23.658272164094864</v>
      </c>
      <c r="N148" s="206">
        <f t="shared" si="83"/>
        <v>27.674346610368776</v>
      </c>
      <c r="O148" s="206">
        <f t="shared" si="83"/>
        <v>31.794627150948969</v>
      </c>
      <c r="P148" s="206">
        <f t="shared" si="83"/>
        <v>36.095298413212703</v>
      </c>
      <c r="Q148" s="206">
        <f t="shared" si="83"/>
        <v>40.845033410362504</v>
      </c>
      <c r="R148" s="206">
        <f t="shared" si="83"/>
        <v>45.581289417565536</v>
      </c>
      <c r="S148" s="206">
        <f t="shared" si="83"/>
        <v>49.907401692827882</v>
      </c>
      <c r="T148" s="206">
        <f t="shared" si="83"/>
        <v>54.558773454719692</v>
      </c>
      <c r="U148" s="206">
        <f t="shared" si="83"/>
        <v>58.871380734029032</v>
      </c>
      <c r="V148" s="206">
        <f t="shared" si="83"/>
        <v>61.759306581891686</v>
      </c>
      <c r="W148" s="206">
        <f t="shared" si="83"/>
        <v>64.903232571555449</v>
      </c>
      <c r="X148" s="206">
        <f t="shared" si="83"/>
        <v>66.394572681545327</v>
      </c>
      <c r="Y148" s="206">
        <f t="shared" si="83"/>
        <v>62.714668632359228</v>
      </c>
    </row>
    <row r="149" spans="1:25">
      <c r="A149" s="20"/>
      <c r="B149" s="135" t="s">
        <v>231</v>
      </c>
      <c r="F149" s="206">
        <f t="shared" si="84"/>
        <v>29.53345433055377</v>
      </c>
      <c r="G149" s="206">
        <f t="shared" si="83"/>
        <v>67.765115069306376</v>
      </c>
      <c r="H149" s="206">
        <f t="shared" si="83"/>
        <v>122.45676274293631</v>
      </c>
      <c r="I149" s="206">
        <f t="shared" si="83"/>
        <v>178.80974083827809</v>
      </c>
      <c r="J149" s="206">
        <f t="shared" si="83"/>
        <v>239.82315547434746</v>
      </c>
      <c r="K149" s="206">
        <f t="shared" si="83"/>
        <v>308.18055400448048</v>
      </c>
      <c r="L149" s="206">
        <f t="shared" si="83"/>
        <v>383.51573491360051</v>
      </c>
      <c r="M149" s="206">
        <f t="shared" si="83"/>
        <v>455.82895118767573</v>
      </c>
      <c r="N149" s="206">
        <f t="shared" si="83"/>
        <v>533.27121854519544</v>
      </c>
      <c r="O149" s="206">
        <f t="shared" si="83"/>
        <v>613.18729890973907</v>
      </c>
      <c r="P149" s="206">
        <f t="shared" si="83"/>
        <v>696.97874513342674</v>
      </c>
      <c r="Q149" s="206">
        <f t="shared" si="83"/>
        <v>789.51337213642864</v>
      </c>
      <c r="R149" s="206">
        <f t="shared" si="83"/>
        <v>882.56418489653015</v>
      </c>
      <c r="S149" s="206">
        <f t="shared" si="83"/>
        <v>968.95828278435408</v>
      </c>
      <c r="T149" s="206">
        <f t="shared" si="83"/>
        <v>1061.9724642780598</v>
      </c>
      <c r="U149" s="206">
        <f t="shared" si="83"/>
        <v>1149.5721778749771</v>
      </c>
      <c r="V149" s="206">
        <f t="shared" si="83"/>
        <v>1211.7893548605045</v>
      </c>
      <c r="W149" s="206">
        <f t="shared" si="83"/>
        <v>1279.2264919584727</v>
      </c>
      <c r="X149" s="206">
        <f t="shared" si="83"/>
        <v>1316.6804910166343</v>
      </c>
      <c r="Y149" s="206">
        <f t="shared" si="83"/>
        <v>1258.472352911893</v>
      </c>
    </row>
    <row r="150" spans="1:25" ht="29">
      <c r="B150" s="179" t="s">
        <v>232</v>
      </c>
      <c r="F150" s="144"/>
      <c r="G150" s="144">
        <f t="shared" ref="G150:O156" si="85">G111-F111</f>
        <v>1.3007037962512111E-3</v>
      </c>
      <c r="H150" s="144">
        <f t="shared" si="85"/>
        <v>1.8298230335640694E-3</v>
      </c>
      <c r="I150" s="144">
        <f t="shared" si="85"/>
        <v>1.8391407805837187E-3</v>
      </c>
      <c r="J150" s="144">
        <f t="shared" si="85"/>
        <v>1.9505130933891238E-3</v>
      </c>
      <c r="K150" s="144">
        <f t="shared" si="85"/>
        <v>2.2501617117097542E-3</v>
      </c>
      <c r="L150" s="144">
        <f t="shared" si="85"/>
        <v>2.4676046574754612E-3</v>
      </c>
      <c r="M150" s="144">
        <f t="shared" si="85"/>
        <v>2.3566283963387877E-3</v>
      </c>
      <c r="N150" s="144">
        <f t="shared" si="85"/>
        <v>2.5108546259857492E-3</v>
      </c>
      <c r="O150" s="144">
        <f t="shared" si="85"/>
        <v>2.5771556729124456E-3</v>
      </c>
    </row>
    <row r="151" spans="1:25">
      <c r="B151" s="135"/>
      <c r="F151" s="144"/>
      <c r="G151" s="144">
        <f t="shared" si="85"/>
        <v>1.3374975875894701E-3</v>
      </c>
      <c r="H151" s="144">
        <f t="shared" si="85"/>
        <v>1.8736813034819499E-3</v>
      </c>
      <c r="I151" s="144">
        <f t="shared" si="85"/>
        <v>1.8815214289577553E-3</v>
      </c>
      <c r="J151" s="144">
        <f t="shared" si="85"/>
        <v>1.976584151755674E-3</v>
      </c>
      <c r="K151" s="144">
        <f t="shared" si="85"/>
        <v>2.3008419648975903E-3</v>
      </c>
      <c r="L151" s="144">
        <f t="shared" si="85"/>
        <v>2.5228867690494441E-3</v>
      </c>
      <c r="M151" s="144">
        <f t="shared" si="85"/>
        <v>2.4091356685584236E-3</v>
      </c>
      <c r="N151" s="144">
        <f t="shared" si="85"/>
        <v>2.5664879521572759E-3</v>
      </c>
      <c r="O151" s="144">
        <f t="shared" si="85"/>
        <v>2.6339252738126553E-3</v>
      </c>
    </row>
    <row r="152" spans="1:25">
      <c r="B152" s="135"/>
      <c r="F152" s="144"/>
      <c r="G152" s="144">
        <f t="shared" si="85"/>
        <v>1.334052289104791E-3</v>
      </c>
      <c r="H152" s="144">
        <f t="shared" si="85"/>
        <v>1.8712406518955615E-3</v>
      </c>
      <c r="I152" s="144">
        <f t="shared" si="85"/>
        <v>1.8872687144089184E-3</v>
      </c>
      <c r="J152" s="144">
        <f t="shared" si="85"/>
        <v>2.0293176882588554E-3</v>
      </c>
      <c r="K152" s="144">
        <f t="shared" si="85"/>
        <v>2.3140063976594474E-3</v>
      </c>
      <c r="L152" s="144">
        <f t="shared" si="85"/>
        <v>2.5372443170673803E-3</v>
      </c>
      <c r="M152" s="144">
        <f t="shared" si="85"/>
        <v>2.4227703703313466E-3</v>
      </c>
      <c r="N152" s="144">
        <f t="shared" si="85"/>
        <v>2.580932066059298E-3</v>
      </c>
      <c r="O152" s="144">
        <f t="shared" si="85"/>
        <v>2.6486618971149692E-3</v>
      </c>
    </row>
    <row r="153" spans="1:25">
      <c r="B153" s="135"/>
      <c r="F153" s="144"/>
      <c r="G153" s="144">
        <f t="shared" si="85"/>
        <v>1.4155894323792731E-3</v>
      </c>
      <c r="H153" s="144">
        <f t="shared" si="85"/>
        <v>1.9760958602973167E-3</v>
      </c>
      <c r="I153" s="144">
        <f t="shared" si="85"/>
        <v>1.9744373050225028E-3</v>
      </c>
      <c r="J153" s="144">
        <f t="shared" si="85"/>
        <v>2.0561045547412837E-3</v>
      </c>
      <c r="K153" s="144">
        <f t="shared" si="85"/>
        <v>2.4177199807379965E-3</v>
      </c>
      <c r="L153" s="144">
        <f t="shared" si="85"/>
        <v>2.6503252230536609E-3</v>
      </c>
      <c r="M153" s="144">
        <f t="shared" si="85"/>
        <v>2.5301265290253658E-3</v>
      </c>
      <c r="N153" s="144">
        <f t="shared" si="85"/>
        <v>2.6946274987956417E-3</v>
      </c>
      <c r="O153" s="144">
        <f t="shared" si="85"/>
        <v>2.7646236061018362E-3</v>
      </c>
    </row>
    <row r="154" spans="1:25">
      <c r="B154" s="135"/>
      <c r="F154" s="144"/>
      <c r="G154" s="144">
        <f t="shared" si="85"/>
        <v>1.42209409957509E-3</v>
      </c>
      <c r="H154" s="144">
        <f t="shared" si="85"/>
        <v>1.9869019252935355E-3</v>
      </c>
      <c r="I154" s="144">
        <f t="shared" si="85"/>
        <v>1.9922970700805356E-3</v>
      </c>
      <c r="J154" s="144">
        <f t="shared" si="85"/>
        <v>2.1020369561614571E-3</v>
      </c>
      <c r="K154" s="144">
        <f t="shared" si="85"/>
        <v>2.4414874821593671E-3</v>
      </c>
      <c r="L154" s="144">
        <f t="shared" si="85"/>
        <v>2.6762312552596895E-3</v>
      </c>
      <c r="M154" s="144">
        <f t="shared" si="85"/>
        <v>2.5547131475088317E-3</v>
      </c>
      <c r="N154" s="144">
        <f t="shared" si="85"/>
        <v>2.7206574521203841E-3</v>
      </c>
      <c r="O154" s="144">
        <f t="shared" si="85"/>
        <v>2.7911633428504834E-3</v>
      </c>
    </row>
    <row r="155" spans="1:25">
      <c r="B155" s="135"/>
      <c r="F155" s="144"/>
      <c r="G155" s="144">
        <f t="shared" si="85"/>
        <v>1.6929417188146084E-3</v>
      </c>
      <c r="H155" s="144">
        <f t="shared" si="85"/>
        <v>2.3746300625767242E-3</v>
      </c>
      <c r="I155" s="144">
        <f t="shared" si="85"/>
        <v>2.2890986616376507E-3</v>
      </c>
      <c r="J155" s="144">
        <f t="shared" si="85"/>
        <v>2.5010316660615678E-3</v>
      </c>
      <c r="K155" s="144">
        <f t="shared" si="85"/>
        <v>2.8846989151373459E-3</v>
      </c>
      <c r="L155" s="144">
        <f t="shared" si="85"/>
        <v>3.1587585914846436E-3</v>
      </c>
      <c r="M155" s="144">
        <f t="shared" si="85"/>
        <v>3.0121178413162197E-3</v>
      </c>
      <c r="N155" s="144">
        <f t="shared" si="85"/>
        <v>3.2043284266577432E-3</v>
      </c>
      <c r="O155" s="144">
        <f t="shared" si="85"/>
        <v>3.2836820717338233E-3</v>
      </c>
    </row>
    <row r="156" spans="1:25">
      <c r="B156" s="135"/>
      <c r="F156" s="144"/>
      <c r="G156" s="144">
        <f t="shared" si="85"/>
        <v>1.4400447940967065E-3</v>
      </c>
      <c r="H156" s="144">
        <f t="shared" si="85"/>
        <v>2.0259346414887094E-3</v>
      </c>
      <c r="I156" s="144">
        <f t="shared" si="85"/>
        <v>2.0303381503900819E-3</v>
      </c>
      <c r="J156" s="144">
        <f t="shared" si="85"/>
        <v>2.1636289835784972E-3</v>
      </c>
      <c r="K156" s="144">
        <f t="shared" si="85"/>
        <v>2.5174512671565299E-3</v>
      </c>
      <c r="L156" s="144">
        <f t="shared" si="85"/>
        <v>2.7741871593898668E-3</v>
      </c>
      <c r="M156" s="144">
        <f t="shared" si="85"/>
        <v>2.6625889008397297E-3</v>
      </c>
      <c r="N156" s="144">
        <f t="shared" si="85"/>
        <v>2.851218898605859E-3</v>
      </c>
      <c r="O156" s="144">
        <f t="shared" si="85"/>
        <v>2.9420468086843593E-3</v>
      </c>
    </row>
    <row r="157" spans="1:25">
      <c r="B157" s="135"/>
      <c r="F157" s="144"/>
      <c r="G157" s="144"/>
      <c r="H157" s="144"/>
      <c r="I157" s="144"/>
      <c r="J157" s="144"/>
    </row>
    <row r="158" spans="1:25">
      <c r="B158" s="135"/>
      <c r="F158" s="144"/>
      <c r="G158" s="144"/>
      <c r="H158" s="144"/>
      <c r="I158" s="144"/>
      <c r="J158" s="144"/>
    </row>
    <row r="159" spans="1:25">
      <c r="B159" s="135"/>
      <c r="F159" s="144"/>
      <c r="G159" s="144"/>
      <c r="H159" s="144"/>
      <c r="I159" s="144"/>
      <c r="J159" s="144"/>
    </row>
    <row r="160" spans="1:25">
      <c r="B160" s="135"/>
      <c r="F160" s="144"/>
      <c r="G160" s="144"/>
      <c r="H160" s="144"/>
      <c r="I160" s="144"/>
      <c r="J160" s="144"/>
    </row>
    <row r="161" spans="2:10">
      <c r="B161" s="135"/>
      <c r="F161" s="144"/>
      <c r="G161" s="144"/>
      <c r="H161" s="144"/>
      <c r="I161" s="144"/>
      <c r="J161" s="144"/>
    </row>
    <row r="162" spans="2:10">
      <c r="B162" s="135"/>
      <c r="F162" s="144"/>
      <c r="G162" s="144"/>
      <c r="H162" s="144"/>
      <c r="I162" s="144"/>
      <c r="J162" s="144"/>
    </row>
    <row r="163" spans="2:10">
      <c r="B163" s="135"/>
      <c r="F163" s="144"/>
      <c r="G163" s="144"/>
      <c r="H163" s="144"/>
      <c r="I163" s="144"/>
      <c r="J163" s="144"/>
    </row>
    <row r="164" spans="2:10">
      <c r="B164" s="135"/>
      <c r="F164" s="144"/>
      <c r="G164" s="144"/>
      <c r="H164" s="144"/>
      <c r="I164" s="144"/>
      <c r="J164" s="144"/>
    </row>
    <row r="165" spans="2:10">
      <c r="B165" s="135"/>
      <c r="F165" s="144"/>
      <c r="G165" s="144"/>
      <c r="H165" s="144"/>
      <c r="I165" s="144"/>
      <c r="J165" s="144"/>
    </row>
    <row r="166" spans="2:10">
      <c r="B166" s="135"/>
      <c r="F166" s="144"/>
      <c r="G166" s="144"/>
      <c r="H166" s="144"/>
      <c r="I166" s="144"/>
      <c r="J166" s="144"/>
    </row>
    <row r="167" spans="2:10">
      <c r="B167" s="135"/>
      <c r="F167" s="144"/>
      <c r="G167" s="144"/>
      <c r="H167" s="144"/>
      <c r="I167" s="144"/>
      <c r="J167" s="144"/>
    </row>
    <row r="168" spans="2:10">
      <c r="B168" s="135"/>
      <c r="F168" s="144"/>
      <c r="G168" s="144"/>
      <c r="H168" s="144"/>
      <c r="I168" s="144"/>
      <c r="J168" s="144"/>
    </row>
    <row r="169" spans="2:10">
      <c r="B169" s="135"/>
      <c r="F169" s="144"/>
      <c r="G169" s="144"/>
      <c r="H169" s="144"/>
      <c r="I169" s="144"/>
      <c r="J169" s="144"/>
    </row>
    <row r="170" spans="2:10">
      <c r="B170" s="135"/>
      <c r="F170" s="144"/>
      <c r="G170" s="144"/>
      <c r="H170" s="144"/>
      <c r="I170" s="144"/>
      <c r="J170" s="144"/>
    </row>
    <row r="171" spans="2:10">
      <c r="B171" s="135"/>
      <c r="F171" s="144"/>
      <c r="G171" s="144"/>
      <c r="H171" s="144"/>
      <c r="I171" s="144"/>
      <c r="J171" s="144"/>
    </row>
    <row r="172" spans="2:10">
      <c r="B172" s="135"/>
      <c r="F172" s="144"/>
      <c r="G172" s="144"/>
      <c r="H172" s="144"/>
      <c r="I172" s="144"/>
      <c r="J172" s="144"/>
    </row>
    <row r="173" spans="2:10">
      <c r="B173" s="135"/>
      <c r="F173" s="144"/>
      <c r="G173" s="144"/>
      <c r="H173" s="144"/>
      <c r="I173" s="144"/>
      <c r="J173" s="144"/>
    </row>
    <row r="174" spans="2:10">
      <c r="B174" s="135"/>
      <c r="F174" s="144"/>
      <c r="G174" s="144"/>
      <c r="H174" s="144"/>
      <c r="I174" s="144"/>
      <c r="J174" s="144"/>
    </row>
    <row r="175" spans="2:10">
      <c r="B175" s="135"/>
      <c r="F175" s="144"/>
      <c r="G175" s="144"/>
      <c r="H175" s="144"/>
      <c r="I175" s="144"/>
      <c r="J175" s="144"/>
    </row>
    <row r="176" spans="2:10">
      <c r="B176" s="135"/>
      <c r="F176" s="144"/>
      <c r="G176" s="144"/>
      <c r="H176" s="144"/>
      <c r="I176" s="144"/>
      <c r="J176" s="144"/>
    </row>
    <row r="177" spans="2:10">
      <c r="B177" s="135"/>
      <c r="F177" s="144"/>
      <c r="G177" s="144"/>
      <c r="H177" s="144"/>
      <c r="I177" s="144"/>
      <c r="J177" s="144"/>
    </row>
    <row r="178" spans="2:10">
      <c r="B178" s="135"/>
      <c r="F178" s="144"/>
      <c r="G178" s="144"/>
      <c r="H178" s="144"/>
      <c r="I178" s="144"/>
      <c r="J178" s="144"/>
    </row>
    <row r="179" spans="2:10">
      <c r="B179" s="135"/>
      <c r="F179" s="144"/>
      <c r="G179" s="144"/>
      <c r="H179" s="144"/>
      <c r="I179" s="144"/>
      <c r="J179" s="144"/>
    </row>
    <row r="180" spans="2:10">
      <c r="B180" s="135"/>
      <c r="F180" s="144"/>
      <c r="G180" s="144"/>
      <c r="H180" s="144"/>
      <c r="I180" s="144"/>
      <c r="J180" s="144"/>
    </row>
    <row r="181" spans="2:10">
      <c r="B181" s="135"/>
      <c r="F181" s="144"/>
      <c r="G181" s="144"/>
      <c r="H181" s="144"/>
      <c r="I181" s="144"/>
      <c r="J181" s="144"/>
    </row>
    <row r="182" spans="2:10">
      <c r="B182" s="135"/>
      <c r="F182" s="144"/>
      <c r="G182" s="144"/>
      <c r="H182" s="144"/>
      <c r="I182" s="144"/>
      <c r="J182" s="144"/>
    </row>
    <row r="183" spans="2:10">
      <c r="B183" s="135"/>
      <c r="F183" s="144"/>
      <c r="G183" s="144"/>
      <c r="H183" s="144"/>
      <c r="I183" s="144"/>
      <c r="J183" s="144"/>
    </row>
    <row r="184" spans="2:10">
      <c r="B184" s="135"/>
      <c r="F184" s="144"/>
      <c r="G184" s="144"/>
      <c r="H184" s="144"/>
      <c r="I184" s="144"/>
      <c r="J184" s="144"/>
    </row>
    <row r="185" spans="2:10">
      <c r="B185" s="135"/>
      <c r="F185" s="144"/>
      <c r="G185" s="144"/>
      <c r="H185" s="144"/>
      <c r="I185" s="144"/>
      <c r="J185" s="144"/>
    </row>
    <row r="186" spans="2:10">
      <c r="B186" s="135"/>
      <c r="F186" s="144"/>
      <c r="G186" s="144"/>
      <c r="H186" s="144"/>
      <c r="I186" s="144"/>
      <c r="J186" s="144"/>
    </row>
    <row r="187" spans="2:10">
      <c r="B187" s="135"/>
      <c r="F187" s="144"/>
      <c r="G187" s="144"/>
      <c r="H187" s="144"/>
      <c r="I187" s="144"/>
      <c r="J187" s="144"/>
    </row>
    <row r="188" spans="2:10">
      <c r="B188" s="135"/>
      <c r="F188" s="144"/>
      <c r="G188" s="144"/>
      <c r="H188" s="144"/>
      <c r="I188" s="144"/>
      <c r="J188" s="144"/>
    </row>
    <row r="189" spans="2:10">
      <c r="B189" s="135"/>
      <c r="F189" s="144"/>
      <c r="G189" s="144"/>
      <c r="H189" s="144"/>
      <c r="I189" s="144"/>
      <c r="J189" s="144"/>
    </row>
    <row r="190" spans="2:10">
      <c r="B190" s="135"/>
      <c r="F190" s="144"/>
      <c r="G190" s="144"/>
      <c r="H190" s="144"/>
      <c r="I190" s="144"/>
      <c r="J190" s="144"/>
    </row>
    <row r="191" spans="2:10">
      <c r="B191" s="135"/>
      <c r="F191" s="144"/>
      <c r="G191" s="144"/>
      <c r="H191" s="144"/>
      <c r="I191" s="144"/>
      <c r="J191" s="144"/>
    </row>
    <row r="192" spans="2:10">
      <c r="B192" s="135"/>
      <c r="F192" s="144"/>
      <c r="G192" s="144"/>
      <c r="H192" s="144"/>
      <c r="I192" s="144"/>
      <c r="J192" s="144"/>
    </row>
    <row r="193" spans="1:35">
      <c r="B193" s="135"/>
      <c r="F193" s="144"/>
      <c r="G193" s="144"/>
      <c r="H193" s="144"/>
      <c r="I193" s="144"/>
      <c r="J193" s="144"/>
    </row>
    <row r="194" spans="1:35">
      <c r="B194" s="135"/>
      <c r="F194" s="144"/>
      <c r="G194" s="144"/>
      <c r="H194" s="144"/>
      <c r="I194" s="144"/>
      <c r="J194" s="144"/>
    </row>
    <row r="195" spans="1:35">
      <c r="B195" s="135"/>
      <c r="F195" s="144"/>
      <c r="G195" s="144"/>
      <c r="H195" s="144"/>
      <c r="I195" s="144"/>
      <c r="J195" s="144"/>
    </row>
    <row r="196" spans="1:35">
      <c r="B196" s="135"/>
      <c r="F196" s="144"/>
      <c r="G196" s="144"/>
      <c r="H196" s="144"/>
      <c r="I196" s="144"/>
      <c r="J196" s="144"/>
    </row>
    <row r="197" spans="1:35">
      <c r="B197" s="135"/>
      <c r="F197" s="144"/>
      <c r="G197" s="144"/>
      <c r="H197" s="144"/>
      <c r="I197" s="144"/>
      <c r="J197" s="144"/>
    </row>
    <row r="198" spans="1:35">
      <c r="B198" s="135"/>
      <c r="F198" s="144"/>
      <c r="G198" s="144"/>
      <c r="H198" s="144"/>
      <c r="I198" s="144"/>
      <c r="J198" s="144"/>
    </row>
    <row r="199" spans="1:35">
      <c r="B199" s="135"/>
      <c r="F199" s="144"/>
      <c r="G199" s="144"/>
      <c r="H199" s="144"/>
      <c r="I199" s="144"/>
      <c r="J199" s="144"/>
    </row>
    <row r="200" spans="1:35">
      <c r="B200" s="207" t="s">
        <v>233</v>
      </c>
      <c r="E200" s="7">
        <v>52964359.140356161</v>
      </c>
      <c r="F200" s="8">
        <f>E200+(F85-E85)</f>
        <v>53022789.277400985</v>
      </c>
      <c r="G200" s="8">
        <f t="shared" ref="G200:AI200" si="86">F200+(G85-F85)</f>
        <v>53103575.313355982</v>
      </c>
      <c r="H200" s="8">
        <f t="shared" si="86"/>
        <v>53222467.016793124</v>
      </c>
      <c r="I200" s="8">
        <f t="shared" si="86"/>
        <v>53341344.019796088</v>
      </c>
      <c r="J200" s="8">
        <f t="shared" si="86"/>
        <v>53460425.326907113</v>
      </c>
      <c r="K200" s="8">
        <f t="shared" si="86"/>
        <v>53589147.956202865</v>
      </c>
      <c r="L200" s="8">
        <f t="shared" si="86"/>
        <v>53730899.631734662</v>
      </c>
      <c r="M200" s="8">
        <f t="shared" si="86"/>
        <v>53867293.49727992</v>
      </c>
      <c r="N200" s="8">
        <f t="shared" si="86"/>
        <v>54013317.978503063</v>
      </c>
      <c r="O200" s="8">
        <f t="shared" si="86"/>
        <v>54164084.478970751</v>
      </c>
      <c r="P200" s="8">
        <f t="shared" si="86"/>
        <v>54316783.671975493</v>
      </c>
      <c r="Q200" s="8">
        <f t="shared" si="86"/>
        <v>54485272.657009266</v>
      </c>
      <c r="R200" s="8">
        <f t="shared" si="86"/>
        <v>54654344.3659532</v>
      </c>
      <c r="S200" s="8">
        <f t="shared" si="86"/>
        <v>54810772.577617563</v>
      </c>
      <c r="T200" s="8">
        <f t="shared" si="86"/>
        <v>54978987.228941485</v>
      </c>
      <c r="U200" s="8">
        <f t="shared" si="86"/>
        <v>55136821.817447849</v>
      </c>
      <c r="V200" s="8">
        <f t="shared" si="86"/>
        <v>55247613.755270056</v>
      </c>
      <c r="W200" s="8">
        <f t="shared" si="86"/>
        <v>55367616.619813353</v>
      </c>
      <c r="X200" s="8">
        <f t="shared" si="86"/>
        <v>55432263.767672874</v>
      </c>
      <c r="Y200" s="8">
        <f t="shared" si="86"/>
        <v>55321429.906455159</v>
      </c>
      <c r="Z200" s="8" t="e">
        <f t="shared" si="86"/>
        <v>#REF!</v>
      </c>
      <c r="AA200" s="8" t="e">
        <f t="shared" si="86"/>
        <v>#REF!</v>
      </c>
      <c r="AB200" s="8" t="e">
        <f t="shared" si="86"/>
        <v>#REF!</v>
      </c>
      <c r="AC200" s="8" t="e">
        <f t="shared" si="86"/>
        <v>#REF!</v>
      </c>
      <c r="AD200" s="8" t="e">
        <f t="shared" si="86"/>
        <v>#REF!</v>
      </c>
      <c r="AE200" s="8" t="e">
        <f t="shared" si="86"/>
        <v>#REF!</v>
      </c>
      <c r="AF200" s="8" t="e">
        <f t="shared" si="86"/>
        <v>#REF!</v>
      </c>
      <c r="AG200" s="8" t="e">
        <f t="shared" si="86"/>
        <v>#REF!</v>
      </c>
      <c r="AH200" s="8" t="e">
        <f t="shared" si="86"/>
        <v>#REF!</v>
      </c>
      <c r="AI200" s="8" t="e">
        <f t="shared" si="86"/>
        <v>#REF!</v>
      </c>
    </row>
    <row r="201" spans="1:35">
      <c r="B201" s="207"/>
      <c r="E201" s="7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</row>
    <row r="202" spans="1:35">
      <c r="B202" s="207" t="s">
        <v>234</v>
      </c>
      <c r="F202" s="208">
        <f>(F85-E85)/E200</f>
        <v>1.1031972819681099E-3</v>
      </c>
      <c r="G202" s="208">
        <f t="shared" ref="G202:AI202" si="87">(G85-F85)/F200</f>
        <v>1.5236096979422849E-3</v>
      </c>
      <c r="H202" s="208">
        <f t="shared" si="87"/>
        <v>2.2388643840942969E-3</v>
      </c>
      <c r="I202" s="208">
        <f t="shared" si="87"/>
        <v>2.2335868603282458E-3</v>
      </c>
      <c r="J202" s="208">
        <f t="shared" si="87"/>
        <v>2.2324391951360121E-3</v>
      </c>
      <c r="K202" s="144">
        <f t="shared" si="87"/>
        <v>2.407811544869326E-3</v>
      </c>
      <c r="L202" s="144">
        <f t="shared" si="87"/>
        <v>2.6451563597848066E-3</v>
      </c>
      <c r="M202" s="144">
        <f t="shared" si="87"/>
        <v>2.5384623462492662E-3</v>
      </c>
      <c r="N202" s="144">
        <f t="shared" si="87"/>
        <v>2.7108189727504811E-3</v>
      </c>
      <c r="O202" s="144">
        <f t="shared" si="87"/>
        <v>2.7912838186998625E-3</v>
      </c>
      <c r="P202" s="144">
        <f t="shared" si="87"/>
        <v>2.8191964190593635E-3</v>
      </c>
      <c r="Q202" s="144">
        <f t="shared" si="87"/>
        <v>3.1019691086882459E-3</v>
      </c>
      <c r="R202" s="144">
        <f t="shared" si="87"/>
        <v>3.1030717237712931E-3</v>
      </c>
      <c r="S202" s="144">
        <f t="shared" si="87"/>
        <v>2.86213682515253E-3</v>
      </c>
      <c r="T202" s="144">
        <f t="shared" si="87"/>
        <v>3.0690071205567637E-3</v>
      </c>
      <c r="U202" s="144">
        <f t="shared" si="87"/>
        <v>2.8708165876013074E-3</v>
      </c>
      <c r="V202" s="144">
        <f t="shared" si="87"/>
        <v>2.0094001462221877E-3</v>
      </c>
      <c r="W202" s="144">
        <f t="shared" si="87"/>
        <v>2.1720913608119798E-3</v>
      </c>
      <c r="X202" s="144">
        <f t="shared" si="87"/>
        <v>1.1675985315284115E-3</v>
      </c>
      <c r="Y202" s="144">
        <f t="shared" si="87"/>
        <v>-1.9994467785447055E-3</v>
      </c>
      <c r="Z202" s="144" t="e">
        <f t="shared" si="87"/>
        <v>#REF!</v>
      </c>
      <c r="AA202" s="144" t="e">
        <f t="shared" si="87"/>
        <v>#REF!</v>
      </c>
      <c r="AB202" s="144" t="e">
        <f t="shared" si="87"/>
        <v>#REF!</v>
      </c>
      <c r="AC202" s="144" t="e">
        <f t="shared" si="87"/>
        <v>#REF!</v>
      </c>
      <c r="AD202" s="144" t="e">
        <f t="shared" si="87"/>
        <v>#REF!</v>
      </c>
      <c r="AE202" s="144" t="e">
        <f t="shared" si="87"/>
        <v>#REF!</v>
      </c>
      <c r="AF202" s="144" t="e">
        <f t="shared" si="87"/>
        <v>#REF!</v>
      </c>
      <c r="AG202" s="144" t="e">
        <f t="shared" si="87"/>
        <v>#REF!</v>
      </c>
      <c r="AH202" s="144" t="e">
        <f t="shared" si="87"/>
        <v>#REF!</v>
      </c>
      <c r="AI202" s="144" t="e">
        <f t="shared" si="87"/>
        <v>#REF!</v>
      </c>
    </row>
    <row r="203" spans="1:35">
      <c r="B203" s="207" t="s">
        <v>235</v>
      </c>
      <c r="C203" s="209" t="s">
        <v>236</v>
      </c>
      <c r="D203" s="210"/>
      <c r="E203" s="210"/>
      <c r="F203" s="8">
        <v>42484</v>
      </c>
      <c r="G203" s="8">
        <f>42811+F203</f>
        <v>85295</v>
      </c>
      <c r="H203" s="8">
        <f>45107+G203</f>
        <v>130402</v>
      </c>
      <c r="I203" s="208"/>
      <c r="J203" s="208"/>
      <c r="K203" s="144"/>
      <c r="L203" s="144"/>
      <c r="M203" s="144"/>
      <c r="N203" s="144"/>
      <c r="O203" s="144"/>
      <c r="P203" s="144"/>
      <c r="Q203" s="144"/>
      <c r="R203" s="144"/>
      <c r="S203" s="144"/>
      <c r="T203" s="144"/>
      <c r="U203" s="144"/>
      <c r="V203" s="144"/>
      <c r="W203" s="144"/>
      <c r="X203" s="144"/>
      <c r="Y203" s="144"/>
      <c r="Z203" s="144"/>
      <c r="AA203" s="144"/>
      <c r="AB203" s="144"/>
      <c r="AC203" s="144"/>
      <c r="AD203" s="144"/>
      <c r="AE203" s="144"/>
      <c r="AF203" s="144"/>
      <c r="AG203" s="144"/>
      <c r="AH203" s="144"/>
      <c r="AI203" s="144"/>
    </row>
    <row r="204" spans="1:35" s="211" customFormat="1" ht="9.75" hidden="1" customHeight="1"/>
    <row r="205" spans="1:35" hidden="1">
      <c r="A205" s="183" t="s">
        <v>237</v>
      </c>
    </row>
    <row r="206" spans="1:35" hidden="1">
      <c r="B206" s="153" t="s">
        <v>238</v>
      </c>
      <c r="C206" s="7">
        <v>20000000</v>
      </c>
      <c r="E206" s="8"/>
      <c r="F206" s="8"/>
      <c r="G206" s="8"/>
      <c r="H206" s="8"/>
    </row>
    <row r="207" spans="1:35" hidden="1">
      <c r="B207" s="153" t="s">
        <v>239</v>
      </c>
      <c r="C207">
        <v>4</v>
      </c>
      <c r="E207" s="9"/>
    </row>
    <row r="208" spans="1:35" hidden="1">
      <c r="B208" s="153" t="s">
        <v>178</v>
      </c>
      <c r="C208" s="212">
        <v>15</v>
      </c>
    </row>
    <row r="209" spans="1:36" hidden="1">
      <c r="B209" s="153" t="s">
        <v>240</v>
      </c>
      <c r="C209" s="213">
        <v>8.6400000000000005E-2</v>
      </c>
      <c r="G209" s="7"/>
    </row>
    <row r="210" spans="1:36" hidden="1">
      <c r="H210" s="7"/>
      <c r="I210" s="7"/>
    </row>
    <row r="211" spans="1:36" hidden="1">
      <c r="B211" s="153" t="s">
        <v>185</v>
      </c>
      <c r="C211" s="8">
        <f>SUM(F211:I211)</f>
        <v>20000000</v>
      </c>
      <c r="E211" s="7"/>
      <c r="F211" s="7">
        <f t="shared" ref="F211:AI211" si="88">IF(F$2-$F$2&lt;$C$207,$C$206/$C$207,0)</f>
        <v>5000000</v>
      </c>
      <c r="G211" s="7">
        <f t="shared" si="88"/>
        <v>5000000</v>
      </c>
      <c r="H211" s="7">
        <f t="shared" si="88"/>
        <v>5000000</v>
      </c>
      <c r="I211" s="7">
        <f t="shared" si="88"/>
        <v>5000000</v>
      </c>
      <c r="J211" s="7">
        <f t="shared" si="88"/>
        <v>0</v>
      </c>
      <c r="K211" s="7">
        <f t="shared" si="88"/>
        <v>0</v>
      </c>
      <c r="L211" s="7">
        <f t="shared" si="88"/>
        <v>0</v>
      </c>
      <c r="M211" s="7">
        <f t="shared" si="88"/>
        <v>0</v>
      </c>
      <c r="N211" s="7">
        <f t="shared" si="88"/>
        <v>0</v>
      </c>
      <c r="O211" s="7">
        <f t="shared" si="88"/>
        <v>0</v>
      </c>
      <c r="P211" s="7">
        <f t="shared" si="88"/>
        <v>0</v>
      </c>
      <c r="Q211" s="7">
        <f t="shared" si="88"/>
        <v>0</v>
      </c>
      <c r="R211" s="7">
        <f t="shared" si="88"/>
        <v>0</v>
      </c>
      <c r="S211" s="7">
        <f t="shared" si="88"/>
        <v>0</v>
      </c>
      <c r="T211" s="7">
        <f t="shared" si="88"/>
        <v>0</v>
      </c>
      <c r="U211" s="7">
        <f t="shared" si="88"/>
        <v>0</v>
      </c>
      <c r="V211" s="7">
        <f t="shared" si="88"/>
        <v>0</v>
      </c>
      <c r="W211" s="7">
        <f t="shared" si="88"/>
        <v>0</v>
      </c>
      <c r="X211" s="7">
        <f t="shared" si="88"/>
        <v>0</v>
      </c>
      <c r="Y211" s="7">
        <f t="shared" si="88"/>
        <v>0</v>
      </c>
      <c r="Z211" s="7">
        <f t="shared" si="88"/>
        <v>0</v>
      </c>
      <c r="AA211" s="7">
        <f t="shared" si="88"/>
        <v>0</v>
      </c>
      <c r="AB211" s="7">
        <f t="shared" si="88"/>
        <v>0</v>
      </c>
      <c r="AC211" s="7">
        <f t="shared" si="88"/>
        <v>0</v>
      </c>
      <c r="AD211" s="7">
        <f t="shared" si="88"/>
        <v>0</v>
      </c>
      <c r="AE211" s="7">
        <f t="shared" si="88"/>
        <v>0</v>
      </c>
      <c r="AF211" s="7">
        <f t="shared" si="88"/>
        <v>0</v>
      </c>
      <c r="AG211" s="7">
        <f t="shared" si="88"/>
        <v>0</v>
      </c>
      <c r="AH211" s="7">
        <f t="shared" si="88"/>
        <v>0</v>
      </c>
      <c r="AI211" s="7">
        <f t="shared" si="88"/>
        <v>0</v>
      </c>
    </row>
    <row r="212" spans="1:36" hidden="1">
      <c r="B212" s="155" t="s">
        <v>187</v>
      </c>
      <c r="C212" s="8">
        <f>SUM(F212:AI212)</f>
        <v>20000000.000000004</v>
      </c>
      <c r="E212" s="156"/>
      <c r="F212" s="8">
        <f>IF(F$2-$F$2&lt;$C$208,$F$211/$C$208,0)</f>
        <v>333333.33333333331</v>
      </c>
      <c r="G212" s="8">
        <f>IF(G$2-$F$2&lt;$C$208,$F$211/$C$208,0)+IF(G$2-$G$2&lt;$C$208,$G$211/$C$208,0)</f>
        <v>666666.66666666663</v>
      </c>
      <c r="H212" s="8">
        <f>IF(H$2-$F$2&lt;$C$208,$F$211/$C$208,0)+IF(H$2-$G$2&lt;$C$208,$G$211/$C$208,0)+IF(H$2-$H$2&lt;$C$208,$H$211/$C$208,0)</f>
        <v>1000000</v>
      </c>
      <c r="I212" s="8">
        <f t="shared" ref="I212:AI212" si="89">IF(I$2-$F$2&lt;$C$208,$F$211/$C$208,0)+IF(I$2-$G$2&lt;$C$208,$G$211/$C$208,0)+IF(I$2-$H$2&lt;$C$208,$H$211/$C$208,0)+IF(I$2-$I$2&lt;$C$208,$I$211/$C$208,0)</f>
        <v>1333333.3333333333</v>
      </c>
      <c r="J212" s="8">
        <f t="shared" si="89"/>
        <v>1333333.3333333333</v>
      </c>
      <c r="K212" s="8">
        <f t="shared" si="89"/>
        <v>1333333.3333333333</v>
      </c>
      <c r="L212" s="8">
        <f t="shared" si="89"/>
        <v>1333333.3333333333</v>
      </c>
      <c r="M212" s="8">
        <f t="shared" si="89"/>
        <v>1333333.3333333333</v>
      </c>
      <c r="N212" s="8">
        <f t="shared" si="89"/>
        <v>1333333.3333333333</v>
      </c>
      <c r="O212" s="8">
        <f t="shared" si="89"/>
        <v>1333333.3333333333</v>
      </c>
      <c r="P212" s="8">
        <f t="shared" si="89"/>
        <v>1333333.3333333333</v>
      </c>
      <c r="Q212" s="8">
        <f t="shared" si="89"/>
        <v>1333333.3333333333</v>
      </c>
      <c r="R212" s="8">
        <f t="shared" si="89"/>
        <v>1333333.3333333333</v>
      </c>
      <c r="S212" s="8">
        <f t="shared" si="89"/>
        <v>1333333.3333333333</v>
      </c>
      <c r="T212" s="8">
        <f t="shared" si="89"/>
        <v>1333333.3333333333</v>
      </c>
      <c r="U212" s="8">
        <f t="shared" si="89"/>
        <v>1000000</v>
      </c>
      <c r="V212" s="8">
        <f t="shared" si="89"/>
        <v>666666.66666666663</v>
      </c>
      <c r="W212" s="8">
        <f t="shared" si="89"/>
        <v>333333.33333333331</v>
      </c>
      <c r="X212" s="7">
        <f t="shared" si="89"/>
        <v>0</v>
      </c>
      <c r="Y212" s="7">
        <f t="shared" si="89"/>
        <v>0</v>
      </c>
      <c r="Z212" s="7">
        <f t="shared" si="89"/>
        <v>0</v>
      </c>
      <c r="AA212" s="7">
        <f t="shared" si="89"/>
        <v>0</v>
      </c>
      <c r="AB212" s="7">
        <f t="shared" si="89"/>
        <v>0</v>
      </c>
      <c r="AC212" s="7">
        <f t="shared" si="89"/>
        <v>0</v>
      </c>
      <c r="AD212" s="7">
        <f t="shared" si="89"/>
        <v>0</v>
      </c>
      <c r="AE212" s="7">
        <f t="shared" si="89"/>
        <v>0</v>
      </c>
      <c r="AF212" s="7">
        <f t="shared" si="89"/>
        <v>0</v>
      </c>
      <c r="AG212" s="7">
        <f t="shared" si="89"/>
        <v>0</v>
      </c>
      <c r="AH212" s="7">
        <f t="shared" si="89"/>
        <v>0</v>
      </c>
      <c r="AI212" s="7">
        <f t="shared" si="89"/>
        <v>0</v>
      </c>
    </row>
    <row r="213" spans="1:36" hidden="1">
      <c r="B213" s="155" t="s">
        <v>188</v>
      </c>
      <c r="C213" s="158"/>
      <c r="E213" s="8"/>
      <c r="F213" s="8">
        <f>F211</f>
        <v>5000000</v>
      </c>
      <c r="G213" s="8">
        <f>F213+G211-F212</f>
        <v>9666666.666666666</v>
      </c>
      <c r="H213" s="8">
        <f t="shared" ref="H213:AI213" si="90">G213+H211-G212</f>
        <v>14000000</v>
      </c>
      <c r="I213" s="8">
        <f t="shared" si="90"/>
        <v>18000000</v>
      </c>
      <c r="J213" s="8">
        <f t="shared" si="90"/>
        <v>16666666.666666666</v>
      </c>
      <c r="K213" s="8">
        <f t="shared" si="90"/>
        <v>15333333.333333332</v>
      </c>
      <c r="L213" s="8">
        <f t="shared" si="90"/>
        <v>13999999.999999998</v>
      </c>
      <c r="M213" s="8">
        <f t="shared" si="90"/>
        <v>12666666.666666664</v>
      </c>
      <c r="N213" s="8">
        <f t="shared" si="90"/>
        <v>11333333.33333333</v>
      </c>
      <c r="O213" s="8">
        <f t="shared" si="90"/>
        <v>9999999.9999999963</v>
      </c>
      <c r="P213" s="8">
        <f t="shared" si="90"/>
        <v>8666666.6666666623</v>
      </c>
      <c r="Q213" s="8">
        <f t="shared" si="90"/>
        <v>7333333.3333333293</v>
      </c>
      <c r="R213" s="8">
        <f t="shared" si="90"/>
        <v>5999999.9999999963</v>
      </c>
      <c r="S213" s="8">
        <f t="shared" si="90"/>
        <v>4666666.6666666633</v>
      </c>
      <c r="T213" s="8">
        <f t="shared" si="90"/>
        <v>3333333.3333333302</v>
      </c>
      <c r="U213" s="8">
        <f t="shared" si="90"/>
        <v>1999999.999999997</v>
      </c>
      <c r="V213" s="8">
        <f t="shared" si="90"/>
        <v>999999.99999999697</v>
      </c>
      <c r="W213" s="8">
        <f t="shared" si="90"/>
        <v>333333.33333333035</v>
      </c>
      <c r="X213" s="7">
        <f t="shared" si="90"/>
        <v>-2.9685907065868378E-9</v>
      </c>
      <c r="Y213" s="7">
        <f t="shared" si="90"/>
        <v>-2.9685907065868378E-9</v>
      </c>
      <c r="Z213" s="7">
        <f t="shared" si="90"/>
        <v>-2.9685907065868378E-9</v>
      </c>
      <c r="AA213" s="7">
        <f t="shared" si="90"/>
        <v>-2.9685907065868378E-9</v>
      </c>
      <c r="AB213" s="7">
        <f t="shared" si="90"/>
        <v>-2.9685907065868378E-9</v>
      </c>
      <c r="AC213" s="7">
        <f t="shared" si="90"/>
        <v>-2.9685907065868378E-9</v>
      </c>
      <c r="AD213" s="7">
        <f t="shared" si="90"/>
        <v>-2.9685907065868378E-9</v>
      </c>
      <c r="AE213" s="7">
        <f t="shared" si="90"/>
        <v>-2.9685907065868378E-9</v>
      </c>
      <c r="AF213" s="7">
        <f t="shared" si="90"/>
        <v>-2.9685907065868378E-9</v>
      </c>
      <c r="AG213" s="7">
        <f t="shared" si="90"/>
        <v>-2.9685907065868378E-9</v>
      </c>
      <c r="AH213" s="7">
        <f t="shared" si="90"/>
        <v>-2.9685907065868378E-9</v>
      </c>
      <c r="AI213" s="7">
        <f t="shared" si="90"/>
        <v>-2.9685907065868378E-9</v>
      </c>
    </row>
    <row r="214" spans="1:36" hidden="1">
      <c r="B214" s="155" t="s">
        <v>189</v>
      </c>
      <c r="C214" s="158"/>
      <c r="E214" s="8"/>
      <c r="F214" s="8">
        <f>F211-F212</f>
        <v>4666666.666666667</v>
      </c>
      <c r="G214" s="8">
        <f>F214+G211-G212</f>
        <v>9000000.0000000019</v>
      </c>
      <c r="H214" s="8">
        <f t="shared" ref="H214:AI214" si="91">G214+H211-H212</f>
        <v>13000000.000000002</v>
      </c>
      <c r="I214" s="8">
        <f t="shared" si="91"/>
        <v>16666666.666666666</v>
      </c>
      <c r="J214" s="8">
        <f t="shared" si="91"/>
        <v>15333333.333333332</v>
      </c>
      <c r="K214" s="8">
        <f t="shared" si="91"/>
        <v>13999999.999999998</v>
      </c>
      <c r="L214" s="8">
        <f t="shared" si="91"/>
        <v>12666666.666666664</v>
      </c>
      <c r="M214" s="8">
        <f t="shared" si="91"/>
        <v>11333333.33333333</v>
      </c>
      <c r="N214" s="8">
        <f t="shared" si="91"/>
        <v>9999999.9999999963</v>
      </c>
      <c r="O214" s="8">
        <f t="shared" si="91"/>
        <v>8666666.6666666623</v>
      </c>
      <c r="P214" s="8">
        <f t="shared" si="91"/>
        <v>7333333.3333333293</v>
      </c>
      <c r="Q214" s="8">
        <f t="shared" si="91"/>
        <v>5999999.9999999963</v>
      </c>
      <c r="R214" s="8">
        <f t="shared" si="91"/>
        <v>4666666.6666666633</v>
      </c>
      <c r="S214" s="8">
        <f t="shared" si="91"/>
        <v>3333333.3333333302</v>
      </c>
      <c r="T214" s="8">
        <f t="shared" si="91"/>
        <v>1999999.999999997</v>
      </c>
      <c r="U214" s="8">
        <f t="shared" si="91"/>
        <v>999999.99999999697</v>
      </c>
      <c r="V214" s="8">
        <f t="shared" si="91"/>
        <v>333333.33333333035</v>
      </c>
      <c r="W214" s="8">
        <f t="shared" si="91"/>
        <v>-2.9685907065868378E-9</v>
      </c>
      <c r="X214" s="7">
        <f t="shared" si="91"/>
        <v>-2.9685907065868378E-9</v>
      </c>
      <c r="Y214" s="7">
        <f t="shared" si="91"/>
        <v>-2.9685907065868378E-9</v>
      </c>
      <c r="Z214" s="7">
        <f t="shared" si="91"/>
        <v>-2.9685907065868378E-9</v>
      </c>
      <c r="AA214" s="7">
        <f t="shared" si="91"/>
        <v>-2.9685907065868378E-9</v>
      </c>
      <c r="AB214" s="7">
        <f t="shared" si="91"/>
        <v>-2.9685907065868378E-9</v>
      </c>
      <c r="AC214" s="7">
        <f t="shared" si="91"/>
        <v>-2.9685907065868378E-9</v>
      </c>
      <c r="AD214" s="7">
        <f t="shared" si="91"/>
        <v>-2.9685907065868378E-9</v>
      </c>
      <c r="AE214" s="7">
        <f t="shared" si="91"/>
        <v>-2.9685907065868378E-9</v>
      </c>
      <c r="AF214" s="7">
        <f t="shared" si="91"/>
        <v>-2.9685907065868378E-9</v>
      </c>
      <c r="AG214" s="7">
        <f t="shared" si="91"/>
        <v>-2.9685907065868378E-9</v>
      </c>
      <c r="AH214" s="7">
        <f t="shared" si="91"/>
        <v>-2.9685907065868378E-9</v>
      </c>
      <c r="AI214" s="7">
        <f t="shared" si="91"/>
        <v>-2.9685907065868378E-9</v>
      </c>
    </row>
    <row r="215" spans="1:36" ht="29.25" hidden="1" customHeight="1">
      <c r="A215" s="338" t="s">
        <v>190</v>
      </c>
      <c r="B215" s="338"/>
      <c r="C215" s="214"/>
      <c r="E215" s="7"/>
      <c r="F215" s="8">
        <f>(AVERAGE(F213)*$C$70)+F212</f>
        <v>715749.08348896727</v>
      </c>
      <c r="G215" s="8">
        <f t="shared" ref="G215:AI215" si="92">(AVERAGE(G213)*$C$70)+G212</f>
        <v>1406003.7836342256</v>
      </c>
      <c r="H215" s="8">
        <f t="shared" si="92"/>
        <v>2070764.1004357752</v>
      </c>
      <c r="I215" s="8">
        <f t="shared" si="92"/>
        <v>2710030.0338936155</v>
      </c>
      <c r="J215" s="8">
        <f t="shared" si="92"/>
        <v>2608052.5005187797</v>
      </c>
      <c r="K215" s="8">
        <f t="shared" si="92"/>
        <v>2506074.967143944</v>
      </c>
      <c r="L215" s="8">
        <f t="shared" si="92"/>
        <v>2404097.4337691083</v>
      </c>
      <c r="M215" s="8">
        <f t="shared" si="92"/>
        <v>2302119.9003942725</v>
      </c>
      <c r="N215" s="8">
        <f t="shared" si="92"/>
        <v>2200142.3670194368</v>
      </c>
      <c r="O215" s="8">
        <f t="shared" si="92"/>
        <v>2098164.8336446011</v>
      </c>
      <c r="P215" s="8">
        <f t="shared" si="92"/>
        <v>1996187.3002697653</v>
      </c>
      <c r="Q215" s="8">
        <f t="shared" si="92"/>
        <v>1894209.7668949296</v>
      </c>
      <c r="R215" s="8">
        <f t="shared" si="92"/>
        <v>1792232.2335200938</v>
      </c>
      <c r="S215" s="8">
        <f t="shared" si="92"/>
        <v>1690254.7001452581</v>
      </c>
      <c r="T215" s="8">
        <f t="shared" si="92"/>
        <v>1588277.1667704224</v>
      </c>
      <c r="U215" s="8">
        <f t="shared" si="92"/>
        <v>1152966.3000622534</v>
      </c>
      <c r="V215" s="8">
        <f t="shared" si="92"/>
        <v>743149.8166977932</v>
      </c>
      <c r="W215" s="8">
        <f t="shared" si="92"/>
        <v>358827.71667704202</v>
      </c>
      <c r="X215" s="7">
        <f t="shared" si="92"/>
        <v>-2.2704716839288983E-10</v>
      </c>
      <c r="Y215" s="7">
        <f t="shared" si="92"/>
        <v>-2.2704716839288983E-10</v>
      </c>
      <c r="Z215" s="7">
        <f t="shared" si="92"/>
        <v>-2.2704716839288983E-10</v>
      </c>
      <c r="AA215" s="7">
        <f t="shared" si="92"/>
        <v>-2.2704716839288983E-10</v>
      </c>
      <c r="AB215" s="7">
        <f t="shared" si="92"/>
        <v>-2.2704716839288983E-10</v>
      </c>
      <c r="AC215" s="7">
        <f t="shared" si="92"/>
        <v>-2.2704716839288983E-10</v>
      </c>
      <c r="AD215" s="7">
        <f t="shared" si="92"/>
        <v>-2.2704716839288983E-10</v>
      </c>
      <c r="AE215" s="7">
        <f t="shared" si="92"/>
        <v>-2.2704716839288983E-10</v>
      </c>
      <c r="AF215" s="7">
        <f t="shared" si="92"/>
        <v>-2.2704716839288983E-10</v>
      </c>
      <c r="AG215" s="7">
        <f t="shared" si="92"/>
        <v>-2.2704716839288983E-10</v>
      </c>
      <c r="AH215" s="7">
        <f t="shared" si="92"/>
        <v>-2.2704716839288983E-10</v>
      </c>
      <c r="AI215" s="7">
        <f t="shared" si="92"/>
        <v>-2.2704716839288983E-10</v>
      </c>
    </row>
    <row r="216" spans="1:36" hidden="1">
      <c r="A216" s="179"/>
      <c r="B216" s="179" t="s">
        <v>241</v>
      </c>
      <c r="C216" s="213">
        <f>IRR(E216:W216)</f>
        <v>7.6483150031126934E-2</v>
      </c>
      <c r="E216" s="7">
        <f>-F211+E215</f>
        <v>-5000000</v>
      </c>
      <c r="F216" s="7">
        <f t="shared" ref="F216:G216" si="93">-G211+F215</f>
        <v>-4284250.9165110327</v>
      </c>
      <c r="G216" s="7">
        <f t="shared" si="93"/>
        <v>-3593996.2163657742</v>
      </c>
      <c r="H216" s="7">
        <f>-I211+H215</f>
        <v>-2929235.8995642248</v>
      </c>
      <c r="I216" s="7">
        <f t="shared" ref="I216:AI216" si="94">-J211+I215</f>
        <v>2710030.0338936155</v>
      </c>
      <c r="J216" s="7">
        <f t="shared" si="94"/>
        <v>2608052.5005187797</v>
      </c>
      <c r="K216" s="7">
        <f t="shared" si="94"/>
        <v>2506074.967143944</v>
      </c>
      <c r="L216" s="7">
        <f t="shared" si="94"/>
        <v>2404097.4337691083</v>
      </c>
      <c r="M216" s="7">
        <f t="shared" si="94"/>
        <v>2302119.9003942725</v>
      </c>
      <c r="N216" s="7">
        <f t="shared" si="94"/>
        <v>2200142.3670194368</v>
      </c>
      <c r="O216" s="7">
        <f t="shared" si="94"/>
        <v>2098164.8336446011</v>
      </c>
      <c r="P216" s="7">
        <f t="shared" si="94"/>
        <v>1996187.3002697653</v>
      </c>
      <c r="Q216" s="7">
        <f t="shared" si="94"/>
        <v>1894209.7668949296</v>
      </c>
      <c r="R216" s="7">
        <f t="shared" si="94"/>
        <v>1792232.2335200938</v>
      </c>
      <c r="S216" s="7">
        <f t="shared" si="94"/>
        <v>1690254.7001452581</v>
      </c>
      <c r="T216" s="7">
        <f t="shared" si="94"/>
        <v>1588277.1667704224</v>
      </c>
      <c r="U216" s="7">
        <f t="shared" si="94"/>
        <v>1152966.3000622534</v>
      </c>
      <c r="V216" s="7">
        <f t="shared" si="94"/>
        <v>743149.8166977932</v>
      </c>
      <c r="W216" s="7">
        <f t="shared" si="94"/>
        <v>358827.71667704202</v>
      </c>
      <c r="X216" s="7">
        <f t="shared" si="94"/>
        <v>-2.2704716839288983E-10</v>
      </c>
      <c r="Y216" s="7">
        <f t="shared" si="94"/>
        <v>-2.2704716839288983E-10</v>
      </c>
      <c r="Z216" s="7">
        <f t="shared" si="94"/>
        <v>-2.2704716839288983E-10</v>
      </c>
      <c r="AA216" s="7">
        <f t="shared" si="94"/>
        <v>-2.2704716839288983E-10</v>
      </c>
      <c r="AB216" s="7">
        <f t="shared" si="94"/>
        <v>-2.2704716839288983E-10</v>
      </c>
      <c r="AC216" s="7">
        <f t="shared" si="94"/>
        <v>-2.2704716839288983E-10</v>
      </c>
      <c r="AD216" s="7">
        <f t="shared" si="94"/>
        <v>-2.2704716839288983E-10</v>
      </c>
      <c r="AE216" s="7">
        <f t="shared" si="94"/>
        <v>-2.2704716839288983E-10</v>
      </c>
      <c r="AF216" s="7">
        <f t="shared" si="94"/>
        <v>-2.2704716839288983E-10</v>
      </c>
      <c r="AG216" s="7">
        <f t="shared" si="94"/>
        <v>-2.2704716839288983E-10</v>
      </c>
      <c r="AH216" s="7">
        <f t="shared" si="94"/>
        <v>-2.2704716839288983E-10</v>
      </c>
      <c r="AI216" s="7">
        <f t="shared" si="94"/>
        <v>-2.2704716839288983E-10</v>
      </c>
    </row>
    <row r="217" spans="1:36" hidden="1">
      <c r="B217" s="153"/>
    </row>
    <row r="218" spans="1:36" hidden="1">
      <c r="B218" s="153" t="s">
        <v>192</v>
      </c>
      <c r="E218" s="8">
        <f>E211+E$44</f>
        <v>3449794.878</v>
      </c>
      <c r="F218" s="8">
        <f>F211+F$44</f>
        <v>8462577.5559999999</v>
      </c>
      <c r="G218" s="8">
        <f t="shared" ref="G218:AI218" si="95">G211+G$44</f>
        <v>8480751.8339999989</v>
      </c>
      <c r="H218" s="8">
        <f t="shared" si="95"/>
        <v>8505752.4519999996</v>
      </c>
      <c r="I218" s="8">
        <f t="shared" si="95"/>
        <v>8529760.8370000012</v>
      </c>
      <c r="J218" s="8">
        <f t="shared" si="95"/>
        <v>3534835.3612207612</v>
      </c>
      <c r="K218" s="8">
        <f t="shared" si="95"/>
        <v>3536335.3253917638</v>
      </c>
      <c r="L218" s="8">
        <f t="shared" si="95"/>
        <v>3537708.3309970489</v>
      </c>
      <c r="M218" s="8">
        <f t="shared" si="95"/>
        <v>3538955.3246062137</v>
      </c>
      <c r="N218" s="8">
        <f t="shared" si="95"/>
        <v>3540077.2405146742</v>
      </c>
      <c r="O218" s="8">
        <f t="shared" si="95"/>
        <v>3541075.0010166662</v>
      </c>
      <c r="P218" s="8">
        <f t="shared" si="95"/>
        <v>3536797.7435140554</v>
      </c>
      <c r="Q218" s="8">
        <f t="shared" si="95"/>
        <v>3532425.4758256553</v>
      </c>
      <c r="R218" s="8">
        <f t="shared" si="95"/>
        <v>3527958.8361025024</v>
      </c>
      <c r="S218" s="8">
        <f t="shared" si="95"/>
        <v>3523398.4567675143</v>
      </c>
      <c r="T218" s="8">
        <f t="shared" si="95"/>
        <v>3518744.9646147275</v>
      </c>
      <c r="U218" s="8">
        <f t="shared" si="95"/>
        <v>3513998.9809062602</v>
      </c>
      <c r="V218" s="8">
        <f t="shared" si="95"/>
        <v>3509161.1214671088</v>
      </c>
      <c r="W218" s="8">
        <f t="shared" si="95"/>
        <v>3504231.996777813</v>
      </c>
      <c r="X218" s="8">
        <f t="shared" si="95"/>
        <v>3499212.2120650569</v>
      </c>
      <c r="Y218" s="8">
        <f t="shared" si="95"/>
        <v>3494102.3673902769</v>
      </c>
      <c r="Z218" s="8">
        <f t="shared" si="95"/>
        <v>3488903.0577363074</v>
      </c>
      <c r="AA218" s="8">
        <f t="shared" si="95"/>
        <v>3483614.8730921485</v>
      </c>
      <c r="AB218" s="8">
        <f t="shared" si="95"/>
        <v>3478238.3985358803</v>
      </c>
      <c r="AC218" s="8">
        <f t="shared" si="95"/>
        <v>3472774.2143157935</v>
      </c>
      <c r="AD218" s="8">
        <f t="shared" si="95"/>
        <v>3467222.8959297827</v>
      </c>
      <c r="AE218" s="8">
        <f t="shared" si="95"/>
        <v>3461585.0142030409</v>
      </c>
      <c r="AF218" s="8">
        <f t="shared" si="95"/>
        <v>3455861.1353641059</v>
      </c>
      <c r="AG218" s="8">
        <f t="shared" si="95"/>
        <v>3450051.821119315</v>
      </c>
      <c r="AH218" s="8">
        <f t="shared" si="95"/>
        <v>3444157.6287256833</v>
      </c>
      <c r="AI218" s="8">
        <f t="shared" si="95"/>
        <v>3438179.1110622864</v>
      </c>
    </row>
    <row r="219" spans="1:36" hidden="1">
      <c r="B219" s="153" t="s">
        <v>193</v>
      </c>
      <c r="E219" s="8">
        <f>E$44+E215</f>
        <v>3449794.878</v>
      </c>
      <c r="F219" s="8">
        <f>F$44+F215</f>
        <v>4178326.6394889676</v>
      </c>
      <c r="G219" s="8">
        <f t="shared" ref="G219:AI219" si="96">G$44+G215</f>
        <v>4886755.6176342256</v>
      </c>
      <c r="H219" s="8">
        <f t="shared" si="96"/>
        <v>5576516.5524357744</v>
      </c>
      <c r="I219" s="8">
        <f t="shared" si="96"/>
        <v>6239790.8708936162</v>
      </c>
      <c r="J219" s="8">
        <f t="shared" si="96"/>
        <v>6142887.8617395405</v>
      </c>
      <c r="K219" s="8">
        <f t="shared" si="96"/>
        <v>6042410.2925357074</v>
      </c>
      <c r="L219" s="8">
        <f t="shared" si="96"/>
        <v>5941805.7647661567</v>
      </c>
      <c r="M219" s="8">
        <f t="shared" si="96"/>
        <v>5841075.2250004858</v>
      </c>
      <c r="N219" s="8">
        <f t="shared" si="96"/>
        <v>5740219.6075341105</v>
      </c>
      <c r="O219" s="8">
        <f t="shared" si="96"/>
        <v>5639239.8346612677</v>
      </c>
      <c r="P219" s="8">
        <f t="shared" si="96"/>
        <v>5532985.0437838212</v>
      </c>
      <c r="Q219" s="8">
        <f t="shared" si="96"/>
        <v>5426635.2427205853</v>
      </c>
      <c r="R219" s="8">
        <f t="shared" si="96"/>
        <v>5320191.0696225967</v>
      </c>
      <c r="S219" s="8">
        <f t="shared" si="96"/>
        <v>5213653.156912772</v>
      </c>
      <c r="T219" s="8">
        <f t="shared" si="96"/>
        <v>5107022.1313851494</v>
      </c>
      <c r="U219" s="8">
        <f t="shared" si="96"/>
        <v>4666965.2809685133</v>
      </c>
      <c r="V219" s="8">
        <f t="shared" si="96"/>
        <v>4252310.9381649019</v>
      </c>
      <c r="W219" s="8">
        <f t="shared" si="96"/>
        <v>3863059.7134548551</v>
      </c>
      <c r="X219" s="8">
        <f t="shared" si="96"/>
        <v>3499212.2120650569</v>
      </c>
      <c r="Y219" s="8">
        <f t="shared" si="96"/>
        <v>3494102.3673902769</v>
      </c>
      <c r="Z219" s="8">
        <f t="shared" si="96"/>
        <v>3488903.0577363074</v>
      </c>
      <c r="AA219" s="8">
        <f t="shared" si="96"/>
        <v>3483614.8730921485</v>
      </c>
      <c r="AB219" s="8">
        <f t="shared" si="96"/>
        <v>3478238.3985358803</v>
      </c>
      <c r="AC219" s="8">
        <f t="shared" si="96"/>
        <v>3472774.2143157935</v>
      </c>
      <c r="AD219" s="8">
        <f t="shared" si="96"/>
        <v>3467222.8959297827</v>
      </c>
      <c r="AE219" s="8">
        <f t="shared" si="96"/>
        <v>3461585.0142030409</v>
      </c>
      <c r="AF219" s="8">
        <f t="shared" si="96"/>
        <v>3455861.1353641059</v>
      </c>
      <c r="AG219" s="8">
        <f t="shared" si="96"/>
        <v>3450051.821119315</v>
      </c>
      <c r="AH219" s="8">
        <f t="shared" si="96"/>
        <v>3444157.6287256833</v>
      </c>
      <c r="AI219" s="8">
        <f t="shared" si="96"/>
        <v>3438179.1110622864</v>
      </c>
    </row>
    <row r="220" spans="1:36" hidden="1">
      <c r="B220" s="153"/>
    </row>
    <row r="221" spans="1:36" hidden="1">
      <c r="B221" s="135" t="s">
        <v>141</v>
      </c>
      <c r="E221" s="7">
        <f t="shared" ref="E221:AI221" si="97">E$219*$D$38</f>
        <v>1886585.2800000003</v>
      </c>
      <c r="F221" s="7">
        <f t="shared" si="97"/>
        <v>2284996.590191979</v>
      </c>
      <c r="G221" s="7">
        <f t="shared" si="97"/>
        <v>2672414.3148275726</v>
      </c>
      <c r="H221" s="7">
        <f t="shared" si="97"/>
        <v>3049623.0684883292</v>
      </c>
      <c r="I221" s="7">
        <f t="shared" si="97"/>
        <v>3412347.1173251239</v>
      </c>
      <c r="J221" s="7">
        <f t="shared" si="97"/>
        <v>3359353.8823291431</v>
      </c>
      <c r="K221" s="7">
        <f t="shared" si="97"/>
        <v>3304405.8318699724</v>
      </c>
      <c r="L221" s="7">
        <f t="shared" si="97"/>
        <v>3249388.3517288286</v>
      </c>
      <c r="M221" s="7">
        <f t="shared" si="97"/>
        <v>3194301.9595551169</v>
      </c>
      <c r="N221" s="7">
        <f t="shared" si="97"/>
        <v>3139147.1662858767</v>
      </c>
      <c r="O221" s="7">
        <f t="shared" si="97"/>
        <v>3083924.4762950749</v>
      </c>
      <c r="P221" s="7">
        <f t="shared" si="97"/>
        <v>3025817.0433931272</v>
      </c>
      <c r="Q221" s="7">
        <f t="shared" si="97"/>
        <v>2967657.652382277</v>
      </c>
      <c r="R221" s="7">
        <f t="shared" si="97"/>
        <v>2909446.6522474345</v>
      </c>
      <c r="S221" s="7">
        <f t="shared" si="97"/>
        <v>2851184.388840978</v>
      </c>
      <c r="T221" s="7">
        <f t="shared" si="97"/>
        <v>2792871.2049370287</v>
      </c>
      <c r="U221" s="7">
        <f t="shared" si="97"/>
        <v>2552217.8311223821</v>
      </c>
      <c r="V221" s="7">
        <f t="shared" si="97"/>
        <v>2325456.2968612812</v>
      </c>
      <c r="W221" s="7">
        <f t="shared" si="97"/>
        <v>2112586.9360065032</v>
      </c>
      <c r="X221" s="7">
        <f t="shared" si="97"/>
        <v>1913610.0795376552</v>
      </c>
      <c r="Y221" s="7">
        <f t="shared" si="97"/>
        <v>1910815.6647717212</v>
      </c>
      <c r="Z221" s="7">
        <f t="shared" si="97"/>
        <v>1907972.3243975169</v>
      </c>
      <c r="AA221" s="7">
        <f t="shared" si="97"/>
        <v>1905080.3810616347</v>
      </c>
      <c r="AB221" s="7">
        <f t="shared" si="97"/>
        <v>1902140.1547250387</v>
      </c>
      <c r="AC221" s="7">
        <f t="shared" si="97"/>
        <v>1899151.9627074308</v>
      </c>
      <c r="AD221" s="7">
        <f t="shared" si="97"/>
        <v>1896116.11973067</v>
      </c>
      <c r="AE221" s="7">
        <f t="shared" si="97"/>
        <v>1893032.9379612606</v>
      </c>
      <c r="AF221" s="7">
        <f t="shared" si="97"/>
        <v>1889902.7270519387</v>
      </c>
      <c r="AG221" s="7">
        <f t="shared" si="97"/>
        <v>1886725.7941823907</v>
      </c>
      <c r="AH221" s="7">
        <f t="shared" si="97"/>
        <v>1883502.4440991068</v>
      </c>
      <c r="AI221" s="7">
        <f t="shared" si="97"/>
        <v>1880232.9791544189</v>
      </c>
      <c r="AJ221" s="7"/>
    </row>
    <row r="222" spans="1:36" hidden="1">
      <c r="B222" s="135" t="s">
        <v>142</v>
      </c>
      <c r="E222" s="156">
        <f t="shared" ref="E222:AI222" si="98">E$219*$D$39</f>
        <v>279614.06</v>
      </c>
      <c r="F222" s="156">
        <f t="shared" si="98"/>
        <v>338663.28781582316</v>
      </c>
      <c r="G222" s="156">
        <f t="shared" si="98"/>
        <v>396083.13734487299</v>
      </c>
      <c r="H222" s="156">
        <f t="shared" si="98"/>
        <v>451989.89766827802</v>
      </c>
      <c r="I222" s="156">
        <f t="shared" si="98"/>
        <v>505749.85489369137</v>
      </c>
      <c r="J222" s="156">
        <f t="shared" si="98"/>
        <v>497895.63608532655</v>
      </c>
      <c r="K222" s="156">
        <f t="shared" si="98"/>
        <v>489751.69070376729</v>
      </c>
      <c r="L222" s="156">
        <f t="shared" si="98"/>
        <v>481597.45502922911</v>
      </c>
      <c r="M222" s="156">
        <f t="shared" si="98"/>
        <v>473433.00578342361</v>
      </c>
      <c r="N222" s="156">
        <f t="shared" si="98"/>
        <v>465258.4186932111</v>
      </c>
      <c r="O222" s="156">
        <f t="shared" si="98"/>
        <v>457073.76851272769</v>
      </c>
      <c r="P222" s="156">
        <f t="shared" si="98"/>
        <v>448461.56560722674</v>
      </c>
      <c r="Q222" s="156">
        <f t="shared" si="98"/>
        <v>439841.66190074221</v>
      </c>
      <c r="R222" s="156">
        <f t="shared" si="98"/>
        <v>431214.10911692958</v>
      </c>
      <c r="S222" s="156">
        <f t="shared" si="98"/>
        <v>422578.95851516689</v>
      </c>
      <c r="T222" s="156">
        <f t="shared" si="98"/>
        <v>413936.26089859795</v>
      </c>
      <c r="U222" s="156">
        <f t="shared" si="98"/>
        <v>378268.60907370347</v>
      </c>
      <c r="V222" s="156">
        <f t="shared" si="98"/>
        <v>344659.89076197392</v>
      </c>
      <c r="W222" s="156">
        <f t="shared" si="98"/>
        <v>313110.15544430539</v>
      </c>
      <c r="X222" s="156">
        <f t="shared" si="98"/>
        <v>283619.45217575674</v>
      </c>
      <c r="Y222" s="156">
        <f t="shared" si="98"/>
        <v>283205.28714101907</v>
      </c>
      <c r="Z222" s="156">
        <f t="shared" si="98"/>
        <v>282783.87075744948</v>
      </c>
      <c r="AA222" s="156">
        <f t="shared" si="98"/>
        <v>282355.25084505626</v>
      </c>
      <c r="AB222" s="156">
        <f t="shared" si="98"/>
        <v>281919.47482580598</v>
      </c>
      <c r="AC222" s="156">
        <f t="shared" si="98"/>
        <v>281476.58973019931</v>
      </c>
      <c r="AD222" s="156">
        <f t="shared" si="98"/>
        <v>281026.64220370608</v>
      </c>
      <c r="AE222" s="156">
        <f t="shared" si="98"/>
        <v>280569.67851306254</v>
      </c>
      <c r="AF222" s="156">
        <f t="shared" si="98"/>
        <v>280105.74455243512</v>
      </c>
      <c r="AG222" s="156">
        <f t="shared" si="98"/>
        <v>279634.88584945526</v>
      </c>
      <c r="AH222" s="156">
        <f t="shared" si="98"/>
        <v>279157.14757112606</v>
      </c>
      <c r="AI222" s="156">
        <f t="shared" si="98"/>
        <v>278672.57452960854</v>
      </c>
      <c r="AJ222" s="156"/>
    </row>
    <row r="223" spans="1:36" hidden="1">
      <c r="B223" s="135" t="s">
        <v>143</v>
      </c>
      <c r="E223" s="156">
        <f t="shared" ref="E223:AI223" si="99">E$219*$D$40</f>
        <v>70339.80799999999</v>
      </c>
      <c r="F223" s="156">
        <f t="shared" si="99"/>
        <v>85194.251825583226</v>
      </c>
      <c r="G223" s="156">
        <f t="shared" si="99"/>
        <v>99638.808695371015</v>
      </c>
      <c r="H223" s="156">
        <f t="shared" si="99"/>
        <v>113702.73233014936</v>
      </c>
      <c r="I223" s="156">
        <f t="shared" si="99"/>
        <v>127226.60544770212</v>
      </c>
      <c r="J223" s="156">
        <f t="shared" si="99"/>
        <v>125250.79549390233</v>
      </c>
      <c r="K223" s="156">
        <f t="shared" si="99"/>
        <v>123202.1018248452</v>
      </c>
      <c r="L223" s="156">
        <f t="shared" si="99"/>
        <v>121150.81952618765</v>
      </c>
      <c r="M223" s="156">
        <f t="shared" si="99"/>
        <v>119096.96789806959</v>
      </c>
      <c r="N223" s="156">
        <f t="shared" si="99"/>
        <v>117040.56599036571</v>
      </c>
      <c r="O223" s="156">
        <f t="shared" si="99"/>
        <v>114981.63260825192</v>
      </c>
      <c r="P223" s="156">
        <f t="shared" si="99"/>
        <v>112815.14391726843</v>
      </c>
      <c r="Q223" s="156">
        <f t="shared" si="99"/>
        <v>110646.7180101713</v>
      </c>
      <c r="R223" s="156">
        <f t="shared" si="99"/>
        <v>108476.36789858091</v>
      </c>
      <c r="S223" s="156">
        <f t="shared" si="99"/>
        <v>106304.10647732377</v>
      </c>
      <c r="T223" s="156">
        <f t="shared" si="99"/>
        <v>104129.9465264561</v>
      </c>
      <c r="U223" s="156">
        <f t="shared" si="99"/>
        <v>95157.379906687667</v>
      </c>
      <c r="V223" s="156">
        <f t="shared" si="99"/>
        <v>86702.759301510858</v>
      </c>
      <c r="W223" s="156">
        <f t="shared" si="99"/>
        <v>78766.097158356759</v>
      </c>
      <c r="X223" s="156">
        <f t="shared" si="99"/>
        <v>71347.405817532592</v>
      </c>
      <c r="Y223" s="156">
        <f t="shared" si="99"/>
        <v>71243.218320581407</v>
      </c>
      <c r="Z223" s="156">
        <f t="shared" si="99"/>
        <v>71137.206671852662</v>
      </c>
      <c r="AA223" s="156">
        <f t="shared" si="99"/>
        <v>71029.382900963901</v>
      </c>
      <c r="AB223" s="156">
        <f t="shared" si="99"/>
        <v>70919.758937401159</v>
      </c>
      <c r="AC223" s="156">
        <f t="shared" si="99"/>
        <v>70808.346612173191</v>
      </c>
      <c r="AD223" s="156">
        <f t="shared" si="99"/>
        <v>70695.157659430231</v>
      </c>
      <c r="AE223" s="156">
        <f t="shared" si="99"/>
        <v>70580.203718048171</v>
      </c>
      <c r="AF223" s="156">
        <f t="shared" si="99"/>
        <v>70463.496333179137</v>
      </c>
      <c r="AG223" s="156">
        <f t="shared" si="99"/>
        <v>70345.046957769562</v>
      </c>
      <c r="AH223" s="156">
        <f t="shared" si="99"/>
        <v>70224.866954046127</v>
      </c>
      <c r="AI223" s="156">
        <f t="shared" si="99"/>
        <v>70102.967594971269</v>
      </c>
      <c r="AJ223" s="156"/>
    </row>
    <row r="224" spans="1:36" hidden="1">
      <c r="B224" s="135" t="s">
        <v>144</v>
      </c>
      <c r="E224" s="156">
        <f t="shared" ref="E224:AI224" si="100">E$219*$D$41</f>
        <v>248640.74999999997</v>
      </c>
      <c r="F224" s="156">
        <f t="shared" si="100"/>
        <v>301148.99758614472</v>
      </c>
      <c r="G224" s="156">
        <f t="shared" si="100"/>
        <v>352208.35580221622</v>
      </c>
      <c r="H224" s="156">
        <f t="shared" si="100"/>
        <v>401922.23219627759</v>
      </c>
      <c r="I224" s="156">
        <f t="shared" si="100"/>
        <v>449727.1104076762</v>
      </c>
      <c r="J224" s="156">
        <f t="shared" si="100"/>
        <v>442742.91635400115</v>
      </c>
      <c r="K224" s="156">
        <f t="shared" si="100"/>
        <v>435501.08921687532</v>
      </c>
      <c r="L224" s="156">
        <f t="shared" si="100"/>
        <v>428250.11165947374</v>
      </c>
      <c r="M224" s="156">
        <f t="shared" si="100"/>
        <v>420990.05190491775</v>
      </c>
      <c r="N224" s="156">
        <f t="shared" si="100"/>
        <v>413720.97729167849</v>
      </c>
      <c r="O224" s="156">
        <f t="shared" si="100"/>
        <v>406442.95429325337</v>
      </c>
      <c r="P224" s="156">
        <f t="shared" si="100"/>
        <v>398784.73928941583</v>
      </c>
      <c r="Q224" s="156">
        <f t="shared" si="100"/>
        <v>391119.67651500419</v>
      </c>
      <c r="R224" s="156">
        <f t="shared" si="100"/>
        <v>383447.81196415948</v>
      </c>
      <c r="S224" s="156">
        <f t="shared" si="100"/>
        <v>375769.191218174</v>
      </c>
      <c r="T224" s="156">
        <f t="shared" si="100"/>
        <v>368083.85945264366</v>
      </c>
      <c r="U224" s="156">
        <f t="shared" si="100"/>
        <v>336367.17217132228</v>
      </c>
      <c r="V224" s="156">
        <f t="shared" si="100"/>
        <v>306481.34694648493</v>
      </c>
      <c r="W224" s="156">
        <f t="shared" si="100"/>
        <v>278426.42777794751</v>
      </c>
      <c r="X224" s="156">
        <f t="shared" si="100"/>
        <v>252202.45828685898</v>
      </c>
      <c r="Y224" s="156">
        <f t="shared" si="100"/>
        <v>251834.17099522226</v>
      </c>
      <c r="Z224" s="156">
        <f t="shared" si="100"/>
        <v>251459.43559860799</v>
      </c>
      <c r="AA224" s="156">
        <f t="shared" si="100"/>
        <v>251078.29461992334</v>
      </c>
      <c r="AB224" s="156">
        <f t="shared" si="100"/>
        <v>250690.79022812558</v>
      </c>
      <c r="AC224" s="156">
        <f t="shared" si="100"/>
        <v>250296.96424406936</v>
      </c>
      <c r="AD224" s="156">
        <f t="shared" si="100"/>
        <v>249896.85814622891</v>
      </c>
      <c r="AE224" s="156">
        <f t="shared" si="100"/>
        <v>249490.51307629794</v>
      </c>
      <c r="AF224" s="156">
        <f t="shared" si="100"/>
        <v>249077.9698446705</v>
      </c>
      <c r="AG224" s="156">
        <f t="shared" si="100"/>
        <v>248659.26893580722</v>
      </c>
      <c r="AH224" s="156">
        <f t="shared" si="100"/>
        <v>248234.450513488</v>
      </c>
      <c r="AI224" s="156">
        <f t="shared" si="100"/>
        <v>247803.55442595683</v>
      </c>
      <c r="AJ224" s="156"/>
    </row>
    <row r="225" spans="2:36" hidden="1">
      <c r="B225" s="135" t="s">
        <v>145</v>
      </c>
      <c r="E225" s="156">
        <f t="shared" ref="E225:AI225" si="101">E$219*$D$42</f>
        <v>405502.18800000002</v>
      </c>
      <c r="F225" s="156">
        <f t="shared" si="101"/>
        <v>491136.61954119918</v>
      </c>
      <c r="G225" s="156">
        <f t="shared" si="101"/>
        <v>574408.0924373063</v>
      </c>
      <c r="H225" s="156">
        <f t="shared" si="101"/>
        <v>655485.25155846181</v>
      </c>
      <c r="I225" s="156">
        <f t="shared" si="101"/>
        <v>733449.07169573079</v>
      </c>
      <c r="J225" s="156">
        <f t="shared" si="101"/>
        <v>722058.71846448525</v>
      </c>
      <c r="K225" s="156">
        <f t="shared" si="101"/>
        <v>710248.19766601478</v>
      </c>
      <c r="L225" s="156">
        <f t="shared" si="101"/>
        <v>698422.75366833853</v>
      </c>
      <c r="M225" s="156">
        <f t="shared" si="101"/>
        <v>686582.49773489556</v>
      </c>
      <c r="N225" s="156">
        <f t="shared" si="101"/>
        <v>674727.53968637064</v>
      </c>
      <c r="O225" s="156">
        <f t="shared" si="101"/>
        <v>662857.98793278344</v>
      </c>
      <c r="P225" s="156">
        <f t="shared" si="101"/>
        <v>650368.39022914658</v>
      </c>
      <c r="Q225" s="156">
        <f t="shared" si="101"/>
        <v>637867.62466203317</v>
      </c>
      <c r="R225" s="156">
        <f t="shared" si="101"/>
        <v>625355.76624217583</v>
      </c>
      <c r="S225" s="156">
        <f t="shared" si="101"/>
        <v>612832.88930700195</v>
      </c>
      <c r="T225" s="156">
        <f t="shared" si="101"/>
        <v>600299.06753229909</v>
      </c>
      <c r="U225" s="156">
        <f t="shared" si="101"/>
        <v>548573.0890324451</v>
      </c>
      <c r="V225" s="156">
        <f t="shared" si="101"/>
        <v>499833.01919732295</v>
      </c>
      <c r="W225" s="156">
        <f t="shared" si="101"/>
        <v>454078.92978516873</v>
      </c>
      <c r="X225" s="156">
        <f t="shared" si="101"/>
        <v>411310.89193665981</v>
      </c>
      <c r="Y225" s="156">
        <f t="shared" si="101"/>
        <v>410710.26109649672</v>
      </c>
      <c r="Z225" s="156">
        <f t="shared" si="101"/>
        <v>410099.11419781606</v>
      </c>
      <c r="AA225" s="156">
        <f t="shared" si="101"/>
        <v>409477.52059019916</v>
      </c>
      <c r="AB225" s="156">
        <f t="shared" si="101"/>
        <v>408845.54904597881</v>
      </c>
      <c r="AC225" s="156">
        <f t="shared" si="101"/>
        <v>408203.26776977582</v>
      </c>
      <c r="AD225" s="156">
        <f t="shared" si="101"/>
        <v>407550.74440783117</v>
      </c>
      <c r="AE225" s="156">
        <f t="shared" si="101"/>
        <v>406888.04605713842</v>
      </c>
      <c r="AF225" s="156">
        <f t="shared" si="101"/>
        <v>406215.23927438247</v>
      </c>
      <c r="AG225" s="156">
        <f t="shared" si="101"/>
        <v>405532.39008469152</v>
      </c>
      <c r="AH225" s="156">
        <f t="shared" si="101"/>
        <v>404839.5639902032</v>
      </c>
      <c r="AI225" s="156">
        <f t="shared" si="101"/>
        <v>404136.82597845519</v>
      </c>
      <c r="AJ225" s="156"/>
    </row>
    <row r="226" spans="2:36" hidden="1">
      <c r="B226" s="135" t="s">
        <v>147</v>
      </c>
      <c r="E226" s="7">
        <f t="shared" ref="E226:AI226" si="102">E$219*$D$43</f>
        <v>559112.79200000002</v>
      </c>
      <c r="F226" s="7">
        <f t="shared" si="102"/>
        <v>677186.89252823859</v>
      </c>
      <c r="G226" s="7">
        <f t="shared" si="102"/>
        <v>792002.90852688672</v>
      </c>
      <c r="H226" s="7">
        <f t="shared" si="102"/>
        <v>903793.37019427854</v>
      </c>
      <c r="I226" s="7">
        <f t="shared" si="102"/>
        <v>1011291.1111236919</v>
      </c>
      <c r="J226" s="7">
        <f t="shared" si="102"/>
        <v>995585.91301268211</v>
      </c>
      <c r="K226" s="7">
        <f t="shared" si="102"/>
        <v>979301.38125423237</v>
      </c>
      <c r="L226" s="7">
        <f t="shared" si="102"/>
        <v>962996.27315409936</v>
      </c>
      <c r="M226" s="7">
        <f t="shared" si="102"/>
        <v>946670.7421240625</v>
      </c>
      <c r="N226" s="7">
        <f t="shared" si="102"/>
        <v>930324.93958660832</v>
      </c>
      <c r="O226" s="7">
        <f t="shared" si="102"/>
        <v>913959.01501917641</v>
      </c>
      <c r="P226" s="7">
        <f t="shared" si="102"/>
        <v>896738.1613476366</v>
      </c>
      <c r="Q226" s="7">
        <f t="shared" si="102"/>
        <v>879501.90925035754</v>
      </c>
      <c r="R226" s="7">
        <f t="shared" si="102"/>
        <v>862250.3621533165</v>
      </c>
      <c r="S226" s="7">
        <f t="shared" si="102"/>
        <v>844983.62255412736</v>
      </c>
      <c r="T226" s="7">
        <f t="shared" si="102"/>
        <v>827701.79203812405</v>
      </c>
      <c r="U226" s="7">
        <f t="shared" si="102"/>
        <v>756381.19966197305</v>
      </c>
      <c r="V226" s="7">
        <f t="shared" si="102"/>
        <v>689177.62509632832</v>
      </c>
      <c r="W226" s="7">
        <f t="shared" si="102"/>
        <v>626091.16728257376</v>
      </c>
      <c r="X226" s="7">
        <f t="shared" si="102"/>
        <v>567121.92431059375</v>
      </c>
      <c r="Y226" s="7">
        <f t="shared" si="102"/>
        <v>566293.76506523625</v>
      </c>
      <c r="Z226" s="7">
        <f t="shared" si="102"/>
        <v>565451.10611306434</v>
      </c>
      <c r="AA226" s="7">
        <f t="shared" si="102"/>
        <v>564594.04307437106</v>
      </c>
      <c r="AB226" s="7">
        <f t="shared" si="102"/>
        <v>563722.67077353015</v>
      </c>
      <c r="AC226" s="7">
        <f t="shared" si="102"/>
        <v>562837.08325214509</v>
      </c>
      <c r="AD226" s="7">
        <f t="shared" si="102"/>
        <v>561937.37378191622</v>
      </c>
      <c r="AE226" s="7">
        <f t="shared" si="102"/>
        <v>561023.63487723342</v>
      </c>
      <c r="AF226" s="7">
        <f t="shared" si="102"/>
        <v>560095.9583075</v>
      </c>
      <c r="AG226" s="7">
        <f t="shared" si="102"/>
        <v>559154.43510920089</v>
      </c>
      <c r="AH226" s="7">
        <f t="shared" si="102"/>
        <v>558199.15559771319</v>
      </c>
      <c r="AI226" s="7">
        <f t="shared" si="102"/>
        <v>557230.20937887568</v>
      </c>
      <c r="AJ226" s="7"/>
    </row>
    <row r="227" spans="2:36" hidden="1">
      <c r="B227" s="135" t="s">
        <v>201</v>
      </c>
      <c r="E227" s="203">
        <f>SUM(E221:E226)</f>
        <v>3449794.8780000005</v>
      </c>
      <c r="F227" s="203">
        <f>SUM(F221:F226)</f>
        <v>4178326.6394889681</v>
      </c>
      <c r="G227" s="203">
        <f t="shared" ref="G227:AI227" si="103">SUM(G221:G226)</f>
        <v>4886755.6176342256</v>
      </c>
      <c r="H227" s="203">
        <f t="shared" si="103"/>
        <v>5576516.5524357744</v>
      </c>
      <c r="I227" s="203">
        <f t="shared" si="103"/>
        <v>6239790.8708936172</v>
      </c>
      <c r="J227" s="203">
        <f t="shared" si="103"/>
        <v>6142887.8617395405</v>
      </c>
      <c r="K227" s="203">
        <f t="shared" si="103"/>
        <v>6042410.2925357074</v>
      </c>
      <c r="L227" s="203">
        <f t="shared" si="103"/>
        <v>5941805.7647661576</v>
      </c>
      <c r="M227" s="203">
        <f t="shared" si="103"/>
        <v>5841075.2250004858</v>
      </c>
      <c r="N227" s="203">
        <f t="shared" si="103"/>
        <v>5740219.6075341115</v>
      </c>
      <c r="O227" s="203">
        <f t="shared" si="103"/>
        <v>5639239.8346612677</v>
      </c>
      <c r="P227" s="203">
        <f t="shared" si="103"/>
        <v>5532985.0437838221</v>
      </c>
      <c r="Q227" s="203">
        <f t="shared" si="103"/>
        <v>5426635.2427205844</v>
      </c>
      <c r="R227" s="203">
        <f t="shared" si="103"/>
        <v>5320191.0696225977</v>
      </c>
      <c r="S227" s="203">
        <f t="shared" si="103"/>
        <v>5213653.156912772</v>
      </c>
      <c r="T227" s="203">
        <f t="shared" si="103"/>
        <v>5107022.1313851494</v>
      </c>
      <c r="U227" s="203">
        <f t="shared" si="103"/>
        <v>4666965.2809685143</v>
      </c>
      <c r="V227" s="203">
        <f t="shared" si="103"/>
        <v>4252310.9381649019</v>
      </c>
      <c r="W227" s="203">
        <f t="shared" si="103"/>
        <v>3863059.7134548551</v>
      </c>
      <c r="X227" s="203">
        <f t="shared" si="103"/>
        <v>3499212.2120650574</v>
      </c>
      <c r="Y227" s="203">
        <f t="shared" si="103"/>
        <v>3494102.3673902769</v>
      </c>
      <c r="Z227" s="203">
        <f t="shared" si="103"/>
        <v>3488903.0577363074</v>
      </c>
      <c r="AA227" s="203">
        <f t="shared" si="103"/>
        <v>3483614.8730921485</v>
      </c>
      <c r="AB227" s="203">
        <f t="shared" si="103"/>
        <v>3478238.3985358803</v>
      </c>
      <c r="AC227" s="203">
        <f t="shared" si="103"/>
        <v>3472774.2143157935</v>
      </c>
      <c r="AD227" s="203">
        <f t="shared" si="103"/>
        <v>3467222.8959297827</v>
      </c>
      <c r="AE227" s="203">
        <f t="shared" si="103"/>
        <v>3461585.0142030409</v>
      </c>
      <c r="AF227" s="203">
        <f t="shared" si="103"/>
        <v>3455861.1353641059</v>
      </c>
      <c r="AG227" s="203">
        <f t="shared" si="103"/>
        <v>3450051.8211193145</v>
      </c>
      <c r="AH227" s="203">
        <f t="shared" si="103"/>
        <v>3444157.6287256838</v>
      </c>
      <c r="AI227" s="203">
        <f t="shared" si="103"/>
        <v>3438179.1110622864</v>
      </c>
    </row>
    <row r="228" spans="2:36" hidden="1">
      <c r="E228" s="8">
        <f>E227-E219</f>
        <v>0</v>
      </c>
      <c r="F228" s="8">
        <f t="shared" ref="F228:AI228" si="104">F227-F219</f>
        <v>0</v>
      </c>
      <c r="G228" s="8">
        <f t="shared" si="104"/>
        <v>0</v>
      </c>
      <c r="H228" s="8">
        <f t="shared" si="104"/>
        <v>0</v>
      </c>
      <c r="I228" s="8">
        <f t="shared" si="104"/>
        <v>0</v>
      </c>
      <c r="J228" s="8">
        <f t="shared" si="104"/>
        <v>0</v>
      </c>
      <c r="K228" s="8">
        <f t="shared" si="104"/>
        <v>0</v>
      </c>
      <c r="L228" s="8">
        <f t="shared" si="104"/>
        <v>0</v>
      </c>
      <c r="M228" s="8">
        <f t="shared" si="104"/>
        <v>0</v>
      </c>
      <c r="N228" s="8">
        <f t="shared" si="104"/>
        <v>0</v>
      </c>
      <c r="O228" s="8">
        <f t="shared" si="104"/>
        <v>0</v>
      </c>
      <c r="P228" s="8">
        <f t="shared" si="104"/>
        <v>0</v>
      </c>
      <c r="Q228" s="8">
        <f t="shared" si="104"/>
        <v>0</v>
      </c>
      <c r="R228" s="8">
        <f t="shared" si="104"/>
        <v>0</v>
      </c>
      <c r="S228" s="8">
        <f t="shared" si="104"/>
        <v>0</v>
      </c>
      <c r="T228" s="8">
        <f t="shared" si="104"/>
        <v>0</v>
      </c>
      <c r="U228" s="8">
        <f t="shared" si="104"/>
        <v>0</v>
      </c>
      <c r="V228" s="8">
        <f t="shared" si="104"/>
        <v>0</v>
      </c>
      <c r="W228" s="8">
        <f t="shared" si="104"/>
        <v>0</v>
      </c>
      <c r="X228" s="8">
        <f t="shared" si="104"/>
        <v>0</v>
      </c>
      <c r="Y228" s="8">
        <f t="shared" si="104"/>
        <v>0</v>
      </c>
      <c r="Z228" s="8">
        <f t="shared" si="104"/>
        <v>0</v>
      </c>
      <c r="AA228" s="8">
        <f t="shared" si="104"/>
        <v>0</v>
      </c>
      <c r="AB228" s="8">
        <f t="shared" si="104"/>
        <v>0</v>
      </c>
      <c r="AC228" s="8">
        <f t="shared" si="104"/>
        <v>0</v>
      </c>
      <c r="AD228" s="8">
        <f t="shared" si="104"/>
        <v>0</v>
      </c>
      <c r="AE228" s="8">
        <f t="shared" si="104"/>
        <v>0</v>
      </c>
      <c r="AF228" s="8">
        <f t="shared" si="104"/>
        <v>0</v>
      </c>
      <c r="AG228" s="8">
        <f t="shared" si="104"/>
        <v>0</v>
      </c>
      <c r="AH228" s="8">
        <f t="shared" si="104"/>
        <v>0</v>
      </c>
      <c r="AI228" s="8">
        <f t="shared" si="104"/>
        <v>0</v>
      </c>
    </row>
    <row r="229" spans="2:36" hidden="1">
      <c r="B229" s="207" t="s">
        <v>233</v>
      </c>
      <c r="E229" s="7">
        <v>52964359.140356161</v>
      </c>
      <c r="F229" s="8">
        <f>E229+(F221-E221)</f>
        <v>53362770.450548142</v>
      </c>
      <c r="G229" s="8">
        <f t="shared" ref="G229:AI229" si="105">F229+(G221-F221)</f>
        <v>53750188.175183736</v>
      </c>
      <c r="H229" s="8">
        <f t="shared" si="105"/>
        <v>54127396.928844489</v>
      </c>
      <c r="I229" s="8">
        <f t="shared" si="105"/>
        <v>54490120.977681287</v>
      </c>
      <c r="J229" s="8">
        <f t="shared" si="105"/>
        <v>54437127.742685303</v>
      </c>
      <c r="K229" s="8">
        <f t="shared" si="105"/>
        <v>54382179.692226134</v>
      </c>
      <c r="L229" s="8">
        <f t="shared" si="105"/>
        <v>54327162.212084994</v>
      </c>
      <c r="M229" s="8">
        <f t="shared" si="105"/>
        <v>54272075.819911279</v>
      </c>
      <c r="N229" s="8">
        <f t="shared" si="105"/>
        <v>54216921.026642039</v>
      </c>
      <c r="O229" s="8">
        <f t="shared" si="105"/>
        <v>54161698.336651236</v>
      </c>
      <c r="P229" s="8">
        <f t="shared" si="105"/>
        <v>54103590.903749287</v>
      </c>
      <c r="Q229" s="8">
        <f t="shared" si="105"/>
        <v>54045431.512738436</v>
      </c>
      <c r="R229" s="8">
        <f t="shared" si="105"/>
        <v>53987220.512603596</v>
      </c>
      <c r="S229" s="8">
        <f t="shared" si="105"/>
        <v>53928958.24919714</v>
      </c>
      <c r="T229" s="8">
        <f t="shared" si="105"/>
        <v>53870645.065293193</v>
      </c>
      <c r="U229" s="8">
        <f t="shared" si="105"/>
        <v>53629991.691478543</v>
      </c>
      <c r="V229" s="8">
        <f t="shared" si="105"/>
        <v>53403230.157217443</v>
      </c>
      <c r="W229" s="8">
        <f t="shared" si="105"/>
        <v>53190360.796362668</v>
      </c>
      <c r="X229" s="8">
        <f t="shared" si="105"/>
        <v>52991383.939893819</v>
      </c>
      <c r="Y229" s="8">
        <f t="shared" si="105"/>
        <v>52988589.525127888</v>
      </c>
      <c r="Z229" s="8">
        <f t="shared" si="105"/>
        <v>52985746.184753686</v>
      </c>
      <c r="AA229" s="8">
        <f t="shared" si="105"/>
        <v>52982854.241417803</v>
      </c>
      <c r="AB229" s="8">
        <f t="shared" si="105"/>
        <v>52979914.015081204</v>
      </c>
      <c r="AC229" s="8">
        <f t="shared" si="105"/>
        <v>52976925.823063597</v>
      </c>
      <c r="AD229" s="8">
        <f t="shared" si="105"/>
        <v>52973889.980086833</v>
      </c>
      <c r="AE229" s="8">
        <f t="shared" si="105"/>
        <v>52970806.798317425</v>
      </c>
      <c r="AF229" s="8">
        <f t="shared" si="105"/>
        <v>52967676.587408103</v>
      </c>
      <c r="AG229" s="8">
        <f t="shared" si="105"/>
        <v>52964499.654538557</v>
      </c>
      <c r="AH229" s="8">
        <f t="shared" si="105"/>
        <v>52961276.304455273</v>
      </c>
      <c r="AI229" s="8">
        <f t="shared" si="105"/>
        <v>52958006.839510582</v>
      </c>
    </row>
    <row r="230" spans="2:36" hidden="1">
      <c r="B230" s="207" t="s">
        <v>234</v>
      </c>
      <c r="F230" s="208">
        <f>(F221-E221)/E229</f>
        <v>7.5222530142616123E-3</v>
      </c>
      <c r="G230" s="208">
        <f t="shared" ref="G230:AI230" si="106">(G221-F221)/F229</f>
        <v>7.2600751678479252E-3</v>
      </c>
      <c r="H230" s="208">
        <f t="shared" si="106"/>
        <v>7.0178127085127589E-3</v>
      </c>
      <c r="I230" s="208">
        <f t="shared" si="106"/>
        <v>6.7013022871509837E-3</v>
      </c>
      <c r="J230" s="208">
        <f t="shared" si="106"/>
        <v>-9.7252922263994139E-4</v>
      </c>
      <c r="K230" s="144">
        <f t="shared" si="106"/>
        <v>-1.0093855561024536E-3</v>
      </c>
      <c r="L230" s="144">
        <f t="shared" si="106"/>
        <v>-1.0116821439028945E-3</v>
      </c>
      <c r="M230" s="144">
        <f t="shared" si="106"/>
        <v>-1.0139751448577925E-3</v>
      </c>
      <c r="N230" s="144">
        <f t="shared" si="106"/>
        <v>-1.0162646708457973E-3</v>
      </c>
      <c r="O230" s="144">
        <f t="shared" si="106"/>
        <v>-1.0185508314584199E-3</v>
      </c>
      <c r="P230" s="144">
        <f t="shared" si="106"/>
        <v>-1.0728510125508092E-3</v>
      </c>
      <c r="Q230" s="144">
        <f t="shared" si="106"/>
        <v>-1.0749636029578188E-3</v>
      </c>
      <c r="R230" s="144">
        <f t="shared" si="106"/>
        <v>-1.0770753143329462E-3</v>
      </c>
      <c r="S230" s="144">
        <f t="shared" si="106"/>
        <v>-1.0791862009798194E-3</v>
      </c>
      <c r="T230" s="144">
        <f t="shared" si="106"/>
        <v>-1.0812963164334342E-3</v>
      </c>
      <c r="U230" s="144">
        <f t="shared" si="106"/>
        <v>-4.467245074250845E-3</v>
      </c>
      <c r="V230" s="144">
        <f t="shared" si="106"/>
        <v>-4.228259731338572E-3</v>
      </c>
      <c r="W230" s="144">
        <f t="shared" si="106"/>
        <v>-3.9860765018913131E-3</v>
      </c>
      <c r="X230" s="144">
        <f t="shared" si="106"/>
        <v>-3.740844271213416E-3</v>
      </c>
      <c r="Y230" s="144">
        <f t="shared" si="106"/>
        <v>-5.2733379620800173E-5</v>
      </c>
      <c r="Z230" s="144">
        <f t="shared" si="106"/>
        <v>-5.3659484045258095E-5</v>
      </c>
      <c r="AA230" s="144">
        <f t="shared" si="106"/>
        <v>-5.4579647246985338E-5</v>
      </c>
      <c r="AB230" s="144">
        <f t="shared" si="106"/>
        <v>-5.5493921169268223E-5</v>
      </c>
      <c r="AC230" s="144">
        <f t="shared" si="106"/>
        <v>-5.6402356877310919E-5</v>
      </c>
      <c r="AD230" s="144">
        <f t="shared" si="106"/>
        <v>-5.7305004576901257E-5</v>
      </c>
      <c r="AE230" s="144">
        <f t="shared" si="106"/>
        <v>-5.8201913632705359E-5</v>
      </c>
      <c r="AF230" s="144">
        <f t="shared" si="106"/>
        <v>-5.9093132586029115E-5</v>
      </c>
      <c r="AG230" s="144">
        <f t="shared" si="106"/>
        <v>-5.9978709171910778E-5</v>
      </c>
      <c r="AH230" s="144">
        <f t="shared" si="106"/>
        <v>-6.0858690336134169E-5</v>
      </c>
      <c r="AI230" s="144">
        <f t="shared" si="106"/>
        <v>-6.1733122251301693E-5</v>
      </c>
    </row>
    <row r="231" spans="2:36">
      <c r="B231" s="207" t="s">
        <v>242</v>
      </c>
      <c r="E231" s="123">
        <f>4896349*12</f>
        <v>58756188</v>
      </c>
      <c r="F231" s="215">
        <f>F203*12</f>
        <v>509808</v>
      </c>
      <c r="G231" s="215">
        <f t="shared" ref="G231:H231" si="107">G203*12</f>
        <v>1023540</v>
      </c>
      <c r="H231" s="215">
        <f t="shared" si="107"/>
        <v>1564824</v>
      </c>
      <c r="I231" s="208"/>
      <c r="J231" s="208"/>
      <c r="K231" s="144"/>
      <c r="L231" s="144"/>
      <c r="M231" s="144"/>
      <c r="N231" s="144"/>
      <c r="O231" s="144"/>
      <c r="P231" s="144"/>
      <c r="Q231" s="144"/>
      <c r="R231" s="144"/>
      <c r="S231" s="144"/>
      <c r="T231" s="144"/>
      <c r="U231" s="144"/>
      <c r="V231" s="144"/>
      <c r="W231" s="144"/>
      <c r="X231" s="144"/>
      <c r="Y231" s="144"/>
      <c r="Z231" s="144"/>
      <c r="AA231" s="144"/>
      <c r="AB231" s="144"/>
      <c r="AC231" s="144"/>
      <c r="AD231" s="144"/>
      <c r="AE231" s="144"/>
      <c r="AF231" s="144"/>
      <c r="AG231" s="144"/>
      <c r="AH231" s="144"/>
      <c r="AI231" s="144"/>
    </row>
    <row r="233" spans="2:36">
      <c r="B233" s="135"/>
      <c r="C233" s="135" t="s">
        <v>243</v>
      </c>
      <c r="D233" s="45">
        <v>0.42035459965979549</v>
      </c>
      <c r="E233" s="8">
        <f>E$218*$D233</f>
        <v>1450137.144850103</v>
      </c>
      <c r="F233" s="8">
        <f t="shared" ref="F233:P233" si="108">F$218*$D233</f>
        <v>3557283.4006423503</v>
      </c>
      <c r="G233" s="8">
        <f t="shared" si="108"/>
        <v>3564923.0419951458</v>
      </c>
      <c r="H233" s="8">
        <f t="shared" si="108"/>
        <v>3575432.1667657839</v>
      </c>
      <c r="I233" s="8">
        <f t="shared" si="108"/>
        <v>3585524.2018309375</v>
      </c>
      <c r="J233" s="8">
        <f t="shared" si="108"/>
        <v>1485884.3031292416</v>
      </c>
      <c r="K233" s="8">
        <f t="shared" si="108"/>
        <v>1486514.8199678476</v>
      </c>
      <c r="L233" s="8">
        <f t="shared" si="108"/>
        <v>1487091.9691893877</v>
      </c>
      <c r="M233" s="8">
        <f t="shared" si="108"/>
        <v>1487616.1486887466</v>
      </c>
      <c r="N233" s="8">
        <f t="shared" si="108"/>
        <v>1488087.7512012995</v>
      </c>
      <c r="O233" s="8">
        <f t="shared" si="108"/>
        <v>1488507.1644176706</v>
      </c>
      <c r="P233" s="8">
        <f t="shared" si="108"/>
        <v>1486709.1995525188</v>
      </c>
    </row>
    <row r="234" spans="2:36">
      <c r="C234" s="135" t="s">
        <v>244</v>
      </c>
      <c r="D234" s="45">
        <v>7.434695879061988E-2</v>
      </c>
      <c r="E234" s="8">
        <f t="shared" ref="E234:P239" si="109">E$218*$D234</f>
        <v>256481.75763075755</v>
      </c>
      <c r="F234" s="8">
        <f t="shared" si="109"/>
        <v>629166.90481835674</v>
      </c>
      <c r="G234" s="8">
        <f t="shared" si="109"/>
        <v>630518.10711587186</v>
      </c>
      <c r="H234" s="8">
        <f t="shared" si="109"/>
        <v>632376.82703205792</v>
      </c>
      <c r="I234" s="8">
        <f t="shared" si="109"/>
        <v>634161.77744228241</v>
      </c>
      <c r="J234" s="8">
        <f t="shared" si="109"/>
        <v>262804.25893230585</v>
      </c>
      <c r="K234" s="8">
        <f t="shared" si="109"/>
        <v>262915.77670671482</v>
      </c>
      <c r="L234" s="8">
        <f t="shared" si="109"/>
        <v>263017.85549787025</v>
      </c>
      <c r="M234" s="8">
        <f t="shared" si="109"/>
        <v>263110.56568034296</v>
      </c>
      <c r="N234" s="8">
        <f t="shared" si="109"/>
        <v>263193.97671615583</v>
      </c>
      <c r="O234" s="8">
        <f t="shared" si="109"/>
        <v>263268.15717508033</v>
      </c>
      <c r="P234" s="8">
        <f t="shared" si="109"/>
        <v>262950.15608779684</v>
      </c>
    </row>
    <row r="235" spans="2:36">
      <c r="C235" s="135" t="s">
        <v>245</v>
      </c>
      <c r="D235" s="45">
        <v>0.18560980504618677</v>
      </c>
      <c r="E235" s="8">
        <f t="shared" si="109"/>
        <v>640315.75475491362</v>
      </c>
      <c r="F235" s="8">
        <f t="shared" si="109"/>
        <v>1570737.3703573956</v>
      </c>
      <c r="G235" s="8">
        <f t="shared" si="109"/>
        <v>1574110.6945538307</v>
      </c>
      <c r="H235" s="8">
        <f t="shared" si="109"/>
        <v>1578751.0543868451</v>
      </c>
      <c r="I235" s="8">
        <f t="shared" si="109"/>
        <v>1583207.246046169</v>
      </c>
      <c r="J235" s="8">
        <f t="shared" si="109"/>
        <v>656100.10226655263</v>
      </c>
      <c r="K235" s="8">
        <f t="shared" si="109"/>
        <v>656378.51032390876</v>
      </c>
      <c r="L235" s="8">
        <f t="shared" si="109"/>
        <v>656633.35362663295</v>
      </c>
      <c r="M235" s="8">
        <f t="shared" si="109"/>
        <v>656864.80786732398</v>
      </c>
      <c r="N235" s="8">
        <f t="shared" si="109"/>
        <v>657073.04646037146</v>
      </c>
      <c r="O235" s="8">
        <f t="shared" si="109"/>
        <v>657258.24059262907</v>
      </c>
      <c r="P235" s="8">
        <f t="shared" si="109"/>
        <v>656464.33966143709</v>
      </c>
    </row>
    <row r="236" spans="2:36">
      <c r="C236" s="135" t="s">
        <v>246</v>
      </c>
      <c r="D236" s="45">
        <v>7.8015164242209778E-2</v>
      </c>
      <c r="E236" s="8">
        <f t="shared" si="109"/>
        <v>269136.31400910404</v>
      </c>
      <c r="F236" s="8">
        <f t="shared" si="109"/>
        <v>660209.37794377818</v>
      </c>
      <c r="G236" s="8">
        <f t="shared" si="109"/>
        <v>661627.24722693174</v>
      </c>
      <c r="H236" s="8">
        <f t="shared" si="109"/>
        <v>663577.67454635852</v>
      </c>
      <c r="I236" s="8">
        <f t="shared" si="109"/>
        <v>665450.69264532381</v>
      </c>
      <c r="J236" s="8">
        <f t="shared" si="109"/>
        <v>275770.76127480861</v>
      </c>
      <c r="K236" s="8">
        <f t="shared" si="109"/>
        <v>275887.78122596681</v>
      </c>
      <c r="L236" s="8">
        <f t="shared" si="109"/>
        <v>275994.89648376859</v>
      </c>
      <c r="M236" s="8">
        <f t="shared" si="109"/>
        <v>276092.18089499656</v>
      </c>
      <c r="N236" s="8">
        <f t="shared" si="109"/>
        <v>276179.70734886109</v>
      </c>
      <c r="O236" s="8">
        <f t="shared" si="109"/>
        <v>276257.54779829836</v>
      </c>
      <c r="P236" s="8">
        <f t="shared" si="109"/>
        <v>275923.85685172596</v>
      </c>
    </row>
    <row r="237" spans="2:36">
      <c r="C237" s="135" t="s">
        <v>247</v>
      </c>
      <c r="D237" s="45">
        <v>3.9118528995210948E-2</v>
      </c>
      <c r="E237" s="8">
        <f t="shared" si="109"/>
        <v>134950.90096257321</v>
      </c>
      <c r="F237" s="8">
        <f t="shared" si="109"/>
        <v>331043.58549860737</v>
      </c>
      <c r="G237" s="8">
        <f t="shared" si="109"/>
        <v>331754.53651951737</v>
      </c>
      <c r="H237" s="8">
        <f t="shared" si="109"/>
        <v>332732.52391964861</v>
      </c>
      <c r="I237" s="8">
        <f t="shared" si="109"/>
        <v>333671.69662439934</v>
      </c>
      <c r="J237" s="8">
        <f t="shared" si="109"/>
        <v>138277.55957121131</v>
      </c>
      <c r="K237" s="8">
        <f t="shared" si="109"/>
        <v>138336.23596312647</v>
      </c>
      <c r="L237" s="8">
        <f t="shared" si="109"/>
        <v>138389.94592270738</v>
      </c>
      <c r="M237" s="8">
        <f t="shared" si="109"/>
        <v>138438.72647836435</v>
      </c>
      <c r="N237" s="8">
        <f t="shared" si="109"/>
        <v>138482.61417835965</v>
      </c>
      <c r="O237" s="8">
        <f t="shared" si="109"/>
        <v>138521.64510148708</v>
      </c>
      <c r="P237" s="8">
        <f t="shared" si="109"/>
        <v>138354.32507985123</v>
      </c>
    </row>
    <row r="238" spans="2:36">
      <c r="C238" s="135" t="s">
        <v>248</v>
      </c>
      <c r="D238" s="45">
        <v>7.2120160657281523E-2</v>
      </c>
      <c r="E238" s="8">
        <f t="shared" si="109"/>
        <v>248799.76083602692</v>
      </c>
      <c r="F238" s="8">
        <f t="shared" si="109"/>
        <v>610322.45291342482</v>
      </c>
      <c r="G238" s="8">
        <f t="shared" si="109"/>
        <v>611633.1847626149</v>
      </c>
      <c r="H238" s="8">
        <f t="shared" si="109"/>
        <v>613436.23334930628</v>
      </c>
      <c r="I238" s="8">
        <f t="shared" si="109"/>
        <v>615167.72193262819</v>
      </c>
      <c r="J238" s="8">
        <f t="shared" si="109"/>
        <v>254932.89414828108</v>
      </c>
      <c r="K238" s="8">
        <f t="shared" si="109"/>
        <v>255041.07180527394</v>
      </c>
      <c r="L238" s="8">
        <f t="shared" si="109"/>
        <v>255140.09319011043</v>
      </c>
      <c r="M238" s="8">
        <f t="shared" si="109"/>
        <v>255230.02656954201</v>
      </c>
      <c r="N238" s="8">
        <f t="shared" si="109"/>
        <v>255310.93932510415</v>
      </c>
      <c r="O238" s="8">
        <f t="shared" si="109"/>
        <v>255382.89797280531</v>
      </c>
      <c r="P238" s="8">
        <f t="shared" si="109"/>
        <v>255074.42147454445</v>
      </c>
    </row>
    <row r="239" spans="2:36">
      <c r="C239" s="216" t="s">
        <v>249</v>
      </c>
      <c r="D239" s="45">
        <v>0.13043478260869565</v>
      </c>
      <c r="E239" s="8">
        <f t="shared" si="109"/>
        <v>449973.24495652172</v>
      </c>
      <c r="F239" s="8">
        <f t="shared" si="109"/>
        <v>1103814.4638260868</v>
      </c>
      <c r="G239" s="8">
        <f t="shared" si="109"/>
        <v>1106185.0218260868</v>
      </c>
      <c r="H239" s="8">
        <f t="shared" si="109"/>
        <v>1109445.9719999998</v>
      </c>
      <c r="I239" s="8">
        <f t="shared" si="109"/>
        <v>1112577.5004782609</v>
      </c>
      <c r="J239" s="8">
        <f t="shared" si="109"/>
        <v>461065.48189836013</v>
      </c>
      <c r="K239" s="8">
        <f t="shared" si="109"/>
        <v>461261.1293989257</v>
      </c>
      <c r="L239" s="8">
        <f t="shared" si="109"/>
        <v>461440.21708657156</v>
      </c>
      <c r="M239" s="8">
        <f t="shared" si="109"/>
        <v>461602.86842689745</v>
      </c>
      <c r="N239" s="8">
        <f t="shared" si="109"/>
        <v>461749.20528452273</v>
      </c>
      <c r="O239" s="8">
        <f t="shared" si="109"/>
        <v>461879.34795869555</v>
      </c>
      <c r="P239" s="8">
        <f t="shared" si="109"/>
        <v>461321.44480618113</v>
      </c>
    </row>
    <row r="240" spans="2:36">
      <c r="C240" s="207" t="s">
        <v>250</v>
      </c>
      <c r="E240" s="203">
        <f>SUM(E233:E239)</f>
        <v>3449794.878</v>
      </c>
      <c r="F240" s="203">
        <f t="shared" ref="F240:P240" si="110">SUM(F233:F239)</f>
        <v>8462577.5559999999</v>
      </c>
      <c r="G240" s="203">
        <f t="shared" si="110"/>
        <v>8480751.8339999989</v>
      </c>
      <c r="H240" s="203">
        <f t="shared" si="110"/>
        <v>8505752.4519999996</v>
      </c>
      <c r="I240" s="203">
        <f t="shared" si="110"/>
        <v>8529760.8369999994</v>
      </c>
      <c r="J240" s="203">
        <f t="shared" si="110"/>
        <v>3534835.3612207612</v>
      </c>
      <c r="K240" s="203">
        <f t="shared" si="110"/>
        <v>3536335.3253917643</v>
      </c>
      <c r="L240" s="203">
        <f t="shared" si="110"/>
        <v>3537708.3309970489</v>
      </c>
      <c r="M240" s="203">
        <f t="shared" si="110"/>
        <v>3538955.3246062137</v>
      </c>
      <c r="N240" s="203">
        <f t="shared" si="110"/>
        <v>3540077.2405146742</v>
      </c>
      <c r="O240" s="203">
        <f t="shared" si="110"/>
        <v>3541075.0010166666</v>
      </c>
      <c r="P240" s="203">
        <f t="shared" si="110"/>
        <v>3536797.7435140554</v>
      </c>
    </row>
    <row r="241" spans="3:18">
      <c r="C241" s="207"/>
    </row>
    <row r="242" spans="3:18">
      <c r="C242" s="135" t="s">
        <v>243</v>
      </c>
      <c r="D242" s="156">
        <v>216.43468827107932</v>
      </c>
      <c r="E242" s="7">
        <f>E233/255.74</f>
        <v>5670.3571785802096</v>
      </c>
      <c r="F242" s="7">
        <f t="shared" ref="F242:O247" si="111">F233/$D242</f>
        <v>16435.82842038212</v>
      </c>
      <c r="G242" s="7">
        <f t="shared" si="111"/>
        <v>16471.126095693886</v>
      </c>
      <c r="H242" s="7">
        <f t="shared" si="111"/>
        <v>16519.681735524944</v>
      </c>
      <c r="I242" s="7">
        <f t="shared" si="111"/>
        <v>16566.310282666673</v>
      </c>
      <c r="J242" s="7">
        <f t="shared" si="111"/>
        <v>6865.2779967886045</v>
      </c>
      <c r="K242" s="7">
        <f t="shared" si="111"/>
        <v>6868.1911935762482</v>
      </c>
      <c r="L242" s="7">
        <f t="shared" si="111"/>
        <v>6870.8578142836341</v>
      </c>
      <c r="M242" s="7">
        <f t="shared" si="111"/>
        <v>6873.2796973170152</v>
      </c>
      <c r="N242" s="7">
        <f t="shared" si="111"/>
        <v>6875.458657244003</v>
      </c>
      <c r="O242" s="7">
        <f t="shared" si="111"/>
        <v>6877.3964853237876</v>
      </c>
      <c r="R242" s="45">
        <f>J242/$J$249</f>
        <v>0.12</v>
      </c>
    </row>
    <row r="243" spans="3:18">
      <c r="C243" s="135" t="s">
        <v>244</v>
      </c>
      <c r="D243" s="156">
        <v>41.760225198890375</v>
      </c>
      <c r="E243" s="7">
        <f>E234/46.75</f>
        <v>5486.2408049359901</v>
      </c>
      <c r="F243" s="7">
        <f t="shared" si="111"/>
        <v>15066.176052016945</v>
      </c>
      <c r="G243" s="7">
        <f t="shared" si="111"/>
        <v>15098.53225438606</v>
      </c>
      <c r="H243" s="7">
        <f t="shared" si="111"/>
        <v>15143.041590897863</v>
      </c>
      <c r="I243" s="7">
        <f t="shared" si="111"/>
        <v>15185.784425777783</v>
      </c>
      <c r="J243" s="7">
        <f t="shared" si="111"/>
        <v>6293.1714970562207</v>
      </c>
      <c r="K243" s="7">
        <f t="shared" si="111"/>
        <v>6295.8419274448943</v>
      </c>
      <c r="L243" s="7">
        <f t="shared" si="111"/>
        <v>6298.2863297599979</v>
      </c>
      <c r="M243" s="7">
        <f t="shared" si="111"/>
        <v>6300.5063892072631</v>
      </c>
      <c r="N243" s="7">
        <f t="shared" si="111"/>
        <v>6302.5037691403359</v>
      </c>
      <c r="O243" s="7">
        <f t="shared" si="111"/>
        <v>6304.2801115468055</v>
      </c>
      <c r="R243" s="45">
        <f t="shared" ref="R243:R247" si="112">J243/$J$249</f>
        <v>0.10999999999999999</v>
      </c>
    </row>
    <row r="244" spans="3:18">
      <c r="C244" s="135" t="s">
        <v>245</v>
      </c>
      <c r="D244" s="156">
        <v>76.454308486672659</v>
      </c>
      <c r="E244" s="7">
        <f>E235/83.83</f>
        <v>7638.2649976728335</v>
      </c>
      <c r="F244" s="7">
        <f t="shared" si="111"/>
        <v>20544.785525477651</v>
      </c>
      <c r="G244" s="7">
        <f t="shared" si="111"/>
        <v>20588.907619617356</v>
      </c>
      <c r="H244" s="7">
        <f t="shared" si="111"/>
        <v>20649.602169406182</v>
      </c>
      <c r="I244" s="7">
        <f t="shared" si="111"/>
        <v>20707.887853333341</v>
      </c>
      <c r="J244" s="7">
        <f t="shared" si="111"/>
        <v>8581.5974959857558</v>
      </c>
      <c r="K244" s="7">
        <f t="shared" si="111"/>
        <v>8585.238991970311</v>
      </c>
      <c r="L244" s="7">
        <f t="shared" si="111"/>
        <v>8588.5722678545426</v>
      </c>
      <c r="M244" s="7">
        <f t="shared" si="111"/>
        <v>8591.59962164627</v>
      </c>
      <c r="N244" s="7">
        <f t="shared" si="111"/>
        <v>8594.3233215550044</v>
      </c>
      <c r="O244" s="7">
        <f t="shared" si="111"/>
        <v>8596.7456066547365</v>
      </c>
      <c r="R244" s="45">
        <f t="shared" si="112"/>
        <v>0.15</v>
      </c>
    </row>
    <row r="245" spans="3:18">
      <c r="C245" s="135" t="s">
        <v>246</v>
      </c>
      <c r="D245" s="156">
        <v>19.281078708513668</v>
      </c>
      <c r="E245" s="7">
        <f>E236/18.54</f>
        <v>14516.521791213811</v>
      </c>
      <c r="F245" s="7">
        <f t="shared" si="111"/>
        <v>34241.309209129417</v>
      </c>
      <c r="G245" s="7">
        <f t="shared" si="111"/>
        <v>34314.846032695597</v>
      </c>
      <c r="H245" s="7">
        <f t="shared" si="111"/>
        <v>34416.003615676964</v>
      </c>
      <c r="I245" s="7">
        <f t="shared" si="111"/>
        <v>34513.146422222235</v>
      </c>
      <c r="J245" s="7">
        <f t="shared" si="111"/>
        <v>14302.662493309594</v>
      </c>
      <c r="K245" s="7">
        <f t="shared" si="111"/>
        <v>14308.73165328385</v>
      </c>
      <c r="L245" s="7">
        <f t="shared" si="111"/>
        <v>14314.287113090902</v>
      </c>
      <c r="M245" s="7">
        <f t="shared" si="111"/>
        <v>14319.332702743779</v>
      </c>
      <c r="N245" s="7">
        <f t="shared" si="111"/>
        <v>14323.872202591674</v>
      </c>
      <c r="O245" s="7">
        <f t="shared" si="111"/>
        <v>14327.909344424557</v>
      </c>
      <c r="R245" s="45">
        <f t="shared" si="112"/>
        <v>0.25</v>
      </c>
    </row>
    <row r="246" spans="3:18">
      <c r="C246" s="135" t="s">
        <v>247</v>
      </c>
      <c r="D246" s="156">
        <v>18.592229517768494</v>
      </c>
      <c r="E246" s="7">
        <f>E237/21.41</f>
        <v>6303.1714601855774</v>
      </c>
      <c r="F246" s="7">
        <f t="shared" si="111"/>
        <v>17805.4807887473</v>
      </c>
      <c r="G246" s="7">
        <f t="shared" si="111"/>
        <v>17843.719937001708</v>
      </c>
      <c r="H246" s="7">
        <f t="shared" si="111"/>
        <v>17896.321880152023</v>
      </c>
      <c r="I246" s="7">
        <f t="shared" si="111"/>
        <v>17946.836139555566</v>
      </c>
      <c r="J246" s="7">
        <f t="shared" si="111"/>
        <v>7437.3844965209892</v>
      </c>
      <c r="K246" s="7">
        <f t="shared" si="111"/>
        <v>7440.540459707604</v>
      </c>
      <c r="L246" s="7">
        <f t="shared" si="111"/>
        <v>7443.4292988072702</v>
      </c>
      <c r="M246" s="7">
        <f t="shared" si="111"/>
        <v>7446.0530054267665</v>
      </c>
      <c r="N246" s="7">
        <f t="shared" si="111"/>
        <v>7448.4135453476711</v>
      </c>
      <c r="O246" s="7">
        <f t="shared" si="111"/>
        <v>7450.5128591007706</v>
      </c>
      <c r="R246" s="45">
        <f t="shared" si="112"/>
        <v>0.13</v>
      </c>
    </row>
    <row r="247" spans="3:18">
      <c r="C247" s="135" t="s">
        <v>248</v>
      </c>
      <c r="D247" s="156">
        <v>18.566829651146822</v>
      </c>
      <c r="E247" s="7">
        <f>E238/10.44</f>
        <v>23831.394716094535</v>
      </c>
      <c r="F247" s="7">
        <f t="shared" si="111"/>
        <v>32871.656840764241</v>
      </c>
      <c r="G247" s="7">
        <f t="shared" si="111"/>
        <v>32942.252191387772</v>
      </c>
      <c r="H247" s="7">
        <f t="shared" si="111"/>
        <v>33039.363471049888</v>
      </c>
      <c r="I247" s="7">
        <f t="shared" si="111"/>
        <v>33132.620565333345</v>
      </c>
      <c r="J247" s="7">
        <f t="shared" si="111"/>
        <v>13730.555993577211</v>
      </c>
      <c r="K247" s="7">
        <f t="shared" si="111"/>
        <v>13736.382387152496</v>
      </c>
      <c r="L247" s="7">
        <f t="shared" si="111"/>
        <v>13741.715628567268</v>
      </c>
      <c r="M247" s="7">
        <f t="shared" si="111"/>
        <v>13746.55939463403</v>
      </c>
      <c r="N247" s="7">
        <f t="shared" si="111"/>
        <v>13750.917314488006</v>
      </c>
      <c r="O247" s="7">
        <f t="shared" si="111"/>
        <v>13754.792970647577</v>
      </c>
      <c r="R247" s="45">
        <f t="shared" si="112"/>
        <v>0.24000000000000002</v>
      </c>
    </row>
    <row r="248" spans="3:18">
      <c r="C248" s="135" t="s">
        <v>249</v>
      </c>
      <c r="E248" s="156">
        <v>0</v>
      </c>
      <c r="F248" s="156">
        <v>0</v>
      </c>
      <c r="G248" s="156">
        <v>0</v>
      </c>
      <c r="H248" s="156">
        <v>0</v>
      </c>
      <c r="I248" s="156">
        <v>0</v>
      </c>
      <c r="J248" s="156">
        <v>0</v>
      </c>
      <c r="K248" s="156">
        <v>0</v>
      </c>
      <c r="L248" s="156">
        <v>0</v>
      </c>
      <c r="M248" s="156">
        <v>0</v>
      </c>
      <c r="N248" s="156">
        <v>0</v>
      </c>
      <c r="O248" s="156">
        <v>0</v>
      </c>
      <c r="R248" s="45"/>
    </row>
    <row r="249" spans="3:18">
      <c r="E249" s="203">
        <f>SUM(E242:E248)</f>
        <v>63445.950948682963</v>
      </c>
      <c r="F249" s="203">
        <f t="shared" ref="F249:O249" si="113">SUM(F242:F248)</f>
        <v>136965.23683651767</v>
      </c>
      <c r="G249" s="203">
        <f t="shared" si="113"/>
        <v>137259.38413078239</v>
      </c>
      <c r="H249" s="203">
        <f t="shared" si="113"/>
        <v>137664.01446270786</v>
      </c>
      <c r="I249" s="203">
        <f t="shared" si="113"/>
        <v>138052.58568888897</v>
      </c>
      <c r="J249" s="203">
        <f t="shared" si="113"/>
        <v>57210.649973238375</v>
      </c>
      <c r="K249" s="203">
        <f t="shared" si="113"/>
        <v>57234.926613135402</v>
      </c>
      <c r="L249" s="203">
        <f t="shared" si="113"/>
        <v>57257.148452363617</v>
      </c>
      <c r="M249" s="203">
        <f t="shared" si="113"/>
        <v>57277.330810975123</v>
      </c>
      <c r="N249" s="203">
        <f t="shared" si="113"/>
        <v>57295.488810366689</v>
      </c>
      <c r="O249" s="203">
        <f t="shared" si="113"/>
        <v>57311.637377698229</v>
      </c>
    </row>
    <row r="250" spans="3:18">
      <c r="J250" s="217">
        <f>SUM(F249:J249)</f>
        <v>607151.8710921352</v>
      </c>
      <c r="O250" s="217">
        <f>SUM(F249:O249)</f>
        <v>893528.40315667435</v>
      </c>
      <c r="P250" s="7">
        <f>19000*6</f>
        <v>114000</v>
      </c>
      <c r="Q250" s="8">
        <f>O250+P250</f>
        <v>1007528.4031566744</v>
      </c>
      <c r="R250" t="s">
        <v>251</v>
      </c>
    </row>
    <row r="252" spans="3:18">
      <c r="J252" s="7">
        <f>19000*$R242</f>
        <v>2280</v>
      </c>
      <c r="K252" s="7"/>
      <c r="M252" s="7"/>
      <c r="N252" s="7"/>
      <c r="O252" s="7"/>
    </row>
    <row r="253" spans="3:18">
      <c r="J253" s="7">
        <f t="shared" ref="J253:J257" si="114">19000*$R243</f>
        <v>2089.9999999999995</v>
      </c>
      <c r="K253" s="7"/>
      <c r="M253" s="7"/>
      <c r="N253" s="7"/>
      <c r="O253" s="7"/>
    </row>
    <row r="254" spans="3:18">
      <c r="J254" s="7">
        <f t="shared" si="114"/>
        <v>2850</v>
      </c>
      <c r="K254" s="7"/>
      <c r="M254" s="7"/>
      <c r="N254" s="7"/>
      <c r="O254" s="7"/>
    </row>
    <row r="255" spans="3:18">
      <c r="J255" s="7">
        <f t="shared" si="114"/>
        <v>4750</v>
      </c>
      <c r="K255" s="7"/>
      <c r="M255" s="7"/>
      <c r="N255" s="7"/>
      <c r="O255" s="7"/>
    </row>
    <row r="256" spans="3:18">
      <c r="J256" s="7">
        <f t="shared" si="114"/>
        <v>2470</v>
      </c>
      <c r="K256" s="7"/>
      <c r="M256" s="7"/>
      <c r="N256" s="7"/>
      <c r="O256" s="7"/>
    </row>
    <row r="257" spans="10:15">
      <c r="J257" s="7">
        <f t="shared" si="114"/>
        <v>4560</v>
      </c>
      <c r="K257" s="7"/>
      <c r="M257" s="7"/>
      <c r="N257" s="7"/>
      <c r="O257" s="7"/>
    </row>
    <row r="258" spans="10:15">
      <c r="J258" s="194">
        <f>SUM(J252:J257)</f>
        <v>19000</v>
      </c>
      <c r="K258" s="7"/>
      <c r="M258" s="7"/>
      <c r="N258" s="7"/>
      <c r="O258" s="7"/>
    </row>
    <row r="259" spans="10:15">
      <c r="K259" s="7"/>
      <c r="M259" s="7"/>
      <c r="N259" s="7"/>
      <c r="O259" s="7"/>
    </row>
    <row r="260" spans="10:15">
      <c r="J260" s="7">
        <f t="shared" ref="J260:J265" si="115">J252*D242</f>
        <v>493471.08925806085</v>
      </c>
      <c r="K260" s="7"/>
      <c r="M260" s="7"/>
      <c r="N260" s="7"/>
      <c r="O260" s="7"/>
    </row>
    <row r="261" spans="10:15">
      <c r="J261" s="7">
        <f t="shared" si="115"/>
        <v>87278.870665680864</v>
      </c>
    </row>
    <row r="262" spans="10:15">
      <c r="J262" s="7">
        <f t="shared" si="115"/>
        <v>217894.77918701709</v>
      </c>
    </row>
    <row r="263" spans="10:15">
      <c r="J263" s="7">
        <f t="shared" si="115"/>
        <v>91585.12386543992</v>
      </c>
    </row>
    <row r="264" spans="10:15">
      <c r="J264" s="7">
        <f t="shared" si="115"/>
        <v>45922.806908888182</v>
      </c>
    </row>
    <row r="265" spans="10:15">
      <c r="J265" s="7">
        <f t="shared" si="115"/>
        <v>84664.743209229506</v>
      </c>
    </row>
    <row r="266" spans="10:15">
      <c r="J266" s="194">
        <f>SUM(J260:J265)</f>
        <v>1020817.4130943165</v>
      </c>
    </row>
    <row r="267" spans="10:15">
      <c r="J267" s="9">
        <f>J266*D38</f>
        <v>558253.22177645622</v>
      </c>
    </row>
    <row r="268" spans="10:15">
      <c r="J268" s="218">
        <f>J267/K229</f>
        <v>1.0265370474958322E-2</v>
      </c>
      <c r="K268" t="s">
        <v>252</v>
      </c>
    </row>
    <row r="269" spans="10:15">
      <c r="J269" s="144"/>
    </row>
  </sheetData>
  <mergeCells count="2">
    <mergeCell ref="A76:B76"/>
    <mergeCell ref="A215:B215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503C1-42C8-4D7E-8E79-4D104391DAAC}">
  <dimension ref="A1:I49"/>
  <sheetViews>
    <sheetView topLeftCell="A53" workbookViewId="0">
      <selection activeCell="A73" sqref="A73"/>
    </sheetView>
  </sheetViews>
  <sheetFormatPr defaultRowHeight="14.5"/>
  <cols>
    <col min="2" max="2" width="28.81640625" customWidth="1"/>
    <col min="3" max="3" width="23.1796875" customWidth="1"/>
    <col min="4" max="4" width="19.81640625" customWidth="1"/>
    <col min="5" max="5" width="29.1796875" customWidth="1"/>
    <col min="6" max="6" width="15.453125" customWidth="1"/>
    <col min="7" max="7" width="13.453125" customWidth="1"/>
    <col min="8" max="9" width="15.81640625" customWidth="1"/>
  </cols>
  <sheetData>
    <row r="1" spans="1:7">
      <c r="C1" t="s">
        <v>117</v>
      </c>
    </row>
    <row r="2" spans="1:7">
      <c r="A2" s="175" t="s">
        <v>116</v>
      </c>
      <c r="B2" s="169" t="s">
        <v>59</v>
      </c>
      <c r="C2" s="176">
        <v>512134.77120000013</v>
      </c>
      <c r="D2" t="s">
        <v>61</v>
      </c>
      <c r="E2" s="123"/>
      <c r="F2" s="123"/>
      <c r="G2" s="123"/>
    </row>
    <row r="3" spans="1:7">
      <c r="A3" s="175" t="s">
        <v>116</v>
      </c>
      <c r="B3" s="169" t="s">
        <v>60</v>
      </c>
      <c r="C3" s="176">
        <v>526042.34719999996</v>
      </c>
      <c r="D3" t="s">
        <v>61</v>
      </c>
      <c r="E3" s="123"/>
      <c r="F3" s="123"/>
      <c r="G3" s="123"/>
    </row>
    <row r="4" spans="1:7">
      <c r="A4" s="175" t="s">
        <v>116</v>
      </c>
      <c r="B4" s="169" t="s">
        <v>64</v>
      </c>
      <c r="C4" s="176">
        <v>424165.96720000001</v>
      </c>
      <c r="D4" t="s">
        <v>61</v>
      </c>
      <c r="E4" s="123"/>
      <c r="F4" s="123"/>
      <c r="G4" s="123"/>
    </row>
    <row r="5" spans="1:7">
      <c r="A5" s="175" t="s">
        <v>116</v>
      </c>
      <c r="B5" s="169" t="s">
        <v>65</v>
      </c>
      <c r="C5" s="176">
        <v>337017.68789999996</v>
      </c>
      <c r="D5" t="s">
        <v>61</v>
      </c>
      <c r="E5" s="123"/>
      <c r="F5" s="123"/>
      <c r="G5" s="123"/>
    </row>
    <row r="6" spans="1:7">
      <c r="A6" s="175" t="s">
        <v>116</v>
      </c>
      <c r="B6" s="169" t="s">
        <v>66</v>
      </c>
      <c r="C6" s="176">
        <v>266965.76000000001</v>
      </c>
      <c r="D6" t="s">
        <v>61</v>
      </c>
      <c r="E6" s="123"/>
      <c r="F6" s="123"/>
      <c r="G6" s="123"/>
    </row>
    <row r="7" spans="1:7">
      <c r="A7" s="175" t="s">
        <v>116</v>
      </c>
      <c r="B7" s="169" t="s">
        <v>67</v>
      </c>
      <c r="C7" s="176">
        <v>137398.33679999999</v>
      </c>
      <c r="D7" t="s">
        <v>61</v>
      </c>
      <c r="E7" s="123"/>
      <c r="F7" s="123"/>
      <c r="G7" s="123"/>
    </row>
    <row r="8" spans="1:7">
      <c r="A8" s="175" t="s">
        <v>116</v>
      </c>
      <c r="B8" s="169" t="s">
        <v>68</v>
      </c>
      <c r="C8" s="176">
        <v>107139.97659999998</v>
      </c>
      <c r="D8" t="s">
        <v>61</v>
      </c>
      <c r="E8" s="123"/>
      <c r="F8" s="123"/>
      <c r="G8" s="123"/>
    </row>
    <row r="9" spans="1:7">
      <c r="A9" s="175" t="s">
        <v>116</v>
      </c>
      <c r="B9" s="169" t="s">
        <v>69</v>
      </c>
      <c r="C9" s="176">
        <v>103988.95569999998</v>
      </c>
      <c r="D9" t="s">
        <v>61</v>
      </c>
      <c r="E9" s="123"/>
      <c r="F9" s="123"/>
      <c r="G9" s="123"/>
    </row>
    <row r="10" spans="1:7">
      <c r="A10" s="175" t="s">
        <v>116</v>
      </c>
      <c r="B10" s="169" t="s">
        <v>70</v>
      </c>
      <c r="C10" s="176">
        <v>117670.05900000001</v>
      </c>
      <c r="D10" t="s">
        <v>61</v>
      </c>
      <c r="E10" s="123"/>
      <c r="F10" s="123"/>
      <c r="G10" s="123"/>
    </row>
    <row r="11" spans="1:7">
      <c r="A11" s="175" t="s">
        <v>116</v>
      </c>
      <c r="B11" s="169" t="s">
        <v>71</v>
      </c>
      <c r="C11" s="176">
        <v>155578.62849999996</v>
      </c>
      <c r="D11" t="s">
        <v>61</v>
      </c>
      <c r="E11" s="123"/>
      <c r="F11" s="123"/>
      <c r="G11" s="123"/>
    </row>
    <row r="12" spans="1:7">
      <c r="A12" s="175" t="s">
        <v>116</v>
      </c>
      <c r="B12" s="169" t="s">
        <v>72</v>
      </c>
      <c r="C12" s="176">
        <v>255549.97029999999</v>
      </c>
      <c r="D12" t="s">
        <v>61</v>
      </c>
      <c r="E12" s="123"/>
      <c r="F12" s="123"/>
      <c r="G12" s="123"/>
    </row>
    <row r="13" spans="1:7">
      <c r="A13" s="175" t="s">
        <v>116</v>
      </c>
      <c r="B13" s="169" t="s">
        <v>73</v>
      </c>
      <c r="C13" s="176">
        <v>393392.14260000002</v>
      </c>
      <c r="D13" t="s">
        <v>61</v>
      </c>
      <c r="E13" s="123"/>
      <c r="F13" s="123"/>
      <c r="G13" s="123"/>
    </row>
    <row r="14" spans="1:7">
      <c r="A14" s="175" t="s">
        <v>56</v>
      </c>
      <c r="B14" s="169" t="s">
        <v>59</v>
      </c>
      <c r="C14" s="176">
        <v>504821.09269999998</v>
      </c>
      <c r="D14" t="s">
        <v>61</v>
      </c>
      <c r="E14" s="123"/>
      <c r="F14" s="123"/>
      <c r="G14" s="123"/>
    </row>
    <row r="15" spans="1:7">
      <c r="A15" s="175" t="s">
        <v>56</v>
      </c>
      <c r="B15" s="169" t="s">
        <v>60</v>
      </c>
      <c r="C15" s="176">
        <v>557617.63520000002</v>
      </c>
      <c r="D15" t="s">
        <v>61</v>
      </c>
      <c r="E15" s="123"/>
      <c r="F15" s="123"/>
      <c r="G15" s="123"/>
    </row>
    <row r="16" spans="1:7">
      <c r="A16" s="175" t="s">
        <v>56</v>
      </c>
      <c r="B16" s="169" t="s">
        <v>64</v>
      </c>
      <c r="C16" s="176">
        <v>498694.7611</v>
      </c>
      <c r="D16" t="s">
        <v>61</v>
      </c>
      <c r="E16" s="123"/>
      <c r="F16" s="123"/>
      <c r="G16" s="123"/>
    </row>
    <row r="17" spans="1:7">
      <c r="A17" s="175" t="s">
        <v>56</v>
      </c>
      <c r="B17" s="169" t="s">
        <v>65</v>
      </c>
      <c r="C17" s="176">
        <v>326331.88779999997</v>
      </c>
      <c r="D17" t="s">
        <v>61</v>
      </c>
      <c r="E17" s="123"/>
      <c r="F17" s="123"/>
      <c r="G17" s="123"/>
    </row>
    <row r="18" spans="1:7">
      <c r="A18" s="175" t="s">
        <v>56</v>
      </c>
      <c r="B18" s="169" t="s">
        <v>66</v>
      </c>
      <c r="C18" s="176">
        <v>228324.3058</v>
      </c>
      <c r="D18" t="s">
        <v>61</v>
      </c>
      <c r="E18" s="123"/>
      <c r="F18" s="123"/>
      <c r="G18" s="123"/>
    </row>
    <row r="19" spans="1:7">
      <c r="A19" s="175" t="s">
        <v>56</v>
      </c>
      <c r="B19" s="169" t="s">
        <v>67</v>
      </c>
      <c r="C19" s="176">
        <v>130147.66429999999</v>
      </c>
      <c r="D19" t="s">
        <v>61</v>
      </c>
      <c r="E19" s="123"/>
      <c r="F19" s="123"/>
      <c r="G19" s="123"/>
    </row>
    <row r="20" spans="1:7">
      <c r="A20" s="175" t="s">
        <v>56</v>
      </c>
      <c r="B20" s="169" t="s">
        <v>68</v>
      </c>
      <c r="C20" s="176">
        <v>115230.01019999999</v>
      </c>
      <c r="D20" t="s">
        <v>61</v>
      </c>
      <c r="E20" s="123"/>
      <c r="F20" s="123"/>
      <c r="G20" s="123"/>
    </row>
    <row r="21" spans="1:7">
      <c r="A21" s="175" t="s">
        <v>56</v>
      </c>
      <c r="B21" s="169" t="s">
        <v>69</v>
      </c>
      <c r="C21" s="176">
        <v>112056.72850000001</v>
      </c>
      <c r="D21" t="s">
        <v>61</v>
      </c>
      <c r="E21" s="123"/>
      <c r="F21" s="123"/>
      <c r="G21" s="123"/>
    </row>
    <row r="22" spans="1:7">
      <c r="A22" s="175" t="s">
        <v>56</v>
      </c>
      <c r="B22" s="169" t="s">
        <v>70</v>
      </c>
      <c r="C22" s="176">
        <v>106521.30740000001</v>
      </c>
      <c r="D22" t="s">
        <v>61</v>
      </c>
      <c r="E22" s="123"/>
      <c r="F22" s="123"/>
      <c r="G22" s="123"/>
    </row>
    <row r="23" spans="1:7">
      <c r="A23" s="175" t="s">
        <v>56</v>
      </c>
      <c r="B23" s="169" t="s">
        <v>71</v>
      </c>
      <c r="C23" s="176">
        <v>135527.29989999998</v>
      </c>
      <c r="D23" t="s">
        <v>61</v>
      </c>
      <c r="E23" s="123"/>
      <c r="F23" s="123"/>
      <c r="G23" s="123"/>
    </row>
    <row r="24" spans="1:7">
      <c r="A24" s="175" t="s">
        <v>56</v>
      </c>
      <c r="B24" s="169" t="s">
        <v>72</v>
      </c>
      <c r="C24" s="176">
        <v>273279.74109999998</v>
      </c>
      <c r="D24" t="s">
        <v>61</v>
      </c>
      <c r="E24" s="123"/>
      <c r="F24" s="123"/>
      <c r="G24" s="123"/>
    </row>
    <row r="25" spans="1:7">
      <c r="A25" s="175" t="s">
        <v>56</v>
      </c>
      <c r="B25" s="169" t="s">
        <v>73</v>
      </c>
      <c r="C25" s="176">
        <v>420237.46600000001</v>
      </c>
      <c r="D25" t="s">
        <v>61</v>
      </c>
      <c r="E25" s="123"/>
      <c r="F25" s="123"/>
      <c r="G25" s="123"/>
    </row>
    <row r="26" spans="1:7">
      <c r="A26" s="175" t="s">
        <v>57</v>
      </c>
      <c r="B26" s="169" t="s">
        <v>59</v>
      </c>
      <c r="C26" s="176">
        <v>551582.06730000011</v>
      </c>
      <c r="D26" t="s">
        <v>61</v>
      </c>
      <c r="E26" s="123"/>
      <c r="F26" s="123"/>
      <c r="G26" s="123"/>
    </row>
    <row r="27" spans="1:7">
      <c r="A27" s="175" t="s">
        <v>57</v>
      </c>
      <c r="B27" s="169" t="s">
        <v>60</v>
      </c>
      <c r="C27" s="176">
        <v>643539.57559999998</v>
      </c>
      <c r="D27" t="s">
        <v>61</v>
      </c>
      <c r="E27" s="123"/>
      <c r="F27" s="123"/>
      <c r="G27" s="123"/>
    </row>
    <row r="28" spans="1:7">
      <c r="A28" s="175" t="s">
        <v>57</v>
      </c>
      <c r="B28" s="169" t="s">
        <v>64</v>
      </c>
      <c r="C28" s="176">
        <v>536243.07039999997</v>
      </c>
      <c r="D28" t="s">
        <v>61</v>
      </c>
      <c r="E28" s="123"/>
      <c r="F28" s="123"/>
      <c r="G28" s="123"/>
    </row>
    <row r="29" spans="1:7">
      <c r="A29" s="175" t="s">
        <v>57</v>
      </c>
      <c r="B29" s="169" t="s">
        <v>65</v>
      </c>
      <c r="C29" s="176">
        <v>386367.31310000003</v>
      </c>
      <c r="D29" t="s">
        <v>61</v>
      </c>
      <c r="E29" s="123"/>
      <c r="F29" s="123"/>
      <c r="G29" s="123"/>
    </row>
    <row r="30" spans="1:7">
      <c r="A30" s="175" t="s">
        <v>57</v>
      </c>
      <c r="B30" s="169" t="s">
        <v>66</v>
      </c>
      <c r="C30" s="176">
        <v>240086.10880000002</v>
      </c>
      <c r="D30" t="s">
        <v>61</v>
      </c>
      <c r="E30" s="123"/>
      <c r="F30" s="123"/>
      <c r="G30" s="123"/>
    </row>
    <row r="31" spans="1:7">
      <c r="A31" s="175" t="s">
        <v>57</v>
      </c>
      <c r="B31" s="169" t="s">
        <v>67</v>
      </c>
      <c r="C31" s="176">
        <v>131733.95140000002</v>
      </c>
      <c r="D31" t="s">
        <v>61</v>
      </c>
      <c r="E31" s="123"/>
      <c r="F31" s="123"/>
      <c r="G31" s="123"/>
    </row>
    <row r="32" spans="1:7">
      <c r="A32" s="175" t="s">
        <v>57</v>
      </c>
      <c r="B32" s="169" t="s">
        <v>68</v>
      </c>
      <c r="C32" s="176">
        <v>114811.29930000001</v>
      </c>
      <c r="D32" t="s">
        <v>61</v>
      </c>
      <c r="E32" s="123"/>
      <c r="F32" s="123"/>
      <c r="G32" s="123"/>
    </row>
    <row r="33" spans="1:9">
      <c r="A33" s="175" t="s">
        <v>57</v>
      </c>
      <c r="B33" s="169" t="s">
        <v>69</v>
      </c>
      <c r="C33" s="176">
        <v>113349.38</v>
      </c>
      <c r="D33" t="s">
        <v>61</v>
      </c>
      <c r="E33" s="276"/>
      <c r="F33" s="123"/>
      <c r="G33" s="123"/>
    </row>
    <row r="34" spans="1:9">
      <c r="A34" s="177" t="s">
        <v>57</v>
      </c>
      <c r="B34" s="20" t="s">
        <v>70</v>
      </c>
      <c r="C34" s="178">
        <v>121481.22503880312</v>
      </c>
      <c r="D34" t="s">
        <v>62</v>
      </c>
      <c r="E34" s="123"/>
      <c r="F34" s="123"/>
      <c r="G34" s="123"/>
    </row>
    <row r="35" spans="1:9">
      <c r="A35" s="177" t="s">
        <v>57</v>
      </c>
      <c r="B35" s="20" t="s">
        <v>71</v>
      </c>
      <c r="C35" s="178">
        <v>160437.70757022378</v>
      </c>
      <c r="D35" t="s">
        <v>62</v>
      </c>
      <c r="E35" s="123"/>
      <c r="F35" s="123"/>
      <c r="G35" s="123"/>
    </row>
    <row r="36" spans="1:9">
      <c r="A36" s="177" t="s">
        <v>57</v>
      </c>
      <c r="B36" s="20" t="s">
        <v>72</v>
      </c>
      <c r="C36" s="178">
        <v>296633.23795739037</v>
      </c>
      <c r="D36" t="s">
        <v>62</v>
      </c>
      <c r="E36" s="123"/>
      <c r="F36" s="123"/>
      <c r="G36" s="123"/>
    </row>
    <row r="37" spans="1:9">
      <c r="A37" s="177" t="s">
        <v>57</v>
      </c>
      <c r="B37" s="20" t="s">
        <v>73</v>
      </c>
      <c r="C37" s="178">
        <v>443527.22460251645</v>
      </c>
      <c r="D37" t="s">
        <v>62</v>
      </c>
      <c r="E37" s="123"/>
      <c r="F37" s="123"/>
      <c r="G37" s="123"/>
    </row>
    <row r="39" spans="1:9">
      <c r="B39" t="s">
        <v>253</v>
      </c>
      <c r="E39" t="s">
        <v>254</v>
      </c>
      <c r="H39" t="s">
        <v>366</v>
      </c>
    </row>
    <row r="40" spans="1:9">
      <c r="B40" t="s">
        <v>358</v>
      </c>
      <c r="C40" s="19">
        <f>SUM(C2:C13)</f>
        <v>3337044.6030000001</v>
      </c>
      <c r="E40" t="s">
        <v>369</v>
      </c>
      <c r="F40" s="19">
        <f>SUM(C14:C25)</f>
        <v>3408789.8999999994</v>
      </c>
      <c r="H40" t="s">
        <v>370</v>
      </c>
      <c r="I40" s="19">
        <f>SUM(C26:C37)</f>
        <v>3739792.1610689336</v>
      </c>
    </row>
    <row r="41" spans="1:9">
      <c r="B41" t="s">
        <v>255</v>
      </c>
      <c r="C41" s="123">
        <v>3385746</v>
      </c>
      <c r="E41" t="s">
        <v>256</v>
      </c>
      <c r="F41" s="123">
        <v>3601161</v>
      </c>
      <c r="H41" t="s">
        <v>256</v>
      </c>
      <c r="I41" s="123">
        <v>3763300</v>
      </c>
    </row>
    <row r="42" spans="1:9">
      <c r="B42" t="s">
        <v>257</v>
      </c>
      <c r="C42" s="19">
        <f>C40-C41</f>
        <v>-48701.396999999881</v>
      </c>
      <c r="E42" t="s">
        <v>257</v>
      </c>
      <c r="F42" s="19">
        <f>F40-F41</f>
        <v>-192371.10000000056</v>
      </c>
      <c r="H42" t="s">
        <v>257</v>
      </c>
      <c r="I42" s="19">
        <f>I40-I41</f>
        <v>-23507.83893106645</v>
      </c>
    </row>
    <row r="44" spans="1:9">
      <c r="B44" t="s">
        <v>258</v>
      </c>
      <c r="C44">
        <v>-3593</v>
      </c>
      <c r="E44" t="s">
        <v>258</v>
      </c>
    </row>
    <row r="46" spans="1:9">
      <c r="B46" t="s">
        <v>259</v>
      </c>
      <c r="C46" s="19">
        <f>C42-C44</f>
        <v>-45108.396999999881</v>
      </c>
      <c r="E46" t="s">
        <v>259</v>
      </c>
      <c r="F46" s="19">
        <f>F42-F44</f>
        <v>-192371.10000000056</v>
      </c>
    </row>
    <row r="47" spans="1:9">
      <c r="F47">
        <v>-159749</v>
      </c>
    </row>
    <row r="49" spans="6:6">
      <c r="F49" s="19">
        <f>F42-F47</f>
        <v>-32622.100000000559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CC3CE-48D2-483E-B937-7A084370A88A}">
  <dimension ref="B1:P34"/>
  <sheetViews>
    <sheetView workbookViewId="0">
      <selection activeCell="O17" sqref="O17"/>
    </sheetView>
  </sheetViews>
  <sheetFormatPr defaultRowHeight="14.5"/>
  <sheetData>
    <row r="1" spans="2:2">
      <c r="B1" t="s">
        <v>265</v>
      </c>
    </row>
    <row r="2" spans="2:2">
      <c r="B2" t="s">
        <v>266</v>
      </c>
    </row>
    <row r="34" spans="15:16">
      <c r="O34">
        <v>177840</v>
      </c>
      <c r="P34" t="s">
        <v>267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C46"/>
  <sheetViews>
    <sheetView zoomScale="115" zoomScaleNormal="115" workbookViewId="0">
      <pane xSplit="9" ySplit="3" topLeftCell="BK4" activePane="bottomRight" state="frozen"/>
      <selection pane="topRight" activeCell="J1" sqref="J1"/>
      <selection pane="bottomLeft" activeCell="A4" sqref="A4"/>
      <selection pane="bottomRight" activeCell="BM7" sqref="BM7"/>
    </sheetView>
  </sheetViews>
  <sheetFormatPr defaultColWidth="8.7265625" defaultRowHeight="14.5"/>
  <cols>
    <col min="1" max="1" width="8.7265625" style="39"/>
    <col min="2" max="2" width="13.54296875" style="39" bestFit="1" customWidth="1"/>
    <col min="3" max="9" width="10.7265625" style="39" hidden="1" customWidth="1"/>
    <col min="10" max="30" width="10.7265625" style="39" customWidth="1"/>
    <col min="31" max="31" width="11.1796875" style="39" customWidth="1"/>
    <col min="32" max="32" width="13.1796875" style="39" customWidth="1"/>
    <col min="33" max="37" width="10.7265625" style="39" customWidth="1"/>
    <col min="38" max="43" width="10.7265625" style="39" hidden="1" customWidth="1"/>
    <col min="44" max="49" width="10.7265625" style="39" customWidth="1"/>
    <col min="50" max="65" width="10.7265625" customWidth="1"/>
    <col min="66" max="66" width="2.81640625" customWidth="1"/>
    <col min="67" max="67" width="7.54296875" bestFit="1" customWidth="1"/>
    <col min="68" max="68" width="4.1796875" bestFit="1" customWidth="1"/>
    <col min="69" max="69" width="10.7265625" customWidth="1"/>
    <col min="70" max="70" width="2.81640625" customWidth="1"/>
    <col min="71" max="71" width="7.54296875" bestFit="1" customWidth="1"/>
    <col min="72" max="72" width="4.1796875" bestFit="1" customWidth="1"/>
    <col min="73" max="73" width="10.7265625" customWidth="1"/>
    <col min="74" max="77" width="10.7265625" style="39" customWidth="1"/>
    <col min="78" max="78" width="2.81640625" style="39" customWidth="1"/>
    <col min="79" max="79" width="7.54296875" style="39" bestFit="1" customWidth="1"/>
    <col min="80" max="80" width="4.1796875" style="39" bestFit="1" customWidth="1"/>
    <col min="81" max="16384" width="8.7265625" style="39"/>
  </cols>
  <sheetData>
    <row r="1" spans="1:81">
      <c r="C1" s="342" t="s">
        <v>335</v>
      </c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2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Q1" s="74"/>
      <c r="BU1" s="74" t="s">
        <v>336</v>
      </c>
      <c r="BV1" s="49"/>
      <c r="BW1" s="49"/>
      <c r="BX1" s="49"/>
      <c r="BY1" s="49"/>
    </row>
    <row r="2" spans="1:81">
      <c r="B2" s="50" t="s">
        <v>337</v>
      </c>
      <c r="C2" s="51">
        <v>38991</v>
      </c>
      <c r="D2" s="51">
        <v>39195</v>
      </c>
      <c r="E2" s="51">
        <v>39286</v>
      </c>
      <c r="F2" s="51">
        <v>39378</v>
      </c>
      <c r="G2" s="51">
        <v>39468</v>
      </c>
      <c r="H2" s="51">
        <v>39560</v>
      </c>
      <c r="I2" s="51">
        <v>39651</v>
      </c>
      <c r="J2" s="51">
        <v>39743</v>
      </c>
      <c r="K2" s="51">
        <v>39834</v>
      </c>
      <c r="L2" s="51">
        <v>39923</v>
      </c>
      <c r="M2" s="51">
        <v>40015</v>
      </c>
      <c r="N2" s="51">
        <v>40107</v>
      </c>
      <c r="O2" s="51">
        <v>40201</v>
      </c>
      <c r="P2" s="51">
        <v>40290</v>
      </c>
      <c r="Q2" s="51">
        <v>40382</v>
      </c>
      <c r="R2" s="51">
        <v>40475</v>
      </c>
      <c r="S2" s="51">
        <v>40566</v>
      </c>
      <c r="T2" s="51">
        <v>40655</v>
      </c>
      <c r="U2" s="51">
        <v>40746</v>
      </c>
      <c r="V2" s="51">
        <v>40838</v>
      </c>
      <c r="W2" s="51">
        <v>40931</v>
      </c>
      <c r="X2" s="51">
        <v>41021</v>
      </c>
      <c r="Y2" s="51">
        <v>41111</v>
      </c>
      <c r="Z2" s="51">
        <v>41214</v>
      </c>
      <c r="AA2" s="51">
        <v>41311</v>
      </c>
      <c r="AB2" s="51">
        <v>41401</v>
      </c>
      <c r="AC2" s="51">
        <v>74364</v>
      </c>
      <c r="AD2" s="51">
        <v>41579</v>
      </c>
      <c r="AE2" s="51">
        <v>41676</v>
      </c>
      <c r="AF2" s="51">
        <v>41767</v>
      </c>
      <c r="AG2" s="51">
        <v>41858</v>
      </c>
      <c r="AH2" s="51">
        <v>41944</v>
      </c>
      <c r="AI2" s="51">
        <v>42040</v>
      </c>
      <c r="AJ2" s="51">
        <v>42130</v>
      </c>
      <c r="AK2" s="51">
        <v>42221</v>
      </c>
      <c r="AL2" s="51">
        <v>42309</v>
      </c>
      <c r="AM2" s="51">
        <v>42401</v>
      </c>
      <c r="AN2" s="51">
        <v>42495</v>
      </c>
      <c r="AO2" s="51">
        <v>42587</v>
      </c>
      <c r="AP2" s="51">
        <v>42767</v>
      </c>
      <c r="AQ2" s="51">
        <v>42891</v>
      </c>
      <c r="AR2" s="51">
        <v>42952</v>
      </c>
      <c r="AS2" s="51">
        <v>43041</v>
      </c>
      <c r="AT2" s="51">
        <v>43132</v>
      </c>
      <c r="AU2" s="51">
        <v>43224</v>
      </c>
      <c r="AV2" s="51">
        <v>43318</v>
      </c>
      <c r="AW2" s="51">
        <v>43405</v>
      </c>
      <c r="AX2" s="106">
        <v>43497</v>
      </c>
      <c r="AY2" s="106">
        <v>43591</v>
      </c>
      <c r="AZ2" s="106">
        <v>43591</v>
      </c>
      <c r="BA2" s="106">
        <v>43683</v>
      </c>
      <c r="BB2" s="106">
        <v>43770</v>
      </c>
      <c r="BC2" s="106">
        <v>43862</v>
      </c>
      <c r="BD2" s="106">
        <v>43957</v>
      </c>
      <c r="BE2" s="106">
        <v>44049</v>
      </c>
      <c r="BF2" s="106">
        <v>44136</v>
      </c>
      <c r="BG2" s="106">
        <v>44228</v>
      </c>
      <c r="BH2" s="106">
        <v>44322</v>
      </c>
      <c r="BI2" s="106">
        <v>44414</v>
      </c>
      <c r="BJ2" s="106">
        <v>44501</v>
      </c>
      <c r="BK2" s="106">
        <v>44593</v>
      </c>
      <c r="BL2" s="106">
        <v>44687</v>
      </c>
      <c r="BM2" s="106">
        <v>44779</v>
      </c>
      <c r="BQ2" s="106" t="s">
        <v>338</v>
      </c>
      <c r="BU2" s="106">
        <v>44593</v>
      </c>
      <c r="BV2" s="51"/>
      <c r="BW2" s="51"/>
      <c r="BX2" s="51"/>
      <c r="BY2" s="51"/>
    </row>
    <row r="3" spans="1:81">
      <c r="A3" s="49" t="s">
        <v>339</v>
      </c>
      <c r="B3" s="50" t="s">
        <v>340</v>
      </c>
      <c r="C3" s="51">
        <v>39194</v>
      </c>
      <c r="D3" s="51">
        <v>39285</v>
      </c>
      <c r="E3" s="51">
        <v>39377</v>
      </c>
      <c r="F3" s="51">
        <v>39467</v>
      </c>
      <c r="G3" s="51">
        <v>39559</v>
      </c>
      <c r="H3" s="51">
        <v>39650</v>
      </c>
      <c r="I3" s="51">
        <v>39742</v>
      </c>
      <c r="J3" s="51">
        <v>39833</v>
      </c>
      <c r="K3" s="51">
        <v>39922</v>
      </c>
      <c r="L3" s="51">
        <v>40014</v>
      </c>
      <c r="M3" s="51">
        <v>40106</v>
      </c>
      <c r="N3" s="51">
        <v>40200</v>
      </c>
      <c r="O3" s="51">
        <v>40289</v>
      </c>
      <c r="P3" s="51">
        <v>40381</v>
      </c>
      <c r="Q3" s="52">
        <v>40474</v>
      </c>
      <c r="R3" s="52">
        <v>40565</v>
      </c>
      <c r="S3" s="52">
        <v>40654</v>
      </c>
      <c r="T3" s="52">
        <v>40745</v>
      </c>
      <c r="U3" s="52">
        <v>40837</v>
      </c>
      <c r="V3" s="52">
        <v>40930</v>
      </c>
      <c r="W3" s="52">
        <v>41020</v>
      </c>
      <c r="X3" s="52">
        <v>41110</v>
      </c>
      <c r="Y3" s="52">
        <v>41213</v>
      </c>
      <c r="Z3" s="52">
        <v>41310</v>
      </c>
      <c r="AA3" s="52">
        <v>41400</v>
      </c>
      <c r="AB3" s="52">
        <v>41492</v>
      </c>
      <c r="AC3" s="52">
        <v>41578</v>
      </c>
      <c r="AD3" s="52">
        <v>41675</v>
      </c>
      <c r="AE3" s="52">
        <v>41766</v>
      </c>
      <c r="AF3" s="52">
        <v>41857</v>
      </c>
      <c r="AG3" s="52">
        <v>41943</v>
      </c>
      <c r="AH3" s="52">
        <v>42039</v>
      </c>
      <c r="AI3" s="51">
        <v>42129</v>
      </c>
      <c r="AJ3" s="51">
        <v>42220</v>
      </c>
      <c r="AK3" s="51">
        <v>42308</v>
      </c>
      <c r="AL3" s="51">
        <v>42400</v>
      </c>
      <c r="AM3" s="51">
        <v>42494</v>
      </c>
      <c r="AN3" s="51">
        <v>42586</v>
      </c>
      <c r="AO3" s="51">
        <v>42766</v>
      </c>
      <c r="AP3" s="51">
        <v>42890</v>
      </c>
      <c r="AQ3" s="51">
        <v>42951</v>
      </c>
      <c r="AR3" s="51">
        <v>43040</v>
      </c>
      <c r="AS3" s="51">
        <v>43131</v>
      </c>
      <c r="AT3" s="51">
        <v>43223</v>
      </c>
      <c r="AU3" s="51">
        <v>43317</v>
      </c>
      <c r="AV3" s="51">
        <v>43404</v>
      </c>
      <c r="AW3" s="106">
        <v>43496</v>
      </c>
      <c r="AX3" s="106">
        <v>43590</v>
      </c>
      <c r="AY3" s="106">
        <v>43682</v>
      </c>
      <c r="AZ3" s="106">
        <v>43682</v>
      </c>
      <c r="BA3" s="106">
        <v>43769</v>
      </c>
      <c r="BB3" s="106">
        <v>43861</v>
      </c>
      <c r="BC3" s="106">
        <v>43956</v>
      </c>
      <c r="BD3" s="106">
        <v>44048</v>
      </c>
      <c r="BE3" s="106">
        <v>44135</v>
      </c>
      <c r="BF3" s="106">
        <v>43861</v>
      </c>
      <c r="BG3" s="106">
        <v>44321</v>
      </c>
      <c r="BH3" s="106">
        <v>44413</v>
      </c>
      <c r="BI3" s="106">
        <v>44500</v>
      </c>
      <c r="BJ3" s="106">
        <v>44227</v>
      </c>
      <c r="BK3" s="106">
        <v>44686</v>
      </c>
      <c r="BL3" s="106">
        <v>44778</v>
      </c>
      <c r="BM3" s="106">
        <v>44865</v>
      </c>
      <c r="BQ3" s="106"/>
      <c r="BU3" s="149" t="s">
        <v>341</v>
      </c>
      <c r="BV3" s="51"/>
      <c r="BW3" s="51"/>
      <c r="BX3" s="51"/>
      <c r="BY3" s="51"/>
    </row>
    <row r="4" spans="1:81" ht="13.75" customHeight="1">
      <c r="A4" s="339" t="s">
        <v>342</v>
      </c>
      <c r="B4" s="53" t="s">
        <v>343</v>
      </c>
      <c r="C4" s="54">
        <v>0.47720000000000001</v>
      </c>
      <c r="D4" s="54">
        <v>0.47720000000000001</v>
      </c>
      <c r="E4" s="54">
        <v>0.47720000000000001</v>
      </c>
      <c r="F4" s="54">
        <v>0.47720000000000001</v>
      </c>
      <c r="G4" s="54">
        <v>0.58730000000000004</v>
      </c>
      <c r="H4" s="54">
        <v>0.58730000000000004</v>
      </c>
      <c r="I4" s="54">
        <v>0.58730000000000004</v>
      </c>
      <c r="J4" s="54">
        <f>I4</f>
        <v>0.58730000000000004</v>
      </c>
      <c r="K4" s="54">
        <v>0.6099</v>
      </c>
      <c r="L4" s="54">
        <f>K4</f>
        <v>0.6099</v>
      </c>
      <c r="M4" s="54">
        <f>L4</f>
        <v>0.6099</v>
      </c>
      <c r="N4" s="54">
        <f>M4</f>
        <v>0.6099</v>
      </c>
      <c r="O4" s="54">
        <v>0.60750000000000004</v>
      </c>
      <c r="P4" s="54">
        <f>O4</f>
        <v>0.60750000000000004</v>
      </c>
      <c r="Q4" s="55">
        <f>P4</f>
        <v>0.60750000000000004</v>
      </c>
      <c r="R4" s="55">
        <f>Q4</f>
        <v>0.60750000000000004</v>
      </c>
      <c r="S4" s="55">
        <v>0.61380000000000001</v>
      </c>
      <c r="T4" s="55">
        <v>0.61380000000000001</v>
      </c>
      <c r="U4" s="55">
        <f>T4</f>
        <v>0.61380000000000001</v>
      </c>
      <c r="V4" s="55">
        <f>U4</f>
        <v>0.61380000000000001</v>
      </c>
      <c r="W4" s="55">
        <v>0.61880000000000002</v>
      </c>
      <c r="X4" s="55">
        <f>W4</f>
        <v>0.61880000000000002</v>
      </c>
      <c r="Y4" s="55">
        <f>X4</f>
        <v>0.61880000000000002</v>
      </c>
      <c r="Z4" s="55">
        <v>0.63759999999999994</v>
      </c>
      <c r="AA4" s="55">
        <v>0.63759999999999994</v>
      </c>
      <c r="AB4" s="55">
        <v>0.63759999999999994</v>
      </c>
      <c r="AC4" s="55">
        <v>0.63759999999999994</v>
      </c>
      <c r="AD4" s="55">
        <v>0.68089999999999995</v>
      </c>
      <c r="AE4" s="55">
        <f>AD4</f>
        <v>0.68089999999999995</v>
      </c>
      <c r="AF4" s="55">
        <f>+AE4</f>
        <v>0.68089999999999995</v>
      </c>
      <c r="AG4" s="55">
        <f>+AF4</f>
        <v>0.68089999999999995</v>
      </c>
      <c r="AH4" s="55">
        <v>0.66020000000000001</v>
      </c>
      <c r="AI4" s="55">
        <f>+AH4</f>
        <v>0.66020000000000001</v>
      </c>
      <c r="AJ4" s="55">
        <v>0.66020000000000001</v>
      </c>
      <c r="AK4" s="55">
        <v>0.66020000000000001</v>
      </c>
      <c r="AL4" s="55">
        <v>0.67010000000000003</v>
      </c>
      <c r="AM4" s="55">
        <v>0.67010000000000003</v>
      </c>
      <c r="AN4" s="55">
        <v>0.67010000000000003</v>
      </c>
      <c r="AO4" s="55">
        <v>0.67179999999999995</v>
      </c>
      <c r="AP4" s="55">
        <v>0.67179999999999995</v>
      </c>
      <c r="AQ4" s="55">
        <v>0.67179999999999995</v>
      </c>
      <c r="AR4" s="55">
        <v>0.67179999999999995</v>
      </c>
      <c r="AS4" s="55">
        <v>0.69869999999999999</v>
      </c>
      <c r="AT4" s="55">
        <v>0.69869999999999999</v>
      </c>
      <c r="AU4" s="55">
        <v>0.69869999999999999</v>
      </c>
      <c r="AV4" s="55">
        <v>0.69869999999999999</v>
      </c>
      <c r="AW4" s="55">
        <v>0.72599999999999998</v>
      </c>
      <c r="AX4" s="107">
        <v>0.72599999999999998</v>
      </c>
      <c r="AY4" s="107">
        <f>AX4</f>
        <v>0.72599999999999998</v>
      </c>
      <c r="AZ4" s="107">
        <f>AY4</f>
        <v>0.72599999999999998</v>
      </c>
      <c r="BA4" s="107">
        <f>AZ4</f>
        <v>0.72599999999999998</v>
      </c>
      <c r="BB4" s="107">
        <v>0.76219999999999999</v>
      </c>
      <c r="BC4" s="107">
        <v>0.76219999999999999</v>
      </c>
      <c r="BD4" s="107">
        <v>0.76219999999999999</v>
      </c>
      <c r="BE4" s="107">
        <v>0.76219999999999999</v>
      </c>
      <c r="BF4" s="107">
        <v>0.76219999999999999</v>
      </c>
      <c r="BG4" s="107">
        <v>0.76219999999999999</v>
      </c>
      <c r="BH4" s="107">
        <v>0.76219999999999999</v>
      </c>
      <c r="BI4" s="107">
        <v>0.76219999999999999</v>
      </c>
      <c r="BJ4" s="107">
        <v>0.77710000000000001</v>
      </c>
      <c r="BK4" s="107">
        <v>0.77710000000000001</v>
      </c>
      <c r="BL4" s="107">
        <v>0.77710000000000001</v>
      </c>
      <c r="BM4" s="107">
        <v>0.77710000000000001</v>
      </c>
      <c r="BO4" s="74" t="s">
        <v>344</v>
      </c>
      <c r="BP4" s="17"/>
      <c r="BQ4" s="107">
        <v>0.77710000000000001</v>
      </c>
      <c r="BS4" s="74" t="s">
        <v>344</v>
      </c>
      <c r="BT4" s="17"/>
      <c r="BU4" s="107">
        <f>BQ4</f>
        <v>0.77710000000000001</v>
      </c>
      <c r="BV4" s="55"/>
      <c r="BW4" s="55"/>
      <c r="BX4" s="55"/>
      <c r="BY4" s="55"/>
      <c r="CA4" s="49" t="s">
        <v>344</v>
      </c>
      <c r="CB4" s="56"/>
      <c r="CC4" s="57"/>
    </row>
    <row r="5" spans="1:81" ht="13.75" customHeight="1">
      <c r="A5" s="340"/>
      <c r="B5" s="58" t="s">
        <v>345</v>
      </c>
      <c r="C5" s="59">
        <v>0.98939999999999995</v>
      </c>
      <c r="D5" s="59">
        <v>1.0737000000000001</v>
      </c>
      <c r="E5" s="59">
        <v>1.1525000000000001</v>
      </c>
      <c r="F5" s="59">
        <v>1.1040000000000001</v>
      </c>
      <c r="G5" s="59">
        <v>1.0909</v>
      </c>
      <c r="H5" s="59">
        <v>1.0944</v>
      </c>
      <c r="I5" s="59">
        <v>1.2496</v>
      </c>
      <c r="J5" s="59">
        <v>1.2118</v>
      </c>
      <c r="K5" s="59">
        <v>1.0644</v>
      </c>
      <c r="L5" s="59">
        <v>0.88800000000000001</v>
      </c>
      <c r="M5" s="59">
        <v>0.88300000000000001</v>
      </c>
      <c r="N5" s="59">
        <v>0.86570000000000003</v>
      </c>
      <c r="O5" s="59">
        <v>0.83750000000000002</v>
      </c>
      <c r="P5" s="59">
        <v>0.91059999999999997</v>
      </c>
      <c r="Q5" s="59">
        <v>0.9073</v>
      </c>
      <c r="R5" s="59">
        <v>0.87490000000000001</v>
      </c>
      <c r="S5" s="59">
        <v>0.8306</v>
      </c>
      <c r="T5" s="59">
        <v>0.8306</v>
      </c>
      <c r="U5" s="59">
        <v>0.96809999999999996</v>
      </c>
      <c r="V5" s="59">
        <v>0.95469999999999999</v>
      </c>
      <c r="W5" s="59">
        <v>0.8427</v>
      </c>
      <c r="X5" s="59">
        <v>0.79959999999999998</v>
      </c>
      <c r="Y5" s="59">
        <v>0.74660000000000004</v>
      </c>
      <c r="Z5" s="59">
        <v>0.747</v>
      </c>
      <c r="AA5" s="59">
        <v>0.77180000000000004</v>
      </c>
      <c r="AB5" s="59">
        <v>0.74160000000000004</v>
      </c>
      <c r="AC5" s="59">
        <v>0.72270000000000001</v>
      </c>
      <c r="AD5" s="59">
        <v>0.59370000000000001</v>
      </c>
      <c r="AE5" s="59">
        <v>0.56630000000000003</v>
      </c>
      <c r="AF5" s="59">
        <v>0.5948</v>
      </c>
      <c r="AG5" s="59">
        <v>0.6482</v>
      </c>
      <c r="AH5" s="59">
        <v>0.65059999999999996</v>
      </c>
      <c r="AI5" s="59">
        <v>0.60750000000000004</v>
      </c>
      <c r="AJ5" s="59">
        <v>0.59889999999999999</v>
      </c>
      <c r="AK5" s="59">
        <v>0.59550000000000003</v>
      </c>
      <c r="AL5" s="59">
        <v>0.54720000000000002</v>
      </c>
      <c r="AM5" s="59">
        <v>0.52949999999999997</v>
      </c>
      <c r="AN5" s="59">
        <v>0.50409999999999999</v>
      </c>
      <c r="AO5" s="59">
        <v>0.53680000000000005</v>
      </c>
      <c r="AP5" s="59">
        <v>0.50339999999999996</v>
      </c>
      <c r="AQ5" s="59">
        <v>0.52210000000000001</v>
      </c>
      <c r="AR5" s="59">
        <v>0.5141</v>
      </c>
      <c r="AS5" s="59">
        <v>0.5131</v>
      </c>
      <c r="AT5" s="59">
        <v>0.50880000000000003</v>
      </c>
      <c r="AU5" s="59">
        <v>0.43509999999999999</v>
      </c>
      <c r="AV5" s="59">
        <v>0.42909999999999998</v>
      </c>
      <c r="AW5" s="59">
        <v>0.41880000000000001</v>
      </c>
      <c r="AX5" s="108">
        <v>0.41760000000000003</v>
      </c>
      <c r="AY5" s="108">
        <v>0.3695</v>
      </c>
      <c r="AZ5" s="108">
        <v>0.3695</v>
      </c>
      <c r="BA5" s="108">
        <v>0.34610000000000002</v>
      </c>
      <c r="BB5" s="108">
        <v>0.3236</v>
      </c>
      <c r="BC5" s="108">
        <v>0.30630000000000002</v>
      </c>
      <c r="BD5" s="108">
        <v>0.30330000000000001</v>
      </c>
      <c r="BE5" s="108">
        <v>0.34110000000000001</v>
      </c>
      <c r="BF5" s="108">
        <v>0.36020000000000002</v>
      </c>
      <c r="BG5" s="108">
        <v>0.36820000000000003</v>
      </c>
      <c r="BH5" s="108">
        <v>0.40039999999999998</v>
      </c>
      <c r="BI5" s="108">
        <v>0.41799999999999998</v>
      </c>
      <c r="BJ5" s="108">
        <v>0.44080000000000003</v>
      </c>
      <c r="BK5" s="108">
        <v>0.49180000000000001</v>
      </c>
      <c r="BL5" s="108">
        <v>0.49180000000000001</v>
      </c>
      <c r="BM5" s="108">
        <v>0.62470000000000003</v>
      </c>
      <c r="BN5" s="344" t="s">
        <v>346</v>
      </c>
      <c r="BO5" s="345">
        <f>BM5+BM6+BM7</f>
        <v>1.3391999999999999</v>
      </c>
      <c r="BP5" s="343" t="s">
        <v>347</v>
      </c>
      <c r="BQ5" s="108">
        <v>0.62470000000000003</v>
      </c>
      <c r="BR5" s="344" t="s">
        <v>346</v>
      </c>
      <c r="BS5" s="345">
        <f>BQ5+BQ6+BQ7</f>
        <v>1.3391999999999999</v>
      </c>
      <c r="BT5" s="343" t="s">
        <v>347</v>
      </c>
      <c r="BU5" s="108">
        <f>BQ5</f>
        <v>0.62470000000000003</v>
      </c>
      <c r="BV5" s="59"/>
      <c r="BW5" s="59"/>
      <c r="BX5" s="59"/>
      <c r="BY5" s="59"/>
      <c r="BZ5" s="341" t="s">
        <v>346</v>
      </c>
      <c r="CA5" s="346"/>
      <c r="CB5" s="347"/>
      <c r="CC5" s="57"/>
    </row>
    <row r="6" spans="1:81" ht="13.75" customHeight="1">
      <c r="A6" s="340"/>
      <c r="B6" s="60" t="s">
        <v>348</v>
      </c>
      <c r="C6" s="55">
        <v>0.3735</v>
      </c>
      <c r="D6" s="55">
        <v>0.3735</v>
      </c>
      <c r="E6" s="55">
        <v>0.3735</v>
      </c>
      <c r="F6" s="55">
        <v>0.3735</v>
      </c>
      <c r="G6" s="55">
        <v>0.4597</v>
      </c>
      <c r="H6" s="55">
        <v>0.4597</v>
      </c>
      <c r="I6" s="55">
        <v>0.4597</v>
      </c>
      <c r="J6" s="55">
        <f>I6</f>
        <v>0.4597</v>
      </c>
      <c r="K6" s="55">
        <v>0.47739999999999999</v>
      </c>
      <c r="L6" s="55">
        <f>K6</f>
        <v>0.47739999999999999</v>
      </c>
      <c r="M6" s="55">
        <f>L6</f>
        <v>0.47739999999999999</v>
      </c>
      <c r="N6" s="55">
        <f>M6</f>
        <v>0.47739999999999999</v>
      </c>
      <c r="O6" s="55">
        <v>0.47560000000000002</v>
      </c>
      <c r="P6" s="55">
        <f>O6</f>
        <v>0.47560000000000002</v>
      </c>
      <c r="Q6" s="55">
        <f>P6</f>
        <v>0.47560000000000002</v>
      </c>
      <c r="R6" s="55">
        <f>Q6</f>
        <v>0.47560000000000002</v>
      </c>
      <c r="S6" s="55">
        <v>0.48049999999999998</v>
      </c>
      <c r="T6" s="55">
        <v>0.48049999999999998</v>
      </c>
      <c r="U6" s="55">
        <f>T6</f>
        <v>0.48049999999999998</v>
      </c>
      <c r="V6" s="55">
        <f>U6</f>
        <v>0.48049999999999998</v>
      </c>
      <c r="W6" s="55">
        <v>0.56040000000000001</v>
      </c>
      <c r="X6" s="55">
        <f>W6</f>
        <v>0.56040000000000001</v>
      </c>
      <c r="Y6" s="55">
        <f>X6</f>
        <v>0.56040000000000001</v>
      </c>
      <c r="Z6" s="55">
        <v>0.57740000000000002</v>
      </c>
      <c r="AA6" s="55">
        <v>0.57740000000000002</v>
      </c>
      <c r="AB6" s="55">
        <v>0.57740000000000002</v>
      </c>
      <c r="AC6" s="55">
        <v>0.57740000000000002</v>
      </c>
      <c r="AD6" s="55">
        <v>0.60729999999999995</v>
      </c>
      <c r="AE6" s="55">
        <f>AD6</f>
        <v>0.60729999999999995</v>
      </c>
      <c r="AF6" s="55">
        <f>+AE6</f>
        <v>0.60729999999999995</v>
      </c>
      <c r="AG6" s="55">
        <f>+AF6</f>
        <v>0.60729999999999995</v>
      </c>
      <c r="AH6" s="55">
        <v>0.57989999999999997</v>
      </c>
      <c r="AI6" s="55">
        <f>+AH6</f>
        <v>0.57989999999999997</v>
      </c>
      <c r="AJ6" s="55">
        <v>0.57989999999999997</v>
      </c>
      <c r="AK6" s="55">
        <v>0.57989999999999997</v>
      </c>
      <c r="AL6" s="55">
        <v>0.58860000000000001</v>
      </c>
      <c r="AM6" s="55">
        <v>0.57179999999999997</v>
      </c>
      <c r="AN6" s="55">
        <v>0.57179999999999997</v>
      </c>
      <c r="AO6" s="55">
        <v>0.57320000000000004</v>
      </c>
      <c r="AP6" s="55">
        <v>0.57320000000000004</v>
      </c>
      <c r="AQ6" s="55">
        <v>0.57320000000000004</v>
      </c>
      <c r="AR6" s="55">
        <v>0.57320000000000004</v>
      </c>
      <c r="AS6" s="55">
        <v>0.59619999999999995</v>
      </c>
      <c r="AT6" s="55">
        <v>0.59619999999999995</v>
      </c>
      <c r="AU6" s="55">
        <v>0.59619999999999995</v>
      </c>
      <c r="AV6" s="55">
        <v>0.59619999999999995</v>
      </c>
      <c r="AW6" s="55">
        <v>0.61950000000000005</v>
      </c>
      <c r="AX6" s="107">
        <v>0.61950000000000005</v>
      </c>
      <c r="AY6" s="107">
        <f>AX6</f>
        <v>0.61950000000000005</v>
      </c>
      <c r="AZ6" s="107">
        <f>AY6</f>
        <v>0.61950000000000005</v>
      </c>
      <c r="BA6" s="107">
        <f>AZ6</f>
        <v>0.61950000000000005</v>
      </c>
      <c r="BB6" s="107">
        <v>0.65039999999999998</v>
      </c>
      <c r="BC6" s="107">
        <v>0.65039999999999998</v>
      </c>
      <c r="BD6" s="107">
        <v>0.65039999999999998</v>
      </c>
      <c r="BE6" s="107">
        <v>0.65039999999999998</v>
      </c>
      <c r="BF6" s="107">
        <v>0.65039999999999998</v>
      </c>
      <c r="BG6" s="107">
        <v>0.65039999999999998</v>
      </c>
      <c r="BH6" s="107">
        <v>0.65039999999999998</v>
      </c>
      <c r="BI6" s="107">
        <v>0.65039999999999998</v>
      </c>
      <c r="BJ6" s="107">
        <v>0.66310000000000002</v>
      </c>
      <c r="BK6" s="107">
        <v>0.66310000000000002</v>
      </c>
      <c r="BL6" s="107">
        <v>0.66310000000000002</v>
      </c>
      <c r="BM6" s="107">
        <v>0.66310000000000002</v>
      </c>
      <c r="BN6" s="344"/>
      <c r="BO6" s="345"/>
      <c r="BP6" s="343"/>
      <c r="BQ6" s="107">
        <v>0.66310000000000002</v>
      </c>
      <c r="BR6" s="344"/>
      <c r="BS6" s="345"/>
      <c r="BT6" s="343"/>
      <c r="BU6" s="107">
        <f>BQ6</f>
        <v>0.66310000000000002</v>
      </c>
      <c r="BV6" s="55"/>
      <c r="BW6" s="55"/>
      <c r="BX6" s="55"/>
      <c r="BY6" s="55"/>
      <c r="BZ6" s="341"/>
      <c r="CA6" s="346"/>
      <c r="CB6" s="347"/>
      <c r="CC6" s="57"/>
    </row>
    <row r="7" spans="1:81" ht="15.75" customHeight="1">
      <c r="A7" s="340"/>
      <c r="B7" s="60" t="s">
        <v>349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>
        <v>4.53E-2</v>
      </c>
      <c r="AN7" s="55">
        <v>4.53E-2</v>
      </c>
      <c r="AO7" s="55">
        <v>4.53E-2</v>
      </c>
      <c r="AP7" s="55">
        <v>5.11E-2</v>
      </c>
      <c r="AQ7" s="55">
        <v>5.11E-2</v>
      </c>
      <c r="AR7" s="55">
        <v>5.11E-2</v>
      </c>
      <c r="AS7" s="55">
        <v>5.11E-2</v>
      </c>
      <c r="AT7" s="55">
        <v>5.04E-2</v>
      </c>
      <c r="AU7" s="55">
        <v>5.04E-2</v>
      </c>
      <c r="AV7" s="55">
        <v>5.04E-2</v>
      </c>
      <c r="AW7" s="55">
        <v>5.04E-2</v>
      </c>
      <c r="AX7" s="107">
        <v>4.8000000000000001E-2</v>
      </c>
      <c r="AY7" s="107">
        <f t="shared" ref="AY7:AZ8" si="0">AX7</f>
        <v>4.8000000000000001E-2</v>
      </c>
      <c r="AZ7" s="107">
        <f t="shared" si="0"/>
        <v>4.8000000000000001E-2</v>
      </c>
      <c r="BA7" s="107">
        <f>AZ7</f>
        <v>4.8000000000000001E-2</v>
      </c>
      <c r="BB7" s="107">
        <v>4.8000000000000001E-2</v>
      </c>
      <c r="BC7" s="107">
        <v>4.8000000000000001E-2</v>
      </c>
      <c r="BD7" s="107">
        <v>4.8000000000000001E-2</v>
      </c>
      <c r="BE7" s="107">
        <v>4.8000000000000001E-2</v>
      </c>
      <c r="BF7" s="107">
        <v>4.8000000000000001E-2</v>
      </c>
      <c r="BG7" s="107">
        <v>4.9500000000000002E-2</v>
      </c>
      <c r="BH7" s="107">
        <v>4.9500000000000002E-2</v>
      </c>
      <c r="BI7" s="107">
        <v>4.9500000000000002E-2</v>
      </c>
      <c r="BJ7" s="107">
        <v>4.9500000000000002E-2</v>
      </c>
      <c r="BK7" s="107">
        <v>5.1400000000000001E-2</v>
      </c>
      <c r="BL7" s="107">
        <v>5.1400000000000001E-2</v>
      </c>
      <c r="BM7" s="107">
        <v>5.1400000000000001E-2</v>
      </c>
      <c r="BN7" s="344"/>
      <c r="BQ7" s="107">
        <v>5.1400000000000001E-2</v>
      </c>
      <c r="BR7" s="344"/>
      <c r="BU7" s="107">
        <f>'Prop EEC 2023 Rates'!H7</f>
        <v>5.0560000000000008E-2</v>
      </c>
      <c r="BV7" s="55"/>
      <c r="BW7" s="55"/>
      <c r="BX7" s="55"/>
      <c r="BY7" s="55"/>
      <c r="BZ7" s="341"/>
      <c r="CA7" s="83">
        <f>AW5+AW6+AW7</f>
        <v>1.0887</v>
      </c>
      <c r="CB7" s="84" t="s">
        <v>347</v>
      </c>
      <c r="CC7" s="57"/>
    </row>
    <row r="8" spans="1:81" ht="13.75" customHeight="1">
      <c r="A8" s="340"/>
      <c r="B8" s="60" t="s">
        <v>334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61">
        <v>1.39</v>
      </c>
      <c r="AC8" s="61">
        <f>+AB8</f>
        <v>1.39</v>
      </c>
      <c r="AD8" s="61">
        <f>+AC8</f>
        <v>1.39</v>
      </c>
      <c r="AE8" s="61">
        <f>+AD8</f>
        <v>1.39</v>
      </c>
      <c r="AF8" s="61">
        <f>+AE8</f>
        <v>1.39</v>
      </c>
      <c r="AG8" s="61">
        <f>+AF8</f>
        <v>1.39</v>
      </c>
      <c r="AH8" s="61">
        <v>0.78</v>
      </c>
      <c r="AI8" s="61">
        <f>+AH8</f>
        <v>0.78</v>
      </c>
      <c r="AJ8" s="61">
        <v>0.78</v>
      </c>
      <c r="AK8" s="61">
        <v>0.78</v>
      </c>
      <c r="AL8" s="61">
        <v>0.69</v>
      </c>
      <c r="AM8" s="61">
        <v>0.69</v>
      </c>
      <c r="AN8" s="61">
        <v>0.69</v>
      </c>
      <c r="AO8" s="61">
        <v>0.69</v>
      </c>
      <c r="AP8" s="61">
        <v>0.11</v>
      </c>
      <c r="AQ8" s="61">
        <v>0.11</v>
      </c>
      <c r="AR8" s="61">
        <v>0.11</v>
      </c>
      <c r="AS8" s="61">
        <v>0.11</v>
      </c>
      <c r="AT8" s="61">
        <v>0.11</v>
      </c>
      <c r="AU8" s="61">
        <v>0.11</v>
      </c>
      <c r="AV8" s="61">
        <v>0.11</v>
      </c>
      <c r="AW8" s="61">
        <v>0.11</v>
      </c>
      <c r="AX8" s="109">
        <v>0.11</v>
      </c>
      <c r="AY8" s="107">
        <f t="shared" si="0"/>
        <v>0.11</v>
      </c>
      <c r="AZ8" s="107">
        <f t="shared" si="0"/>
        <v>0.11</v>
      </c>
      <c r="BA8" s="107">
        <f>AZ8</f>
        <v>0.11</v>
      </c>
      <c r="BB8" s="107">
        <v>0.11</v>
      </c>
      <c r="BC8" s="107">
        <v>0.11</v>
      </c>
      <c r="BD8" s="107">
        <v>0.11</v>
      </c>
      <c r="BE8" s="107">
        <v>0.11</v>
      </c>
      <c r="BF8" s="107">
        <v>0.11</v>
      </c>
      <c r="BG8" s="107">
        <v>0.11</v>
      </c>
      <c r="BH8" s="107">
        <v>0.11</v>
      </c>
      <c r="BI8" s="107">
        <v>0.11</v>
      </c>
      <c r="BJ8" s="107">
        <v>0.4</v>
      </c>
      <c r="BK8" s="107">
        <v>0.4</v>
      </c>
      <c r="BL8" s="107">
        <v>0.4</v>
      </c>
      <c r="BM8" s="107">
        <v>0.4</v>
      </c>
      <c r="BN8" s="110"/>
      <c r="BO8" s="111"/>
      <c r="BP8" s="112"/>
      <c r="BQ8" s="107">
        <v>0.4</v>
      </c>
      <c r="BR8" s="110"/>
      <c r="BS8" s="111"/>
      <c r="BT8" s="112"/>
      <c r="BU8" s="107">
        <f>BQ8</f>
        <v>0.4</v>
      </c>
      <c r="BV8" s="61"/>
      <c r="BW8" s="61"/>
      <c r="BX8" s="61"/>
      <c r="BY8" s="61"/>
      <c r="BZ8" s="341"/>
      <c r="CA8" s="83"/>
      <c r="CB8" s="84"/>
      <c r="CC8" s="57"/>
    </row>
    <row r="9" spans="1:81" ht="13.75" customHeight="1">
      <c r="A9" s="82"/>
      <c r="B9" s="60" t="s">
        <v>350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2">
        <v>-7.4899999999999994E-2</v>
      </c>
      <c r="AU9" s="62">
        <v>-7.4899999999999994E-2</v>
      </c>
      <c r="AV9" s="62">
        <v>-7.4899999999999994E-2</v>
      </c>
      <c r="AW9" s="62">
        <v>0</v>
      </c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13"/>
      <c r="BO9" s="111"/>
      <c r="BP9" s="112"/>
      <c r="BQ9" s="107"/>
      <c r="BR9" s="113"/>
      <c r="BS9" s="111"/>
      <c r="BT9" s="112"/>
      <c r="BU9" s="107"/>
      <c r="BV9" s="62"/>
      <c r="BW9" s="62"/>
      <c r="BX9" s="62"/>
      <c r="BY9" s="62"/>
      <c r="BZ9" s="63" t="s">
        <v>346</v>
      </c>
      <c r="CA9" s="83">
        <f>CA7+AW9</f>
        <v>1.0887</v>
      </c>
      <c r="CB9" s="84" t="str">
        <f>CB7</f>
        <v>/ccf</v>
      </c>
      <c r="CC9" s="57"/>
    </row>
    <row r="10" spans="1:81" ht="12.75" customHeight="1">
      <c r="A10" s="64"/>
      <c r="AC10" s="40"/>
      <c r="AD10" s="40"/>
      <c r="AE10" s="40"/>
      <c r="AF10" s="40"/>
      <c r="AG10" s="40"/>
      <c r="AH10" s="40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5"/>
      <c r="BQ10" s="114"/>
      <c r="BR10" s="115"/>
      <c r="BU10" s="114"/>
      <c r="BV10" s="65"/>
      <c r="BW10" s="65"/>
      <c r="BX10" s="65"/>
      <c r="BY10" s="65"/>
      <c r="BZ10" s="66"/>
      <c r="CC10" s="57"/>
    </row>
    <row r="11" spans="1:81" ht="13.75" customHeight="1">
      <c r="A11" s="339" t="s">
        <v>142</v>
      </c>
      <c r="B11" s="53" t="s">
        <v>343</v>
      </c>
      <c r="C11" s="54">
        <v>0.79100000000000004</v>
      </c>
      <c r="D11" s="54">
        <v>0.79100000000000004</v>
      </c>
      <c r="E11" s="54">
        <v>0.79100000000000004</v>
      </c>
      <c r="F11" s="54">
        <v>0.79100000000000004</v>
      </c>
      <c r="G11" s="54">
        <v>0.97350000000000003</v>
      </c>
      <c r="H11" s="54">
        <v>0.97350000000000003</v>
      </c>
      <c r="I11" s="54">
        <v>0.97350000000000003</v>
      </c>
      <c r="J11" s="54">
        <f>I11</f>
        <v>0.97350000000000003</v>
      </c>
      <c r="K11" s="54">
        <v>1.0108999999999999</v>
      </c>
      <c r="L11" s="54">
        <f>K11</f>
        <v>1.0108999999999999</v>
      </c>
      <c r="M11" s="54">
        <f>L11</f>
        <v>1.0108999999999999</v>
      </c>
      <c r="N11" s="54">
        <f>M11</f>
        <v>1.0108999999999999</v>
      </c>
      <c r="O11" s="54">
        <v>1.0069999999999999</v>
      </c>
      <c r="P11" s="54">
        <f>O11</f>
        <v>1.0069999999999999</v>
      </c>
      <c r="Q11" s="54">
        <f>P11</f>
        <v>1.0069999999999999</v>
      </c>
      <c r="R11" s="54">
        <f>Q11</f>
        <v>1.0069999999999999</v>
      </c>
      <c r="S11" s="54">
        <v>1.0174000000000001</v>
      </c>
      <c r="T11" s="54">
        <v>1.0174000000000001</v>
      </c>
      <c r="U11" s="54">
        <f>T11</f>
        <v>1.0174000000000001</v>
      </c>
      <c r="V11" s="54">
        <f>U11</f>
        <v>1.0174000000000001</v>
      </c>
      <c r="W11" s="54">
        <v>1.0256000000000001</v>
      </c>
      <c r="X11" s="54">
        <f>W11</f>
        <v>1.0256000000000001</v>
      </c>
      <c r="Y11" s="54">
        <f>X11</f>
        <v>1.0256000000000001</v>
      </c>
      <c r="Z11" s="54">
        <v>1.0567</v>
      </c>
      <c r="AA11" s="54">
        <v>1.0567</v>
      </c>
      <c r="AB11" s="54">
        <v>1.0567</v>
      </c>
      <c r="AC11" s="55">
        <v>1.0567</v>
      </c>
      <c r="AD11" s="55">
        <v>1.1284000000000001</v>
      </c>
      <c r="AE11" s="55">
        <f>AD11</f>
        <v>1.1284000000000001</v>
      </c>
      <c r="AF11" s="55">
        <f>+AE11</f>
        <v>1.1284000000000001</v>
      </c>
      <c r="AG11" s="55">
        <f>+AF11</f>
        <v>1.1284000000000001</v>
      </c>
      <c r="AH11" s="55">
        <v>1.0940000000000001</v>
      </c>
      <c r="AI11" s="55">
        <f>+AH11</f>
        <v>1.0940000000000001</v>
      </c>
      <c r="AJ11" s="55">
        <v>1.0940000000000001</v>
      </c>
      <c r="AK11" s="55">
        <v>1.0940000000000001</v>
      </c>
      <c r="AL11" s="55">
        <v>1.1105</v>
      </c>
      <c r="AM11" s="55">
        <v>1.1105</v>
      </c>
      <c r="AN11" s="55">
        <v>1.1105</v>
      </c>
      <c r="AO11" s="55">
        <v>1.1133</v>
      </c>
      <c r="AP11" s="55">
        <v>1.1133</v>
      </c>
      <c r="AQ11" s="55">
        <v>1.1133</v>
      </c>
      <c r="AR11" s="55">
        <v>1.1133</v>
      </c>
      <c r="AS11" s="55">
        <v>1.1578999999999999</v>
      </c>
      <c r="AT11" s="55">
        <v>1.1578999999999999</v>
      </c>
      <c r="AU11" s="55">
        <v>1.1578999999999999</v>
      </c>
      <c r="AV11" s="55">
        <v>1.1578999999999999</v>
      </c>
      <c r="AW11" s="55">
        <v>1.2032</v>
      </c>
      <c r="AX11" s="107">
        <v>1.2032</v>
      </c>
      <c r="AY11" s="107">
        <f>AX11</f>
        <v>1.2032</v>
      </c>
      <c r="AZ11" s="107">
        <f>AY11</f>
        <v>1.2032</v>
      </c>
      <c r="BA11" s="107">
        <f>AZ11</f>
        <v>1.2032</v>
      </c>
      <c r="BB11" s="107">
        <v>1.2632000000000001</v>
      </c>
      <c r="BC11" s="107">
        <v>1.2632000000000001</v>
      </c>
      <c r="BD11" s="107">
        <v>1.2632000000000001</v>
      </c>
      <c r="BE11" s="107">
        <v>1.2632000000000001</v>
      </c>
      <c r="BF11" s="107">
        <v>1.2632000000000001</v>
      </c>
      <c r="BG11" s="107">
        <v>1.2632000000000001</v>
      </c>
      <c r="BH11" s="107">
        <v>1.2632000000000001</v>
      </c>
      <c r="BI11" s="107">
        <v>1.2632000000000001</v>
      </c>
      <c r="BJ11" s="107">
        <v>1.2879</v>
      </c>
      <c r="BK11" s="107">
        <v>1.2879</v>
      </c>
      <c r="BL11" s="107">
        <v>1.2879</v>
      </c>
      <c r="BM11" s="107">
        <v>1.2879</v>
      </c>
      <c r="BO11" s="17"/>
      <c r="BP11" s="17"/>
      <c r="BQ11" s="107">
        <v>1.2879</v>
      </c>
      <c r="BS11" s="17"/>
      <c r="BT11" s="17"/>
      <c r="BU11" s="107">
        <f>BQ11</f>
        <v>1.2879</v>
      </c>
      <c r="BV11" s="55"/>
      <c r="BW11" s="55"/>
      <c r="BX11" s="55"/>
      <c r="BY11" s="55"/>
      <c r="CA11" s="56"/>
      <c r="CB11" s="56"/>
      <c r="CC11" s="67"/>
    </row>
    <row r="12" spans="1:81" ht="13.75" customHeight="1">
      <c r="A12" s="340"/>
      <c r="B12" s="58" t="s">
        <v>345</v>
      </c>
      <c r="C12" s="59">
        <v>1.052</v>
      </c>
      <c r="D12" s="59">
        <v>1.1415999999999999</v>
      </c>
      <c r="E12" s="59">
        <v>1.2255</v>
      </c>
      <c r="F12" s="59">
        <v>1.1738999999999999</v>
      </c>
      <c r="G12" s="59">
        <v>1.1598999999999999</v>
      </c>
      <c r="H12" s="59">
        <v>1.1637</v>
      </c>
      <c r="I12" s="59">
        <v>1.3287</v>
      </c>
      <c r="J12" s="59">
        <v>1.2885</v>
      </c>
      <c r="K12" s="59">
        <v>1.1317999999999999</v>
      </c>
      <c r="L12" s="59">
        <v>0.94420000000000004</v>
      </c>
      <c r="M12" s="59">
        <v>0.93889999999999996</v>
      </c>
      <c r="N12" s="59">
        <v>0.92049999999999998</v>
      </c>
      <c r="O12" s="59">
        <v>0.89049999999999996</v>
      </c>
      <c r="P12" s="59">
        <v>0.96819999999999995</v>
      </c>
      <c r="Q12" s="59">
        <v>0.9647</v>
      </c>
      <c r="R12" s="59">
        <v>0.93030000000000002</v>
      </c>
      <c r="S12" s="59">
        <v>0.8831</v>
      </c>
      <c r="T12" s="59">
        <v>0.8831</v>
      </c>
      <c r="U12" s="59">
        <v>1.0294000000000001</v>
      </c>
      <c r="V12" s="59">
        <v>1.0150999999999999</v>
      </c>
      <c r="W12" s="59">
        <v>0.89610000000000001</v>
      </c>
      <c r="X12" s="59">
        <v>0.85029999999999994</v>
      </c>
      <c r="Y12" s="59">
        <v>0.79390000000000005</v>
      </c>
      <c r="Z12" s="59">
        <v>0.7944</v>
      </c>
      <c r="AA12" s="59">
        <v>0.82069999999999999</v>
      </c>
      <c r="AB12" s="59">
        <v>0.78859999999999997</v>
      </c>
      <c r="AC12" s="59">
        <v>0.76849999999999996</v>
      </c>
      <c r="AD12" s="59">
        <v>0.65949999999999998</v>
      </c>
      <c r="AE12" s="59">
        <v>0.62919999999999998</v>
      </c>
      <c r="AF12" s="59">
        <v>0.66090000000000004</v>
      </c>
      <c r="AG12" s="59">
        <v>0.72030000000000005</v>
      </c>
      <c r="AH12" s="59">
        <v>0.75539999999999996</v>
      </c>
      <c r="AI12" s="59">
        <v>0.70540000000000003</v>
      </c>
      <c r="AJ12" s="59">
        <v>0.69540000000000002</v>
      </c>
      <c r="AK12" s="59">
        <v>0.6915</v>
      </c>
      <c r="AL12" s="59">
        <v>0.63539999999999996</v>
      </c>
      <c r="AM12" s="59">
        <v>0.61480000000000001</v>
      </c>
      <c r="AN12" s="59">
        <v>0.58540000000000003</v>
      </c>
      <c r="AO12" s="59">
        <v>0.62350000000000005</v>
      </c>
      <c r="AP12" s="59">
        <v>0.5847</v>
      </c>
      <c r="AQ12" s="59">
        <v>0.60650000000000004</v>
      </c>
      <c r="AR12" s="59">
        <v>0.59719999999999995</v>
      </c>
      <c r="AS12" s="59">
        <v>0.59599999999999997</v>
      </c>
      <c r="AT12" s="59">
        <v>0.59099999999999997</v>
      </c>
      <c r="AU12" s="59">
        <v>0.50539999999999996</v>
      </c>
      <c r="AV12" s="59">
        <v>0.49840000000000001</v>
      </c>
      <c r="AW12" s="59">
        <v>0.4864</v>
      </c>
      <c r="AX12" s="108">
        <v>0.48509999999999998</v>
      </c>
      <c r="AY12" s="108">
        <v>0.42930000000000001</v>
      </c>
      <c r="AZ12" s="108">
        <v>0.42930000000000001</v>
      </c>
      <c r="BA12" s="108">
        <v>0.40210000000000001</v>
      </c>
      <c r="BB12" s="108">
        <v>0.37590000000000001</v>
      </c>
      <c r="BC12" s="108">
        <v>0.35580000000000001</v>
      </c>
      <c r="BD12" s="108">
        <v>0.35239999999999999</v>
      </c>
      <c r="BE12" s="108">
        <v>0.39629999999999999</v>
      </c>
      <c r="BF12" s="108">
        <v>0.41860000000000003</v>
      </c>
      <c r="BG12" s="108">
        <v>0.42799999999999999</v>
      </c>
      <c r="BH12" s="108">
        <v>0.46550000000000002</v>
      </c>
      <c r="BI12" s="108">
        <v>0.48599999999999999</v>
      </c>
      <c r="BJ12" s="108">
        <v>0.51249999999999996</v>
      </c>
      <c r="BK12" s="108">
        <v>0.57169999999999999</v>
      </c>
      <c r="BL12" s="108">
        <v>0.57169999999999999</v>
      </c>
      <c r="BM12" s="108">
        <v>0.72619999999999996</v>
      </c>
      <c r="BN12" s="344" t="s">
        <v>346</v>
      </c>
      <c r="BO12" s="345">
        <f>BM12+BM13+BM14</f>
        <v>1.2907</v>
      </c>
      <c r="BP12" s="112"/>
      <c r="BQ12" s="108">
        <v>0.72619999999999996</v>
      </c>
      <c r="BR12" s="344" t="s">
        <v>346</v>
      </c>
      <c r="BS12" s="345">
        <f>BQ12+BQ13+BQ14</f>
        <v>1.2907</v>
      </c>
      <c r="BT12" s="112"/>
      <c r="BU12" s="108">
        <f>BQ12</f>
        <v>0.72619999999999996</v>
      </c>
      <c r="BV12" s="59"/>
      <c r="BW12" s="59"/>
      <c r="BX12" s="59"/>
      <c r="BY12" s="59"/>
      <c r="BZ12" s="341" t="s">
        <v>346</v>
      </c>
      <c r="CA12" s="83"/>
      <c r="CB12" s="84"/>
      <c r="CC12" s="67"/>
    </row>
    <row r="13" spans="1:81" ht="13.75" customHeight="1">
      <c r="A13" s="340"/>
      <c r="B13" s="60" t="s">
        <v>348</v>
      </c>
      <c r="C13" s="55">
        <v>0.25740000000000002</v>
      </c>
      <c r="D13" s="55">
        <v>0.25740000000000002</v>
      </c>
      <c r="E13" s="55">
        <v>0.25740000000000002</v>
      </c>
      <c r="F13" s="55">
        <v>0.25740000000000002</v>
      </c>
      <c r="G13" s="55">
        <v>0.31680000000000003</v>
      </c>
      <c r="H13" s="55">
        <v>0.31680000000000003</v>
      </c>
      <c r="I13" s="55">
        <v>0.31680000000000003</v>
      </c>
      <c r="J13" s="55">
        <f>I13</f>
        <v>0.31680000000000003</v>
      </c>
      <c r="K13" s="55">
        <v>0.32900000000000001</v>
      </c>
      <c r="L13" s="55">
        <f>K13</f>
        <v>0.32900000000000001</v>
      </c>
      <c r="M13" s="55">
        <f>L13</f>
        <v>0.32900000000000001</v>
      </c>
      <c r="N13" s="55">
        <f>M13</f>
        <v>0.32900000000000001</v>
      </c>
      <c r="O13" s="55">
        <v>0.32769999999999999</v>
      </c>
      <c r="P13" s="55">
        <f>O13</f>
        <v>0.32769999999999999</v>
      </c>
      <c r="Q13" s="55">
        <f>P13</f>
        <v>0.32769999999999999</v>
      </c>
      <c r="R13" s="55">
        <f>Q13</f>
        <v>0.32769999999999999</v>
      </c>
      <c r="S13" s="55">
        <v>0.33110000000000001</v>
      </c>
      <c r="T13" s="55">
        <v>0.33110000000000001</v>
      </c>
      <c r="U13" s="55">
        <f>T13</f>
        <v>0.33110000000000001</v>
      </c>
      <c r="V13" s="55">
        <f>U13</f>
        <v>0.33110000000000001</v>
      </c>
      <c r="W13" s="55">
        <v>0.41460000000000002</v>
      </c>
      <c r="X13" s="55">
        <f>W13</f>
        <v>0.41460000000000002</v>
      </c>
      <c r="Y13" s="55">
        <f>X13</f>
        <v>0.41460000000000002</v>
      </c>
      <c r="Z13" s="55">
        <v>0.42720000000000002</v>
      </c>
      <c r="AA13" s="55">
        <v>0.42720000000000002</v>
      </c>
      <c r="AB13" s="55">
        <v>0.42720000000000002</v>
      </c>
      <c r="AC13" s="55">
        <v>0.42720000000000002</v>
      </c>
      <c r="AD13" s="55">
        <v>0.46079999999999999</v>
      </c>
      <c r="AE13" s="55">
        <f>AD13</f>
        <v>0.46079999999999999</v>
      </c>
      <c r="AF13" s="55">
        <f>+AE13</f>
        <v>0.46079999999999999</v>
      </c>
      <c r="AG13" s="55">
        <f>+AF13</f>
        <v>0.46079999999999999</v>
      </c>
      <c r="AH13" s="55">
        <v>0.4511</v>
      </c>
      <c r="AI13" s="55">
        <f>+AH13</f>
        <v>0.4511</v>
      </c>
      <c r="AJ13" s="55">
        <v>0.4511</v>
      </c>
      <c r="AK13" s="55">
        <v>0.4511</v>
      </c>
      <c r="AL13" s="55">
        <v>0.45789999999999997</v>
      </c>
      <c r="AM13" s="55">
        <v>0.44490000000000002</v>
      </c>
      <c r="AN13" s="55">
        <v>0.44490000000000002</v>
      </c>
      <c r="AO13" s="55">
        <v>0.44600000000000001</v>
      </c>
      <c r="AP13" s="55">
        <v>0.44600000000000001</v>
      </c>
      <c r="AQ13" s="55">
        <v>0.44600000000000001</v>
      </c>
      <c r="AR13" s="55">
        <v>0.44600000000000001</v>
      </c>
      <c r="AS13" s="55">
        <v>0.46389999999999998</v>
      </c>
      <c r="AT13" s="55">
        <v>0.46389999999999998</v>
      </c>
      <c r="AU13" s="55">
        <v>0.46389999999999998</v>
      </c>
      <c r="AV13" s="55">
        <v>0.46389999999999998</v>
      </c>
      <c r="AW13" s="55">
        <v>0.48199999999999998</v>
      </c>
      <c r="AX13" s="107">
        <v>0.48199999999999998</v>
      </c>
      <c r="AY13" s="107">
        <f>AX13</f>
        <v>0.48199999999999998</v>
      </c>
      <c r="AZ13" s="107">
        <f>AY13</f>
        <v>0.48199999999999998</v>
      </c>
      <c r="BA13" s="107">
        <f>AZ13</f>
        <v>0.48199999999999998</v>
      </c>
      <c r="BB13" s="107">
        <v>0.50600000000000001</v>
      </c>
      <c r="BC13" s="107">
        <v>0.50600000000000001</v>
      </c>
      <c r="BD13" s="107">
        <v>0.50600000000000001</v>
      </c>
      <c r="BE13" s="107">
        <v>0.50600000000000001</v>
      </c>
      <c r="BF13" s="107">
        <v>0.50600000000000001</v>
      </c>
      <c r="BG13" s="107">
        <v>0.50600000000000001</v>
      </c>
      <c r="BH13" s="107">
        <v>0.50600000000000001</v>
      </c>
      <c r="BI13" s="107">
        <v>0.50600000000000001</v>
      </c>
      <c r="BJ13" s="107">
        <v>0.51590000000000003</v>
      </c>
      <c r="BK13" s="107">
        <v>0.51590000000000003</v>
      </c>
      <c r="BL13" s="107">
        <v>0.51590000000000003</v>
      </c>
      <c r="BM13" s="107">
        <v>0.51590000000000003</v>
      </c>
      <c r="BN13" s="344"/>
      <c r="BO13" s="345"/>
      <c r="BP13" s="112" t="s">
        <v>347</v>
      </c>
      <c r="BQ13" s="107">
        <v>0.51590000000000003</v>
      </c>
      <c r="BR13" s="344"/>
      <c r="BS13" s="345"/>
      <c r="BT13" s="112" t="s">
        <v>347</v>
      </c>
      <c r="BU13" s="107">
        <f>BQ13</f>
        <v>0.51590000000000003</v>
      </c>
      <c r="BV13" s="55"/>
      <c r="BW13" s="55"/>
      <c r="BX13" s="55"/>
      <c r="BY13" s="55"/>
      <c r="BZ13" s="341"/>
      <c r="CA13" s="83">
        <f>AW12+AW13+AW14</f>
        <v>1.016</v>
      </c>
      <c r="CB13" s="84" t="s">
        <v>347</v>
      </c>
      <c r="CC13" s="67"/>
    </row>
    <row r="14" spans="1:81" ht="13.75" customHeight="1">
      <c r="A14" s="340"/>
      <c r="B14" s="60" t="s">
        <v>349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>
        <v>4.2799999999999998E-2</v>
      </c>
      <c r="AN14" s="55">
        <v>4.2799999999999998E-2</v>
      </c>
      <c r="AO14" s="55">
        <v>4.2799999999999998E-2</v>
      </c>
      <c r="AP14" s="55">
        <v>4.82E-2</v>
      </c>
      <c r="AQ14" s="55">
        <v>4.82E-2</v>
      </c>
      <c r="AR14" s="55">
        <v>4.82E-2</v>
      </c>
      <c r="AS14" s="55">
        <v>4.82E-2</v>
      </c>
      <c r="AT14" s="55">
        <v>4.7600000000000003E-2</v>
      </c>
      <c r="AU14" s="55">
        <v>4.7600000000000003E-2</v>
      </c>
      <c r="AV14" s="55">
        <v>4.7600000000000003E-2</v>
      </c>
      <c r="AW14" s="55">
        <v>4.7600000000000003E-2</v>
      </c>
      <c r="AX14" s="107">
        <v>4.5400000000000003E-2</v>
      </c>
      <c r="AY14" s="107">
        <f t="shared" ref="AY14:AZ15" si="1">AX14</f>
        <v>4.5400000000000003E-2</v>
      </c>
      <c r="AZ14" s="107">
        <f t="shared" si="1"/>
        <v>4.5400000000000003E-2</v>
      </c>
      <c r="BA14" s="107">
        <f>AZ14</f>
        <v>4.5400000000000003E-2</v>
      </c>
      <c r="BB14" s="107">
        <v>4.5400000000000003E-2</v>
      </c>
      <c r="BC14" s="107">
        <v>4.5400000000000003E-2</v>
      </c>
      <c r="BD14" s="107">
        <v>4.5400000000000003E-2</v>
      </c>
      <c r="BE14" s="107">
        <v>4.5400000000000003E-2</v>
      </c>
      <c r="BF14" s="107">
        <v>4.5400000000000003E-2</v>
      </c>
      <c r="BG14" s="107">
        <v>4.6800000000000001E-2</v>
      </c>
      <c r="BH14" s="107">
        <v>4.6800000000000001E-2</v>
      </c>
      <c r="BI14" s="107">
        <v>4.6800000000000001E-2</v>
      </c>
      <c r="BJ14" s="107">
        <v>4.6800000000000001E-2</v>
      </c>
      <c r="BK14" s="107">
        <v>4.8599999999999997E-2</v>
      </c>
      <c r="BL14" s="107">
        <v>4.8599999999999997E-2</v>
      </c>
      <c r="BM14" s="107">
        <v>4.8599999999999997E-2</v>
      </c>
      <c r="BN14" s="344"/>
      <c r="BO14" s="111"/>
      <c r="BP14" s="112"/>
      <c r="BQ14" s="107">
        <v>4.8599999999999997E-2</v>
      </c>
      <c r="BR14" s="344"/>
      <c r="BS14" s="111"/>
      <c r="BT14" s="112"/>
      <c r="BU14" s="107">
        <f>'Prop EEC 2023 Rates'!H9</f>
        <v>4.7810000000000005E-2</v>
      </c>
      <c r="BV14" s="55"/>
      <c r="BW14" s="55"/>
      <c r="BX14" s="55"/>
      <c r="BY14" s="55"/>
      <c r="BZ14" s="341"/>
      <c r="CA14" s="83"/>
      <c r="CB14" s="84"/>
      <c r="CC14" s="67"/>
    </row>
    <row r="15" spans="1:81" ht="13.75" customHeight="1">
      <c r="A15" s="340"/>
      <c r="B15" s="60" t="s">
        <v>334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61">
        <v>1.85</v>
      </c>
      <c r="AC15" s="61">
        <f>+AB15</f>
        <v>1.85</v>
      </c>
      <c r="AD15" s="61">
        <f>+AC15</f>
        <v>1.85</v>
      </c>
      <c r="AE15" s="61">
        <f>+AD15</f>
        <v>1.85</v>
      </c>
      <c r="AF15" s="61">
        <f>+AE15</f>
        <v>1.85</v>
      </c>
      <c r="AG15" s="61">
        <f>+AF15</f>
        <v>1.85</v>
      </c>
      <c r="AH15" s="61">
        <v>1.1000000000000001</v>
      </c>
      <c r="AI15" s="61">
        <f>+AH15</f>
        <v>1.1000000000000001</v>
      </c>
      <c r="AJ15" s="61">
        <v>1.1000000000000001</v>
      </c>
      <c r="AK15" s="61">
        <v>1.1000000000000001</v>
      </c>
      <c r="AL15" s="61">
        <v>0.99</v>
      </c>
      <c r="AM15" s="61">
        <v>0.99</v>
      </c>
      <c r="AN15" s="61">
        <v>0.99</v>
      </c>
      <c r="AO15" s="61">
        <v>0.99</v>
      </c>
      <c r="AP15" s="61">
        <v>0.16</v>
      </c>
      <c r="AQ15" s="61">
        <v>0.16</v>
      </c>
      <c r="AR15" s="61">
        <v>0.16</v>
      </c>
      <c r="AS15" s="61">
        <v>0.16</v>
      </c>
      <c r="AT15" s="61">
        <v>0.16</v>
      </c>
      <c r="AU15" s="61">
        <v>0.16</v>
      </c>
      <c r="AV15" s="61">
        <v>0.16</v>
      </c>
      <c r="AW15" s="61">
        <v>0.16</v>
      </c>
      <c r="AX15" s="109">
        <v>0.16</v>
      </c>
      <c r="AY15" s="107">
        <f t="shared" si="1"/>
        <v>0.16</v>
      </c>
      <c r="AZ15" s="107">
        <f t="shared" si="1"/>
        <v>0.16</v>
      </c>
      <c r="BA15" s="107">
        <f>AZ15</f>
        <v>0.16</v>
      </c>
      <c r="BB15" s="107">
        <v>0.16</v>
      </c>
      <c r="BC15" s="107">
        <v>0.16</v>
      </c>
      <c r="BD15" s="107">
        <v>0.16</v>
      </c>
      <c r="BE15" s="107">
        <v>0.16</v>
      </c>
      <c r="BF15" s="107">
        <v>0.16</v>
      </c>
      <c r="BG15" s="107">
        <v>0.16</v>
      </c>
      <c r="BH15" s="107">
        <v>0.16</v>
      </c>
      <c r="BI15" s="107">
        <v>0.16</v>
      </c>
      <c r="BJ15" s="107">
        <v>0.57999999999999996</v>
      </c>
      <c r="BK15" s="107">
        <v>0.57999999999999996</v>
      </c>
      <c r="BL15" s="107">
        <v>0.57999999999999996</v>
      </c>
      <c r="BM15" s="107">
        <v>0.57999999999999996</v>
      </c>
      <c r="BO15" s="111"/>
      <c r="BP15" s="112"/>
      <c r="BQ15" s="107">
        <v>0.57999999999999996</v>
      </c>
      <c r="BS15" s="111"/>
      <c r="BT15" s="112"/>
      <c r="BU15" s="107">
        <f>BQ15</f>
        <v>0.57999999999999996</v>
      </c>
      <c r="BV15" s="61"/>
      <c r="BW15" s="61"/>
      <c r="BX15" s="61"/>
      <c r="BY15" s="61"/>
      <c r="CA15" s="83"/>
      <c r="CB15" s="84"/>
      <c r="CC15" s="67"/>
    </row>
    <row r="16" spans="1:81" ht="13.75" customHeight="1">
      <c r="A16" s="82"/>
      <c r="B16" s="60" t="s">
        <v>350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2">
        <v>-6.2799999999999995E-2</v>
      </c>
      <c r="AU16" s="62">
        <v>-6.2799999999999995E-2</v>
      </c>
      <c r="AV16" s="62">
        <v>-6.2799999999999995E-2</v>
      </c>
      <c r="AW16" s="62">
        <v>0</v>
      </c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7"/>
      <c r="BO16" s="111"/>
      <c r="BP16" s="112"/>
      <c r="BQ16" s="107"/>
      <c r="BR16" s="17"/>
      <c r="BS16" s="111"/>
      <c r="BT16" s="112"/>
      <c r="BU16" s="107"/>
      <c r="BV16" s="62"/>
      <c r="BW16" s="62"/>
      <c r="BX16" s="62"/>
      <c r="BY16" s="62"/>
      <c r="BZ16" s="56" t="s">
        <v>346</v>
      </c>
      <c r="CA16" s="83">
        <f>CA13+AW16</f>
        <v>1.016</v>
      </c>
      <c r="CB16" s="84" t="s">
        <v>347</v>
      </c>
      <c r="CC16" s="67"/>
    </row>
    <row r="17" spans="1:81" ht="15.5">
      <c r="A17" s="68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69"/>
      <c r="AD17" s="69"/>
      <c r="AE17" s="69"/>
      <c r="AF17" s="69"/>
      <c r="AG17" s="69"/>
      <c r="AH17" s="69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O17" s="17"/>
      <c r="BP17" s="17"/>
      <c r="BQ17" s="116"/>
      <c r="BS17" s="17"/>
      <c r="BT17" s="17"/>
      <c r="BU17" s="116"/>
      <c r="BV17" s="70"/>
      <c r="BW17" s="70"/>
      <c r="BX17" s="70"/>
      <c r="BY17" s="70"/>
      <c r="CA17" s="56"/>
      <c r="CB17" s="56"/>
      <c r="CC17" s="67"/>
    </row>
    <row r="18" spans="1:81" ht="13.75" customHeight="1">
      <c r="A18" s="339" t="s">
        <v>143</v>
      </c>
      <c r="B18" s="53" t="s">
        <v>343</v>
      </c>
      <c r="C18" s="54">
        <v>0.79100000000000004</v>
      </c>
      <c r="D18" s="54">
        <v>0.79100000000000004</v>
      </c>
      <c r="E18" s="54">
        <v>0.79100000000000004</v>
      </c>
      <c r="F18" s="54">
        <v>0.79100000000000004</v>
      </c>
      <c r="G18" s="54">
        <v>0.97350000000000003</v>
      </c>
      <c r="H18" s="54">
        <v>0.97350000000000003</v>
      </c>
      <c r="I18" s="54">
        <v>0.97350000000000003</v>
      </c>
      <c r="J18" s="54">
        <f>I18</f>
        <v>0.97350000000000003</v>
      </c>
      <c r="K18" s="54">
        <v>1.0108999999999999</v>
      </c>
      <c r="L18" s="54">
        <f>K18</f>
        <v>1.0108999999999999</v>
      </c>
      <c r="M18" s="54">
        <f>L18</f>
        <v>1.0108999999999999</v>
      </c>
      <c r="N18" s="54">
        <f>M18</f>
        <v>1.0108999999999999</v>
      </c>
      <c r="O18" s="54">
        <v>1.0069999999999999</v>
      </c>
      <c r="P18" s="54">
        <f>O18</f>
        <v>1.0069999999999999</v>
      </c>
      <c r="Q18" s="54">
        <f>P18</f>
        <v>1.0069999999999999</v>
      </c>
      <c r="R18" s="54">
        <f>Q18</f>
        <v>1.0069999999999999</v>
      </c>
      <c r="S18" s="54">
        <v>1.0174000000000001</v>
      </c>
      <c r="T18" s="54">
        <v>1.0174000000000001</v>
      </c>
      <c r="U18" s="54">
        <f>T18</f>
        <v>1.0174000000000001</v>
      </c>
      <c r="V18" s="54">
        <f>U18</f>
        <v>1.0174000000000001</v>
      </c>
      <c r="W18" s="54">
        <v>1.0256000000000001</v>
      </c>
      <c r="X18" s="54">
        <f>W18</f>
        <v>1.0256000000000001</v>
      </c>
      <c r="Y18" s="54">
        <f>X18</f>
        <v>1.0256000000000001</v>
      </c>
      <c r="Z18" s="54">
        <v>1.0567</v>
      </c>
      <c r="AA18" s="54">
        <v>1.0567</v>
      </c>
      <c r="AB18" s="54">
        <v>1.0567</v>
      </c>
      <c r="AC18" s="55">
        <v>1.0567</v>
      </c>
      <c r="AD18" s="55">
        <v>1.1284000000000001</v>
      </c>
      <c r="AE18" s="55">
        <f>AD18</f>
        <v>1.1284000000000001</v>
      </c>
      <c r="AF18" s="55">
        <f>+AE18</f>
        <v>1.1284000000000001</v>
      </c>
      <c r="AG18" s="55">
        <f>+AF18</f>
        <v>1.1284000000000001</v>
      </c>
      <c r="AH18" s="55">
        <v>1.0940000000000001</v>
      </c>
      <c r="AI18" s="55">
        <f>+AH18</f>
        <v>1.0940000000000001</v>
      </c>
      <c r="AJ18" s="55">
        <v>1.0940000000000001</v>
      </c>
      <c r="AK18" s="55">
        <v>1.0940000000000001</v>
      </c>
      <c r="AL18" s="55">
        <v>1.1105</v>
      </c>
      <c r="AM18" s="55">
        <v>1.1105</v>
      </c>
      <c r="AN18" s="55">
        <v>1.1105</v>
      </c>
      <c r="AO18" s="55">
        <v>1.1133</v>
      </c>
      <c r="AP18" s="55">
        <v>1.1133</v>
      </c>
      <c r="AQ18" s="55">
        <v>1.1133</v>
      </c>
      <c r="AR18" s="55">
        <v>1.1133</v>
      </c>
      <c r="AS18" s="55">
        <v>1.1578999999999999</v>
      </c>
      <c r="AT18" s="55">
        <v>1.1578999999999999</v>
      </c>
      <c r="AU18" s="55">
        <v>1.1578999999999999</v>
      </c>
      <c r="AV18" s="55">
        <v>1.1578999999999999</v>
      </c>
      <c r="AW18" s="55">
        <v>1.2032</v>
      </c>
      <c r="AX18" s="107">
        <v>1.2032</v>
      </c>
      <c r="AY18" s="107">
        <f>AX18</f>
        <v>1.2032</v>
      </c>
      <c r="AZ18" s="107">
        <f>AY18</f>
        <v>1.2032</v>
      </c>
      <c r="BA18" s="107">
        <f>AZ18</f>
        <v>1.2032</v>
      </c>
      <c r="BB18" s="107">
        <v>1.2632000000000001</v>
      </c>
      <c r="BC18" s="107">
        <v>1.2632000000000001</v>
      </c>
      <c r="BD18" s="107">
        <v>1.2632000000000001</v>
      </c>
      <c r="BE18" s="107">
        <v>1.2632000000000001</v>
      </c>
      <c r="BF18" s="107">
        <v>1.2632000000000001</v>
      </c>
      <c r="BG18" s="107">
        <v>1.2632000000000001</v>
      </c>
      <c r="BH18" s="107">
        <v>1.2632000000000001</v>
      </c>
      <c r="BI18" s="107">
        <v>1.2632000000000001</v>
      </c>
      <c r="BJ18" s="107">
        <v>1.2879</v>
      </c>
      <c r="BK18" s="107">
        <v>1.2879</v>
      </c>
      <c r="BL18" s="107">
        <v>1.2879</v>
      </c>
      <c r="BM18" s="107">
        <v>1.2879</v>
      </c>
      <c r="BO18" s="17"/>
      <c r="BP18" s="17"/>
      <c r="BQ18" s="107">
        <v>1.2879</v>
      </c>
      <c r="BS18" s="17"/>
      <c r="BT18" s="17"/>
      <c r="BU18" s="107">
        <f>BQ18</f>
        <v>1.2879</v>
      </c>
      <c r="BV18" s="55"/>
      <c r="BW18" s="55"/>
      <c r="BX18" s="55"/>
      <c r="BY18" s="55"/>
      <c r="CA18" s="56"/>
      <c r="CB18" s="56"/>
      <c r="CC18" s="67"/>
    </row>
    <row r="19" spans="1:81" ht="13.75" customHeight="1">
      <c r="A19" s="340"/>
      <c r="B19" s="58" t="s">
        <v>345</v>
      </c>
      <c r="C19" s="59">
        <v>0.90149999999999997</v>
      </c>
      <c r="D19" s="59">
        <v>0.97829999999999995</v>
      </c>
      <c r="E19" s="59">
        <v>1.0501</v>
      </c>
      <c r="F19" s="59">
        <v>1.0059</v>
      </c>
      <c r="G19" s="59">
        <v>0.99399999999999999</v>
      </c>
      <c r="H19" s="59">
        <v>0.99719999999999998</v>
      </c>
      <c r="I19" s="59">
        <v>1.1386000000000001</v>
      </c>
      <c r="J19" s="59">
        <v>1.1041000000000001</v>
      </c>
      <c r="K19" s="59">
        <v>0.96989999999999998</v>
      </c>
      <c r="L19" s="59">
        <v>0.80910000000000004</v>
      </c>
      <c r="M19" s="59">
        <v>0.80449999999999999</v>
      </c>
      <c r="N19" s="59">
        <v>0.78879999999999995</v>
      </c>
      <c r="O19" s="59">
        <v>0.7631</v>
      </c>
      <c r="P19" s="59">
        <v>0.82969999999999999</v>
      </c>
      <c r="Q19" s="59">
        <v>0.82669999999999999</v>
      </c>
      <c r="R19" s="59">
        <v>0.79720000000000002</v>
      </c>
      <c r="S19" s="59">
        <v>0.75680000000000003</v>
      </c>
      <c r="T19" s="59">
        <v>0.75680000000000003</v>
      </c>
      <c r="U19" s="59">
        <v>0.8821</v>
      </c>
      <c r="V19" s="59">
        <v>0.86990000000000001</v>
      </c>
      <c r="W19" s="59">
        <v>0.76790000000000003</v>
      </c>
      <c r="X19" s="59">
        <v>0.72870000000000001</v>
      </c>
      <c r="Y19" s="59">
        <v>0.68030000000000002</v>
      </c>
      <c r="Z19" s="59">
        <v>0.68069999999999997</v>
      </c>
      <c r="AA19" s="59">
        <v>0.70320000000000005</v>
      </c>
      <c r="AB19" s="59">
        <v>0.67569999999999997</v>
      </c>
      <c r="AC19" s="59">
        <v>0.65849999999999997</v>
      </c>
      <c r="AD19" s="59">
        <v>0.52510000000000001</v>
      </c>
      <c r="AE19" s="59">
        <v>0.501</v>
      </c>
      <c r="AF19" s="59">
        <v>0.5262</v>
      </c>
      <c r="AG19" s="59">
        <v>0.57350000000000001</v>
      </c>
      <c r="AH19" s="59">
        <v>0.55820000000000003</v>
      </c>
      <c r="AI19" s="59">
        <v>0.5212</v>
      </c>
      <c r="AJ19" s="59">
        <v>0.51380000000000003</v>
      </c>
      <c r="AK19" s="59">
        <v>0.51090000000000002</v>
      </c>
      <c r="AL19" s="59">
        <v>0.46939999999999998</v>
      </c>
      <c r="AM19" s="59">
        <v>0.45419999999999999</v>
      </c>
      <c r="AN19" s="59">
        <v>0.4325</v>
      </c>
      <c r="AO19" s="59">
        <v>0.46060000000000001</v>
      </c>
      <c r="AP19" s="59">
        <v>0.43190000000000001</v>
      </c>
      <c r="AQ19" s="59">
        <v>0.44800000000000001</v>
      </c>
      <c r="AR19" s="59">
        <v>0.44109999999999999</v>
      </c>
      <c r="AS19" s="59">
        <v>0.44030000000000002</v>
      </c>
      <c r="AT19" s="59">
        <v>0.43659999999999999</v>
      </c>
      <c r="AU19" s="59">
        <v>0.37330000000000002</v>
      </c>
      <c r="AV19" s="59">
        <v>0.36820000000000003</v>
      </c>
      <c r="AW19" s="59">
        <v>0.3594</v>
      </c>
      <c r="AX19" s="108">
        <v>0.3584</v>
      </c>
      <c r="AY19" s="108">
        <v>0.31709999999999999</v>
      </c>
      <c r="AZ19" s="108">
        <v>0.31709999999999999</v>
      </c>
      <c r="BA19" s="108">
        <v>0.29709999999999998</v>
      </c>
      <c r="BB19" s="108">
        <v>0.27779999999999999</v>
      </c>
      <c r="BC19" s="108">
        <v>0.26290000000000002</v>
      </c>
      <c r="BD19" s="108">
        <v>0.26040000000000002</v>
      </c>
      <c r="BE19" s="108">
        <v>0.2928</v>
      </c>
      <c r="BF19" s="108">
        <v>0.30919999999999997</v>
      </c>
      <c r="BG19" s="108">
        <v>0.31609999999999999</v>
      </c>
      <c r="BH19" s="108">
        <v>0.34379999999999999</v>
      </c>
      <c r="BI19" s="108">
        <v>0.35899999999999999</v>
      </c>
      <c r="BJ19" s="108">
        <v>0.3785</v>
      </c>
      <c r="BK19" s="108">
        <v>0.42230000000000001</v>
      </c>
      <c r="BL19" s="108">
        <v>0.42230000000000001</v>
      </c>
      <c r="BM19" s="108">
        <v>0.53639999999999999</v>
      </c>
      <c r="BN19" s="344" t="s">
        <v>346</v>
      </c>
      <c r="BO19" s="345">
        <f>BM19+BM20+BM21</f>
        <v>1.0035000000000001</v>
      </c>
      <c r="BP19" s="348" t="s">
        <v>347</v>
      </c>
      <c r="BQ19" s="108">
        <v>0.53639999999999999</v>
      </c>
      <c r="BR19" s="344" t="s">
        <v>346</v>
      </c>
      <c r="BS19" s="345">
        <f>BQ19+BQ20+BQ21</f>
        <v>1.0035000000000001</v>
      </c>
      <c r="BT19" s="348" t="s">
        <v>347</v>
      </c>
      <c r="BU19" s="108">
        <f>BQ19</f>
        <v>0.53639999999999999</v>
      </c>
      <c r="BV19" s="59"/>
      <c r="BW19" s="59"/>
      <c r="BX19" s="59"/>
      <c r="BY19" s="59"/>
      <c r="BZ19" s="341" t="s">
        <v>346</v>
      </c>
      <c r="CA19" s="346">
        <f>AW19+AW20+AW21</f>
        <v>0.79749999999999999</v>
      </c>
      <c r="CB19" s="347" t="s">
        <v>347</v>
      </c>
      <c r="CC19" s="57"/>
    </row>
    <row r="20" spans="1:81" ht="13.75" customHeight="1">
      <c r="A20" s="340"/>
      <c r="B20" s="60" t="s">
        <v>348</v>
      </c>
      <c r="C20" s="55">
        <v>0.35299999999999998</v>
      </c>
      <c r="D20" s="55">
        <v>0.35299999999999998</v>
      </c>
      <c r="E20" s="55">
        <v>0.35299999999999998</v>
      </c>
      <c r="F20" s="55">
        <v>0.35299999999999998</v>
      </c>
      <c r="G20" s="55">
        <v>0.43440000000000001</v>
      </c>
      <c r="H20" s="55">
        <v>0.43440000000000001</v>
      </c>
      <c r="I20" s="55">
        <v>0.43440000000000001</v>
      </c>
      <c r="J20" s="55">
        <f>I20</f>
        <v>0.43440000000000001</v>
      </c>
      <c r="K20" s="55">
        <v>0.4511</v>
      </c>
      <c r="L20" s="55">
        <f>K20</f>
        <v>0.4511</v>
      </c>
      <c r="M20" s="55">
        <f>L20</f>
        <v>0.4511</v>
      </c>
      <c r="N20" s="55">
        <f>M20</f>
        <v>0.4511</v>
      </c>
      <c r="O20" s="55">
        <v>0.44940000000000002</v>
      </c>
      <c r="P20" s="55">
        <f>O20</f>
        <v>0.44940000000000002</v>
      </c>
      <c r="Q20" s="55">
        <f>P20</f>
        <v>0.44940000000000002</v>
      </c>
      <c r="R20" s="55">
        <f>Q20</f>
        <v>0.44940000000000002</v>
      </c>
      <c r="S20" s="55">
        <v>0.45400000000000001</v>
      </c>
      <c r="T20" s="55">
        <v>0.45400000000000001</v>
      </c>
      <c r="U20" s="55">
        <f>T20</f>
        <v>0.45400000000000001</v>
      </c>
      <c r="V20" s="55">
        <f>U20</f>
        <v>0.45400000000000001</v>
      </c>
      <c r="W20" s="55">
        <v>0.52690000000000003</v>
      </c>
      <c r="X20" s="55">
        <f>W20</f>
        <v>0.52690000000000003</v>
      </c>
      <c r="Y20" s="55">
        <f>X20</f>
        <v>0.52690000000000003</v>
      </c>
      <c r="Z20" s="55">
        <v>0.54290000000000005</v>
      </c>
      <c r="AA20" s="55">
        <v>0.54290000000000005</v>
      </c>
      <c r="AB20" s="55">
        <v>0.54290000000000005</v>
      </c>
      <c r="AC20" s="55">
        <v>0.54290000000000005</v>
      </c>
      <c r="AD20" s="55">
        <v>0.48349999999999999</v>
      </c>
      <c r="AE20" s="55">
        <f>AD20</f>
        <v>0.48349999999999999</v>
      </c>
      <c r="AF20" s="55">
        <f>+AE20</f>
        <v>0.48349999999999999</v>
      </c>
      <c r="AG20" s="55">
        <f>+AF20</f>
        <v>0.48349999999999999</v>
      </c>
      <c r="AH20" s="55">
        <v>0.3755</v>
      </c>
      <c r="AI20" s="55">
        <f>+AH20</f>
        <v>0.3755</v>
      </c>
      <c r="AJ20" s="55">
        <v>0.3755</v>
      </c>
      <c r="AK20" s="55">
        <v>0.3755</v>
      </c>
      <c r="AL20" s="55">
        <v>0.38119999999999998</v>
      </c>
      <c r="AM20" s="55">
        <v>0.37030000000000002</v>
      </c>
      <c r="AN20" s="55">
        <v>0.37030000000000002</v>
      </c>
      <c r="AO20" s="55">
        <v>0.37119999999999997</v>
      </c>
      <c r="AP20" s="55">
        <v>0.37119999999999997</v>
      </c>
      <c r="AQ20" s="55">
        <v>0.37119999999999997</v>
      </c>
      <c r="AR20" s="55">
        <v>0.37119999999999997</v>
      </c>
      <c r="AS20" s="55">
        <v>0.3861</v>
      </c>
      <c r="AT20" s="55">
        <v>0.3861</v>
      </c>
      <c r="AU20" s="55">
        <v>0.3861</v>
      </c>
      <c r="AV20" s="55">
        <v>0.3861</v>
      </c>
      <c r="AW20" s="55">
        <v>0.4012</v>
      </c>
      <c r="AX20" s="107">
        <v>0.4012</v>
      </c>
      <c r="AY20" s="107">
        <f>AX20</f>
        <v>0.4012</v>
      </c>
      <c r="AZ20" s="107">
        <f>AY20</f>
        <v>0.4012</v>
      </c>
      <c r="BA20" s="107">
        <f>AZ20</f>
        <v>0.4012</v>
      </c>
      <c r="BB20" s="107">
        <v>0.42120000000000002</v>
      </c>
      <c r="BC20" s="107">
        <v>0.42120000000000002</v>
      </c>
      <c r="BD20" s="107">
        <v>0.42120000000000002</v>
      </c>
      <c r="BE20" s="107">
        <v>0.42120000000000002</v>
      </c>
      <c r="BF20" s="107">
        <v>0.42120000000000002</v>
      </c>
      <c r="BG20" s="107">
        <v>0.42120000000000002</v>
      </c>
      <c r="BH20" s="107">
        <v>0.42120000000000002</v>
      </c>
      <c r="BI20" s="107">
        <v>0.42120000000000002</v>
      </c>
      <c r="BJ20" s="107">
        <v>0.4294</v>
      </c>
      <c r="BK20" s="107">
        <v>0.4294</v>
      </c>
      <c r="BL20" s="107">
        <v>0.4294</v>
      </c>
      <c r="BM20" s="107">
        <v>0.4294</v>
      </c>
      <c r="BN20" s="344"/>
      <c r="BO20" s="345"/>
      <c r="BP20" s="348"/>
      <c r="BQ20" s="107">
        <v>0.4294</v>
      </c>
      <c r="BR20" s="344"/>
      <c r="BS20" s="345"/>
      <c r="BT20" s="348"/>
      <c r="BU20" s="107">
        <f>BQ20</f>
        <v>0.4294</v>
      </c>
      <c r="BV20" s="55"/>
      <c r="BW20" s="55"/>
      <c r="BX20" s="55"/>
      <c r="BY20" s="55"/>
      <c r="BZ20" s="341"/>
      <c r="CA20" s="346"/>
      <c r="CB20" s="347"/>
      <c r="CC20" s="57"/>
    </row>
    <row r="21" spans="1:81" ht="13.75" customHeight="1">
      <c r="A21" s="340"/>
      <c r="B21" s="60" t="s">
        <v>349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>
        <v>3.32E-2</v>
      </c>
      <c r="AN21" s="55">
        <v>3.32E-2</v>
      </c>
      <c r="AO21" s="55">
        <v>3.32E-2</v>
      </c>
      <c r="AP21" s="55">
        <v>3.7400000000000003E-2</v>
      </c>
      <c r="AQ21" s="55">
        <v>3.7400000000000003E-2</v>
      </c>
      <c r="AR21" s="55">
        <v>3.7400000000000003E-2</v>
      </c>
      <c r="AS21" s="55">
        <v>3.7400000000000003E-2</v>
      </c>
      <c r="AT21" s="55">
        <v>3.6900000000000002E-2</v>
      </c>
      <c r="AU21" s="55">
        <v>3.6900000000000002E-2</v>
      </c>
      <c r="AV21" s="55">
        <v>3.6900000000000002E-2</v>
      </c>
      <c r="AW21" s="55">
        <v>3.6900000000000002E-2</v>
      </c>
      <c r="AX21" s="107">
        <v>3.5200000000000002E-2</v>
      </c>
      <c r="AY21" s="107">
        <f t="shared" ref="AY21:AZ22" si="2">AX21</f>
        <v>3.5200000000000002E-2</v>
      </c>
      <c r="AZ21" s="107">
        <f t="shared" si="2"/>
        <v>3.5200000000000002E-2</v>
      </c>
      <c r="BA21" s="107">
        <f>AZ21</f>
        <v>3.5200000000000002E-2</v>
      </c>
      <c r="BB21" s="107">
        <v>3.5200000000000002E-2</v>
      </c>
      <c r="BC21" s="107">
        <v>3.5200000000000002E-2</v>
      </c>
      <c r="BD21" s="107">
        <v>3.5200000000000002E-2</v>
      </c>
      <c r="BE21" s="107">
        <v>3.5200000000000002E-2</v>
      </c>
      <c r="BF21" s="107">
        <v>3.5200000000000002E-2</v>
      </c>
      <c r="BG21" s="107">
        <v>3.6299999999999999E-2</v>
      </c>
      <c r="BH21" s="107">
        <v>3.6299999999999999E-2</v>
      </c>
      <c r="BI21" s="107">
        <v>3.6299999999999999E-2</v>
      </c>
      <c r="BJ21" s="107">
        <v>3.6299999999999999E-2</v>
      </c>
      <c r="BK21" s="107">
        <v>3.7699999999999997E-2</v>
      </c>
      <c r="BL21" s="107">
        <v>3.7699999999999997E-2</v>
      </c>
      <c r="BM21" s="107">
        <v>3.7699999999999997E-2</v>
      </c>
      <c r="BN21" s="344"/>
      <c r="BO21" s="111"/>
      <c r="BP21" s="117"/>
      <c r="BQ21" s="107">
        <v>3.7699999999999997E-2</v>
      </c>
      <c r="BR21" s="344"/>
      <c r="BS21" s="111"/>
      <c r="BT21" s="117"/>
      <c r="BU21" s="107">
        <f>'Prop EEC 2023 Rates'!H10</f>
        <v>3.7089999999999998E-2</v>
      </c>
      <c r="BV21" s="55"/>
      <c r="BW21" s="55"/>
      <c r="BX21" s="55"/>
      <c r="BY21" s="55"/>
      <c r="BZ21" s="341" t="s">
        <v>346</v>
      </c>
      <c r="CA21" s="83"/>
      <c r="CB21" s="71"/>
      <c r="CC21" s="57"/>
    </row>
    <row r="22" spans="1:81" ht="13.75" customHeight="1">
      <c r="A22" s="340"/>
      <c r="B22" s="60" t="s">
        <v>334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61">
        <v>2.38</v>
      </c>
      <c r="AC22" s="61">
        <f>+AB22</f>
        <v>2.38</v>
      </c>
      <c r="AD22" s="61">
        <f>+AC22</f>
        <v>2.38</v>
      </c>
      <c r="AE22" s="61">
        <f>+AD22</f>
        <v>2.38</v>
      </c>
      <c r="AF22" s="61">
        <f>+AE22</f>
        <v>2.38</v>
      </c>
      <c r="AG22" s="61">
        <f>+AF22</f>
        <v>2.38</v>
      </c>
      <c r="AH22" s="61">
        <v>1.1499999999999999</v>
      </c>
      <c r="AI22" s="61">
        <f>+AH22</f>
        <v>1.1499999999999999</v>
      </c>
      <c r="AJ22" s="61">
        <v>1.1499999999999999</v>
      </c>
      <c r="AK22" s="61">
        <v>1.1499999999999999</v>
      </c>
      <c r="AL22" s="61">
        <v>1</v>
      </c>
      <c r="AM22" s="61">
        <v>1</v>
      </c>
      <c r="AN22" s="61">
        <v>1</v>
      </c>
      <c r="AO22" s="61">
        <v>1</v>
      </c>
      <c r="AP22" s="61">
        <v>0.16</v>
      </c>
      <c r="AQ22" s="61">
        <v>0.16</v>
      </c>
      <c r="AR22" s="61">
        <v>0.16</v>
      </c>
      <c r="AS22" s="61">
        <v>0.16</v>
      </c>
      <c r="AT22" s="61">
        <v>0.16</v>
      </c>
      <c r="AU22" s="61">
        <v>0.16</v>
      </c>
      <c r="AV22" s="61">
        <v>0.16</v>
      </c>
      <c r="AW22" s="61">
        <v>0.16</v>
      </c>
      <c r="AX22" s="109">
        <v>0.16</v>
      </c>
      <c r="AY22" s="107">
        <f t="shared" si="2"/>
        <v>0.16</v>
      </c>
      <c r="AZ22" s="107">
        <f t="shared" si="2"/>
        <v>0.16</v>
      </c>
      <c r="BA22" s="107">
        <f>AZ22</f>
        <v>0.16</v>
      </c>
      <c r="BB22" s="107">
        <f t="shared" ref="BB22:BI22" si="3">BA22</f>
        <v>0.16</v>
      </c>
      <c r="BC22" s="107">
        <f t="shared" si="3"/>
        <v>0.16</v>
      </c>
      <c r="BD22" s="107">
        <f t="shared" si="3"/>
        <v>0.16</v>
      </c>
      <c r="BE22" s="107">
        <f t="shared" si="3"/>
        <v>0.16</v>
      </c>
      <c r="BF22" s="107">
        <f t="shared" si="3"/>
        <v>0.16</v>
      </c>
      <c r="BG22" s="107">
        <f t="shared" si="3"/>
        <v>0.16</v>
      </c>
      <c r="BH22" s="107">
        <f t="shared" si="3"/>
        <v>0.16</v>
      </c>
      <c r="BI22" s="107">
        <f t="shared" si="3"/>
        <v>0.16</v>
      </c>
      <c r="BJ22" s="107">
        <v>0.57999999999999996</v>
      </c>
      <c r="BK22" s="107">
        <v>0.57999999999999996</v>
      </c>
      <c r="BL22" s="107">
        <v>0.57999999999999996</v>
      </c>
      <c r="BM22" s="107">
        <v>0.57999999999999996</v>
      </c>
      <c r="BN22" s="107"/>
      <c r="BO22" s="111"/>
      <c r="BP22" s="112"/>
      <c r="BQ22" s="107">
        <v>0.57999999999999996</v>
      </c>
      <c r="BS22" s="111"/>
      <c r="BT22" s="112"/>
      <c r="BU22" s="107">
        <f>BQ22</f>
        <v>0.57999999999999996</v>
      </c>
      <c r="BV22" s="61"/>
      <c r="BW22" s="61"/>
      <c r="BX22" s="61"/>
      <c r="BY22" s="61"/>
      <c r="CA22" s="83"/>
      <c r="CB22" s="84"/>
      <c r="CC22" s="57"/>
    </row>
    <row r="23" spans="1:81" ht="13.75" customHeight="1">
      <c r="A23" s="82"/>
      <c r="B23" s="60" t="str">
        <f>B16</f>
        <v>2018 Tax Adj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2">
        <v>-4.6699999999999998E-2</v>
      </c>
      <c r="AU23" s="62">
        <v>-4.6699999999999998E-2</v>
      </c>
      <c r="AV23" s="62">
        <v>-4.6699999999999998E-2</v>
      </c>
      <c r="AW23" s="62">
        <v>0</v>
      </c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7"/>
      <c r="BO23" s="111"/>
      <c r="BP23" s="112"/>
      <c r="BQ23" s="107"/>
      <c r="BR23" s="17"/>
      <c r="BS23" s="111"/>
      <c r="BT23" s="112"/>
      <c r="BU23" s="107"/>
      <c r="BV23" s="62"/>
      <c r="BW23" s="62"/>
      <c r="BX23" s="62"/>
      <c r="BY23" s="62"/>
      <c r="BZ23" s="56" t="s">
        <v>346</v>
      </c>
      <c r="CA23" s="83">
        <f>CA19+AW23</f>
        <v>0.79749999999999999</v>
      </c>
      <c r="CB23" s="84" t="s">
        <v>347</v>
      </c>
      <c r="CC23" s="57"/>
    </row>
    <row r="24" spans="1:81" ht="15.5">
      <c r="A24" s="68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69"/>
      <c r="AD24" s="69"/>
      <c r="AE24" s="69"/>
      <c r="AF24" s="69"/>
      <c r="AG24" s="69"/>
      <c r="AH24" s="69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P24" s="17"/>
      <c r="BQ24" s="116"/>
      <c r="BT24" s="17"/>
      <c r="BU24" s="116"/>
      <c r="BV24" s="70"/>
      <c r="BW24" s="70"/>
      <c r="BX24" s="70"/>
      <c r="BY24" s="70"/>
      <c r="CB24" s="56"/>
      <c r="CC24" s="57"/>
    </row>
    <row r="25" spans="1:81" ht="13.75" customHeight="1">
      <c r="A25" s="339" t="s">
        <v>144</v>
      </c>
      <c r="B25" s="53" t="s">
        <v>343</v>
      </c>
      <c r="C25" s="54">
        <v>2.5236999999999998</v>
      </c>
      <c r="D25" s="54">
        <v>2.5236999999999998</v>
      </c>
      <c r="E25" s="54">
        <v>2.5236999999999998</v>
      </c>
      <c r="F25" s="54">
        <v>2.5236999999999998</v>
      </c>
      <c r="G25" s="54">
        <v>3.1059000000000001</v>
      </c>
      <c r="H25" s="54">
        <v>3.1059000000000001</v>
      </c>
      <c r="I25" s="54">
        <v>3.1059000000000001</v>
      </c>
      <c r="J25" s="54">
        <f>I25</f>
        <v>3.1059000000000001</v>
      </c>
      <c r="K25" s="54">
        <v>3.2252999999999998</v>
      </c>
      <c r="L25" s="54">
        <f>K25</f>
        <v>3.2252999999999998</v>
      </c>
      <c r="M25" s="54">
        <f>L25</f>
        <v>3.2252999999999998</v>
      </c>
      <c r="N25" s="54">
        <f>M25</f>
        <v>3.2252999999999998</v>
      </c>
      <c r="O25" s="54">
        <v>3.2128000000000001</v>
      </c>
      <c r="P25" s="54">
        <f>O25</f>
        <v>3.2128000000000001</v>
      </c>
      <c r="Q25" s="54">
        <f>P25</f>
        <v>3.2128000000000001</v>
      </c>
      <c r="R25" s="54">
        <f>Q25</f>
        <v>3.2128000000000001</v>
      </c>
      <c r="S25" s="54">
        <v>3.246</v>
      </c>
      <c r="T25" s="54">
        <v>3.246</v>
      </c>
      <c r="U25" s="54">
        <f>T25</f>
        <v>3.246</v>
      </c>
      <c r="V25" s="54">
        <f>U25</f>
        <v>3.246</v>
      </c>
      <c r="W25" s="54">
        <v>3.2723</v>
      </c>
      <c r="X25" s="54">
        <f>W25</f>
        <v>3.2723</v>
      </c>
      <c r="Y25" s="54">
        <f>X25</f>
        <v>3.2723</v>
      </c>
      <c r="Z25" s="54">
        <v>3.3715000000000002</v>
      </c>
      <c r="AA25" s="54">
        <v>3.3715000000000002</v>
      </c>
      <c r="AB25" s="54">
        <v>3.3715000000000002</v>
      </c>
      <c r="AC25" s="55">
        <v>3.3715000000000002</v>
      </c>
      <c r="AD25" s="55">
        <v>3.6002999999999998</v>
      </c>
      <c r="AE25" s="55">
        <f>AD25</f>
        <v>3.6002999999999998</v>
      </c>
      <c r="AF25" s="55">
        <f>+AE25</f>
        <v>3.6002999999999998</v>
      </c>
      <c r="AG25" s="55">
        <f>+AF25</f>
        <v>3.6002999999999998</v>
      </c>
      <c r="AH25" s="55">
        <v>3.4906000000000001</v>
      </c>
      <c r="AI25" s="55">
        <f>+AH25</f>
        <v>3.4906000000000001</v>
      </c>
      <c r="AJ25" s="55">
        <v>3.4906000000000001</v>
      </c>
      <c r="AK25" s="55">
        <v>3.4906000000000001</v>
      </c>
      <c r="AL25" s="55">
        <v>3.5432000000000001</v>
      </c>
      <c r="AM25" s="55">
        <v>3.5432000000000001</v>
      </c>
      <c r="AN25" s="55">
        <v>3.5432000000000001</v>
      </c>
      <c r="AO25" s="55">
        <v>3.5520999999999998</v>
      </c>
      <c r="AP25" s="55">
        <v>3.5520999999999998</v>
      </c>
      <c r="AQ25" s="55">
        <v>3.5520999999999998</v>
      </c>
      <c r="AR25" s="55">
        <v>3.5520999999999998</v>
      </c>
      <c r="AS25" s="55">
        <v>3.6943999999999999</v>
      </c>
      <c r="AT25" s="55">
        <v>3.6943999999999999</v>
      </c>
      <c r="AU25" s="55">
        <v>3.6943999999999999</v>
      </c>
      <c r="AV25" s="55">
        <v>3.6943999999999999</v>
      </c>
      <c r="AW25" s="55">
        <v>3.8388</v>
      </c>
      <c r="AX25" s="107">
        <v>3.8388</v>
      </c>
      <c r="AY25" s="107">
        <f>AX25</f>
        <v>3.8388</v>
      </c>
      <c r="AZ25" s="107">
        <f>AY25</f>
        <v>3.8388</v>
      </c>
      <c r="BA25" s="107">
        <f>AZ25</f>
        <v>3.8388</v>
      </c>
      <c r="BB25" s="107">
        <v>4.0303000000000004</v>
      </c>
      <c r="BC25" s="107">
        <v>4.0303000000000004</v>
      </c>
      <c r="BD25" s="107">
        <v>4.0303000000000004</v>
      </c>
      <c r="BE25" s="107">
        <v>4.0303000000000004</v>
      </c>
      <c r="BF25" s="107">
        <v>4.0303000000000004</v>
      </c>
      <c r="BG25" s="107">
        <v>4.0303000000000004</v>
      </c>
      <c r="BH25" s="107">
        <v>4.0303000000000004</v>
      </c>
      <c r="BI25" s="107">
        <v>4.0303000000000004</v>
      </c>
      <c r="BJ25" s="107">
        <v>4.109</v>
      </c>
      <c r="BK25" s="107">
        <v>4.109</v>
      </c>
      <c r="BL25" s="107">
        <v>4.109</v>
      </c>
      <c r="BM25" s="107">
        <v>4.109</v>
      </c>
      <c r="BO25" s="17"/>
      <c r="BQ25" s="107">
        <v>4.109</v>
      </c>
      <c r="BS25" s="17"/>
      <c r="BU25" s="107">
        <f>BQ25</f>
        <v>4.109</v>
      </c>
      <c r="BV25" s="55"/>
      <c r="BW25" s="55"/>
      <c r="BX25" s="55"/>
      <c r="BY25" s="55"/>
      <c r="CA25" s="56"/>
      <c r="CC25" s="57"/>
    </row>
    <row r="26" spans="1:81" ht="13.75" customHeight="1">
      <c r="A26" s="340"/>
      <c r="B26" s="58" t="s">
        <v>345</v>
      </c>
      <c r="C26" s="59">
        <v>1.0425</v>
      </c>
      <c r="D26" s="59">
        <v>1.1312</v>
      </c>
      <c r="E26" s="59">
        <v>1.2142999999999999</v>
      </c>
      <c r="F26" s="59">
        <v>1.1632</v>
      </c>
      <c r="G26" s="59">
        <v>1.1494</v>
      </c>
      <c r="H26" s="59">
        <v>1.1531</v>
      </c>
      <c r="I26" s="59">
        <v>1.3166</v>
      </c>
      <c r="J26" s="59">
        <v>1.2766999999999999</v>
      </c>
      <c r="K26" s="59">
        <v>1.1214999999999999</v>
      </c>
      <c r="L26" s="59">
        <v>0.93569999999999998</v>
      </c>
      <c r="M26" s="59">
        <v>0.93030000000000002</v>
      </c>
      <c r="N26" s="59">
        <v>0.91210000000000002</v>
      </c>
      <c r="O26" s="59">
        <v>0.88239999999999996</v>
      </c>
      <c r="P26" s="59">
        <v>0.95940000000000003</v>
      </c>
      <c r="Q26" s="59">
        <v>0.95589999999999997</v>
      </c>
      <c r="R26" s="59">
        <v>0.92179999999999995</v>
      </c>
      <c r="S26" s="59">
        <v>0.871</v>
      </c>
      <c r="T26" s="59">
        <v>0.871</v>
      </c>
      <c r="U26" s="59">
        <v>1.02</v>
      </c>
      <c r="V26" s="59">
        <v>1.0059</v>
      </c>
      <c r="W26" s="59">
        <v>0.88800000000000001</v>
      </c>
      <c r="X26" s="59">
        <v>0.84260000000000002</v>
      </c>
      <c r="Y26" s="59">
        <v>0.78669999999999995</v>
      </c>
      <c r="Z26" s="59">
        <v>0.78710000000000002</v>
      </c>
      <c r="AA26" s="59">
        <v>0.81310000000000004</v>
      </c>
      <c r="AB26" s="59">
        <v>0.78129999999999999</v>
      </c>
      <c r="AC26" s="59">
        <v>0.76139999999999997</v>
      </c>
      <c r="AD26" s="59">
        <v>0.64580000000000004</v>
      </c>
      <c r="AE26" s="59">
        <v>0.61609999999999998</v>
      </c>
      <c r="AF26" s="59">
        <v>0.6472</v>
      </c>
      <c r="AG26" s="59">
        <v>0.70530000000000004</v>
      </c>
      <c r="AH26" s="59">
        <v>0.73080000000000001</v>
      </c>
      <c r="AI26" s="59">
        <v>0.68240000000000001</v>
      </c>
      <c r="AJ26" s="59">
        <v>0.67269999999999996</v>
      </c>
      <c r="AK26" s="59">
        <v>0.66890000000000005</v>
      </c>
      <c r="AL26" s="59">
        <v>0.61460000000000004</v>
      </c>
      <c r="AM26" s="59">
        <v>0.5948</v>
      </c>
      <c r="AN26" s="59">
        <v>0.56640000000000001</v>
      </c>
      <c r="AO26" s="59">
        <v>0.60329999999999995</v>
      </c>
      <c r="AP26" s="59">
        <v>0.56579999999999997</v>
      </c>
      <c r="AQ26" s="59">
        <v>0.58689999999999998</v>
      </c>
      <c r="AR26" s="59">
        <v>0.57789999999999997</v>
      </c>
      <c r="AS26" s="59">
        <v>0.57679999999999998</v>
      </c>
      <c r="AT26" s="59">
        <v>0.57199999999999995</v>
      </c>
      <c r="AU26" s="59">
        <v>0.48909999999999998</v>
      </c>
      <c r="AV26" s="59">
        <v>0.48230000000000001</v>
      </c>
      <c r="AW26" s="59">
        <v>0.47070000000000001</v>
      </c>
      <c r="AX26" s="108">
        <v>0.46939999999999998</v>
      </c>
      <c r="AY26" s="108">
        <v>0.41539999999999999</v>
      </c>
      <c r="AZ26" s="108">
        <v>0.41539999999999999</v>
      </c>
      <c r="BA26" s="108">
        <v>0.3891</v>
      </c>
      <c r="BB26" s="108">
        <v>0.36380000000000001</v>
      </c>
      <c r="BC26" s="108">
        <v>0.34429999999999999</v>
      </c>
      <c r="BD26" s="108">
        <v>0.34100000000000003</v>
      </c>
      <c r="BE26" s="108">
        <v>0.38350000000000001</v>
      </c>
      <c r="BF26" s="108">
        <v>0.40500000000000003</v>
      </c>
      <c r="BG26" s="108">
        <v>0.41410000000000002</v>
      </c>
      <c r="BH26" s="108">
        <v>0.45040000000000002</v>
      </c>
      <c r="BI26" s="108">
        <v>0.47020000000000001</v>
      </c>
      <c r="BJ26" s="108">
        <v>0.49580000000000002</v>
      </c>
      <c r="BK26" s="108">
        <v>0.55320000000000003</v>
      </c>
      <c r="BL26" s="108">
        <v>0.55320000000000003</v>
      </c>
      <c r="BM26" s="108">
        <v>0.70269999999999999</v>
      </c>
      <c r="BN26" s="344" t="s">
        <v>346</v>
      </c>
      <c r="BO26" s="345">
        <f>BM26+BM27+BM28</f>
        <v>1.1363000000000001</v>
      </c>
      <c r="BP26" s="348" t="s">
        <v>347</v>
      </c>
      <c r="BQ26" s="108">
        <v>0.70269999999999999</v>
      </c>
      <c r="BR26" s="344" t="s">
        <v>346</v>
      </c>
      <c r="BS26" s="345">
        <f>BQ26+BQ27+BQ28</f>
        <v>1.1363000000000001</v>
      </c>
      <c r="BT26" s="348" t="s">
        <v>347</v>
      </c>
      <c r="BU26" s="108">
        <f>BQ26</f>
        <v>0.70269999999999999</v>
      </c>
      <c r="BV26" s="59"/>
      <c r="BW26" s="59"/>
      <c r="BX26" s="59"/>
      <c r="BY26" s="59"/>
      <c r="BZ26" s="341" t="s">
        <v>346</v>
      </c>
      <c r="CA26" s="346">
        <f>AW26+AW27+AW28</f>
        <v>0.87760000000000005</v>
      </c>
      <c r="CB26" s="347" t="s">
        <v>347</v>
      </c>
      <c r="CC26" s="57"/>
    </row>
    <row r="27" spans="1:81" ht="13.75" customHeight="1">
      <c r="A27" s="340"/>
      <c r="B27" s="60" t="s">
        <v>348</v>
      </c>
      <c r="C27" s="55">
        <v>0.17080000000000001</v>
      </c>
      <c r="D27" s="55">
        <v>0.17080000000000001</v>
      </c>
      <c r="E27" s="55">
        <v>0.17080000000000001</v>
      </c>
      <c r="F27" s="55">
        <v>0.17080000000000001</v>
      </c>
      <c r="G27" s="55">
        <v>0.2102</v>
      </c>
      <c r="H27" s="55">
        <v>0.2102</v>
      </c>
      <c r="I27" s="55">
        <v>0.2102</v>
      </c>
      <c r="J27" s="55">
        <f>I27</f>
        <v>0.2102</v>
      </c>
      <c r="K27" s="55">
        <v>0.21829999999999999</v>
      </c>
      <c r="L27" s="55">
        <f>K27</f>
        <v>0.21829999999999999</v>
      </c>
      <c r="M27" s="55">
        <f>L27</f>
        <v>0.21829999999999999</v>
      </c>
      <c r="N27" s="55">
        <f>M27</f>
        <v>0.21829999999999999</v>
      </c>
      <c r="O27" s="55">
        <v>0.2175</v>
      </c>
      <c r="P27" s="55">
        <f>O27</f>
        <v>0.2175</v>
      </c>
      <c r="Q27" s="55">
        <f>P27</f>
        <v>0.2175</v>
      </c>
      <c r="R27" s="55">
        <f>Q27</f>
        <v>0.2175</v>
      </c>
      <c r="S27" s="55">
        <v>0.21970000000000001</v>
      </c>
      <c r="T27" s="55">
        <v>0.21970000000000001</v>
      </c>
      <c r="U27" s="55">
        <f>T27</f>
        <v>0.21970000000000001</v>
      </c>
      <c r="V27" s="55">
        <f>U27</f>
        <v>0.21970000000000001</v>
      </c>
      <c r="W27" s="55">
        <v>0.30149999999999999</v>
      </c>
      <c r="X27" s="55">
        <f>W27</f>
        <v>0.30149999999999999</v>
      </c>
      <c r="Y27" s="55">
        <f>X27</f>
        <v>0.30149999999999999</v>
      </c>
      <c r="Z27" s="55">
        <v>0.31059999999999999</v>
      </c>
      <c r="AA27" s="55">
        <v>0.31059999999999999</v>
      </c>
      <c r="AB27" s="55">
        <v>0.31059999999999999</v>
      </c>
      <c r="AC27" s="55">
        <v>0.31059999999999999</v>
      </c>
      <c r="AD27" s="55">
        <v>0.34429999999999999</v>
      </c>
      <c r="AE27" s="55">
        <f>AD27</f>
        <v>0.34429999999999999</v>
      </c>
      <c r="AF27" s="55">
        <f>+AE27</f>
        <v>0.34429999999999999</v>
      </c>
      <c r="AG27" s="55">
        <f>+AF27</f>
        <v>0.34429999999999999</v>
      </c>
      <c r="AH27" s="55">
        <v>0.34599999999999997</v>
      </c>
      <c r="AI27" s="55">
        <f>+AH27</f>
        <v>0.34599999999999997</v>
      </c>
      <c r="AJ27" s="55">
        <v>0.34599999999999997</v>
      </c>
      <c r="AK27" s="55">
        <v>0.34599999999999997</v>
      </c>
      <c r="AL27" s="55">
        <v>0.35120000000000001</v>
      </c>
      <c r="AM27" s="55">
        <v>0.3412</v>
      </c>
      <c r="AN27" s="55">
        <v>0.3412</v>
      </c>
      <c r="AO27" s="55">
        <v>0.34210000000000002</v>
      </c>
      <c r="AP27" s="55">
        <v>0.34210000000000002</v>
      </c>
      <c r="AQ27" s="55">
        <v>0.34210000000000002</v>
      </c>
      <c r="AR27" s="55">
        <v>0.34210000000000002</v>
      </c>
      <c r="AS27" s="55">
        <v>0.35580000000000001</v>
      </c>
      <c r="AT27" s="55">
        <v>0.35580000000000001</v>
      </c>
      <c r="AU27" s="55">
        <v>0.35580000000000001</v>
      </c>
      <c r="AV27" s="55">
        <v>0.35580000000000001</v>
      </c>
      <c r="AW27" s="55">
        <v>0.36969999999999997</v>
      </c>
      <c r="AX27" s="107">
        <v>0.36969999999999997</v>
      </c>
      <c r="AY27" s="107">
        <f>AX27</f>
        <v>0.36969999999999997</v>
      </c>
      <c r="AZ27" s="107">
        <f>AY27</f>
        <v>0.36969999999999997</v>
      </c>
      <c r="BA27" s="107">
        <f>AZ27</f>
        <v>0.36969999999999997</v>
      </c>
      <c r="BB27" s="107">
        <v>0.3881</v>
      </c>
      <c r="BC27" s="107">
        <v>0.3881</v>
      </c>
      <c r="BD27" s="107">
        <v>0.3881</v>
      </c>
      <c r="BE27" s="107">
        <v>0.3881</v>
      </c>
      <c r="BF27" s="107">
        <v>0.3881</v>
      </c>
      <c r="BG27" s="107">
        <v>0.3881</v>
      </c>
      <c r="BH27" s="107">
        <v>0.3881</v>
      </c>
      <c r="BI27" s="107">
        <v>0.3881</v>
      </c>
      <c r="BJ27" s="107">
        <v>0.3957</v>
      </c>
      <c r="BK27" s="107">
        <v>0.3957</v>
      </c>
      <c r="BL27" s="107">
        <v>0.3957</v>
      </c>
      <c r="BM27" s="107">
        <v>0.3957</v>
      </c>
      <c r="BN27" s="344"/>
      <c r="BO27" s="345"/>
      <c r="BP27" s="348"/>
      <c r="BQ27" s="107">
        <v>0.3957</v>
      </c>
      <c r="BR27" s="344"/>
      <c r="BS27" s="345"/>
      <c r="BT27" s="348"/>
      <c r="BU27" s="107">
        <f>BQ27</f>
        <v>0.3957</v>
      </c>
      <c r="BV27" s="55"/>
      <c r="BW27" s="55"/>
      <c r="BX27" s="55"/>
      <c r="BY27" s="55"/>
      <c r="BZ27" s="341"/>
      <c r="CA27" s="346"/>
      <c r="CB27" s="347"/>
      <c r="CC27" s="57"/>
    </row>
    <row r="28" spans="1:81" ht="13.75" customHeight="1">
      <c r="A28" s="340"/>
      <c r="B28" s="60" t="s">
        <v>349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>
        <v>3.3399999999999999E-2</v>
      </c>
      <c r="AN28" s="55">
        <v>3.3399999999999999E-2</v>
      </c>
      <c r="AO28" s="55">
        <v>3.3399999999999999E-2</v>
      </c>
      <c r="AP28" s="55">
        <v>3.7699999999999997E-2</v>
      </c>
      <c r="AQ28" s="55">
        <v>3.7699999999999997E-2</v>
      </c>
      <c r="AR28" s="55">
        <v>3.7699999999999997E-2</v>
      </c>
      <c r="AS28" s="55">
        <v>3.7699999999999997E-2</v>
      </c>
      <c r="AT28" s="55">
        <v>3.7199999999999997E-2</v>
      </c>
      <c r="AU28" s="55">
        <v>3.7199999999999997E-2</v>
      </c>
      <c r="AV28" s="55">
        <v>3.7199999999999997E-2</v>
      </c>
      <c r="AW28" s="55">
        <v>3.7199999999999997E-2</v>
      </c>
      <c r="AX28" s="107">
        <v>3.5400000000000001E-2</v>
      </c>
      <c r="AY28" s="107">
        <f t="shared" ref="AY28:AZ29" si="4">AX28</f>
        <v>3.5400000000000001E-2</v>
      </c>
      <c r="AZ28" s="107">
        <f t="shared" si="4"/>
        <v>3.5400000000000001E-2</v>
      </c>
      <c r="BA28" s="107">
        <f>AZ28</f>
        <v>3.5400000000000001E-2</v>
      </c>
      <c r="BB28" s="107">
        <v>3.5400000000000001E-2</v>
      </c>
      <c r="BC28" s="107">
        <v>3.5400000000000001E-2</v>
      </c>
      <c r="BD28" s="107">
        <v>3.5400000000000001E-2</v>
      </c>
      <c r="BE28" s="107">
        <v>3.5400000000000001E-2</v>
      </c>
      <c r="BF28" s="107">
        <v>3.5400000000000001E-2</v>
      </c>
      <c r="BG28" s="107">
        <v>3.6499999999999998E-2</v>
      </c>
      <c r="BH28" s="107">
        <v>3.6499999999999998E-2</v>
      </c>
      <c r="BI28" s="107">
        <v>3.6499999999999998E-2</v>
      </c>
      <c r="BJ28" s="107">
        <v>3.6499999999999998E-2</v>
      </c>
      <c r="BK28" s="107">
        <v>3.7900000000000003E-2</v>
      </c>
      <c r="BL28" s="107">
        <v>3.7900000000000003E-2</v>
      </c>
      <c r="BM28" s="107">
        <v>3.7900000000000003E-2</v>
      </c>
      <c r="BN28" s="344"/>
      <c r="BO28" s="111"/>
      <c r="BP28" s="112"/>
      <c r="BQ28" s="107">
        <v>3.7900000000000003E-2</v>
      </c>
      <c r="BR28" s="344"/>
      <c r="BS28" s="111"/>
      <c r="BT28" s="112"/>
      <c r="BU28" s="107">
        <f>'Prop EEC 2023 Rates'!H11</f>
        <v>3.7280000000000001E-2</v>
      </c>
      <c r="BV28" s="55"/>
      <c r="BW28" s="55"/>
      <c r="BX28" s="55"/>
      <c r="BY28" s="55"/>
      <c r="BZ28" s="341" t="s">
        <v>346</v>
      </c>
      <c r="CA28" s="83"/>
      <c r="CB28" s="84"/>
      <c r="CC28" s="57"/>
    </row>
    <row r="29" spans="1:81" ht="13.75" customHeight="1">
      <c r="A29" s="340"/>
      <c r="B29" s="60" t="s">
        <v>334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61">
        <v>12.91</v>
      </c>
      <c r="AC29" s="61">
        <f>+AB29</f>
        <v>12.91</v>
      </c>
      <c r="AD29" s="61">
        <f>+AC29</f>
        <v>12.91</v>
      </c>
      <c r="AE29" s="61">
        <f>+AD29</f>
        <v>12.91</v>
      </c>
      <c r="AF29" s="61">
        <f>+AE29</f>
        <v>12.91</v>
      </c>
      <c r="AG29" s="61">
        <f>+AF29</f>
        <v>12.91</v>
      </c>
      <c r="AH29" s="61">
        <v>7.5</v>
      </c>
      <c r="AI29" s="61">
        <f>+AH29</f>
        <v>7.5</v>
      </c>
      <c r="AJ29" s="61">
        <v>7.5</v>
      </c>
      <c r="AK29" s="61">
        <v>7.5</v>
      </c>
      <c r="AL29" s="61">
        <v>6.48</v>
      </c>
      <c r="AM29" s="61">
        <v>6.48</v>
      </c>
      <c r="AN29" s="61">
        <v>6.48</v>
      </c>
      <c r="AO29" s="61">
        <v>6.48</v>
      </c>
      <c r="AP29" s="61">
        <v>1.05</v>
      </c>
      <c r="AQ29" s="61">
        <v>1.05</v>
      </c>
      <c r="AR29" s="61">
        <v>1.05</v>
      </c>
      <c r="AS29" s="61">
        <v>1.05</v>
      </c>
      <c r="AT29" s="61">
        <v>1.05</v>
      </c>
      <c r="AU29" s="61">
        <v>1.05</v>
      </c>
      <c r="AV29" s="61">
        <v>1.05</v>
      </c>
      <c r="AW29" s="61">
        <v>1.05</v>
      </c>
      <c r="AX29" s="109">
        <v>1.05</v>
      </c>
      <c r="AY29" s="107">
        <f t="shared" si="4"/>
        <v>1.05</v>
      </c>
      <c r="AZ29" s="107">
        <f t="shared" si="4"/>
        <v>1.05</v>
      </c>
      <c r="BA29" s="107">
        <f>AZ29</f>
        <v>1.05</v>
      </c>
      <c r="BB29" s="107">
        <v>1.05</v>
      </c>
      <c r="BC29" s="107">
        <v>1.05</v>
      </c>
      <c r="BD29" s="107">
        <v>1.05</v>
      </c>
      <c r="BE29" s="107">
        <v>1.05</v>
      </c>
      <c r="BF29" s="107">
        <v>1.05</v>
      </c>
      <c r="BG29" s="107">
        <v>1.05</v>
      </c>
      <c r="BH29" s="107">
        <v>1.05</v>
      </c>
      <c r="BI29" s="107">
        <v>1.05</v>
      </c>
      <c r="BJ29" s="107">
        <v>3.84</v>
      </c>
      <c r="BK29" s="107">
        <v>3.84</v>
      </c>
      <c r="BL29" s="107">
        <v>3.84</v>
      </c>
      <c r="BM29" s="107">
        <v>3.84</v>
      </c>
      <c r="BO29" s="111"/>
      <c r="BP29" s="112"/>
      <c r="BQ29" s="107">
        <v>3.84</v>
      </c>
      <c r="BS29" s="111"/>
      <c r="BT29" s="112"/>
      <c r="BU29" s="107">
        <f>BQ29</f>
        <v>3.84</v>
      </c>
      <c r="BV29" s="61"/>
      <c r="BW29" s="61"/>
      <c r="BX29" s="61"/>
      <c r="BY29" s="61"/>
      <c r="CA29" s="83"/>
      <c r="CB29" s="84"/>
      <c r="CC29" s="57"/>
    </row>
    <row r="30" spans="1:81" ht="13.75" customHeight="1">
      <c r="A30" s="82"/>
      <c r="B30" s="60" t="str">
        <f>B23</f>
        <v>2018 Tax Adj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2">
        <v>-3.8699999999999998E-2</v>
      </c>
      <c r="AU30" s="62">
        <v>-3.8699999999999998E-2</v>
      </c>
      <c r="AV30" s="62">
        <v>-3.8699999999999998E-2</v>
      </c>
      <c r="AW30" s="62">
        <v>0</v>
      </c>
      <c r="AX30" s="107"/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107"/>
      <c r="BK30" s="107"/>
      <c r="BL30" s="107"/>
      <c r="BM30" s="107"/>
      <c r="BO30" s="111"/>
      <c r="BP30" s="112"/>
      <c r="BQ30" s="107"/>
      <c r="BS30" s="111"/>
      <c r="BT30" s="112"/>
      <c r="BU30" s="107"/>
      <c r="BV30" s="62"/>
      <c r="BW30" s="62"/>
      <c r="BX30" s="62"/>
      <c r="BY30" s="62"/>
      <c r="CA30" s="83">
        <f>CA26+AW30</f>
        <v>0.87760000000000005</v>
      </c>
      <c r="CB30" s="84" t="s">
        <v>347</v>
      </c>
      <c r="CC30" s="57"/>
    </row>
    <row r="31" spans="1:81" ht="15.5">
      <c r="A31" s="68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69"/>
      <c r="AD31" s="69"/>
      <c r="AE31" s="69"/>
      <c r="AF31" s="69"/>
      <c r="AG31" s="69"/>
      <c r="AH31" s="69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O31" s="17"/>
      <c r="BP31" s="17"/>
      <c r="BQ31" s="116"/>
      <c r="BS31" s="17"/>
      <c r="BT31" s="17"/>
      <c r="BU31" s="116"/>
      <c r="BV31" s="70"/>
      <c r="BW31" s="70"/>
      <c r="BX31" s="70"/>
      <c r="BY31" s="70"/>
      <c r="CA31" s="56"/>
      <c r="CB31" s="56"/>
      <c r="CC31" s="57"/>
    </row>
    <row r="32" spans="1:81" ht="13.75" customHeight="1">
      <c r="A32" s="339" t="s">
        <v>145</v>
      </c>
      <c r="B32" s="53" t="s">
        <v>343</v>
      </c>
      <c r="C32" s="54">
        <v>2.5236999999999998</v>
      </c>
      <c r="D32" s="54">
        <v>2.5236999999999998</v>
      </c>
      <c r="E32" s="54">
        <v>2.5236999999999998</v>
      </c>
      <c r="F32" s="54">
        <v>2.5236999999999998</v>
      </c>
      <c r="G32" s="54">
        <v>3.1059000000000001</v>
      </c>
      <c r="H32" s="54">
        <v>3.1059000000000001</v>
      </c>
      <c r="I32" s="54">
        <v>3.1059000000000001</v>
      </c>
      <c r="J32" s="54">
        <f>I32</f>
        <v>3.1059000000000001</v>
      </c>
      <c r="K32" s="54">
        <v>3.2252999999999998</v>
      </c>
      <c r="L32" s="54">
        <f>K32</f>
        <v>3.2252999999999998</v>
      </c>
      <c r="M32" s="54">
        <f>L32</f>
        <v>3.2252999999999998</v>
      </c>
      <c r="N32" s="54">
        <f>M32</f>
        <v>3.2252999999999998</v>
      </c>
      <c r="O32" s="54">
        <v>3.2128000000000001</v>
      </c>
      <c r="P32" s="54">
        <f>O32</f>
        <v>3.2128000000000001</v>
      </c>
      <c r="Q32" s="54">
        <f>P32</f>
        <v>3.2128000000000001</v>
      </c>
      <c r="R32" s="54">
        <f>Q32</f>
        <v>3.2128000000000001</v>
      </c>
      <c r="S32" s="54">
        <v>3.246</v>
      </c>
      <c r="T32" s="54">
        <v>3.246</v>
      </c>
      <c r="U32" s="54">
        <f>T32</f>
        <v>3.246</v>
      </c>
      <c r="V32" s="54">
        <f>U32</f>
        <v>3.246</v>
      </c>
      <c r="W32" s="54">
        <v>3.2723</v>
      </c>
      <c r="X32" s="54">
        <f>W32</f>
        <v>3.2723</v>
      </c>
      <c r="Y32" s="54">
        <f>X32</f>
        <v>3.2723</v>
      </c>
      <c r="Z32" s="54">
        <v>3.3715000000000002</v>
      </c>
      <c r="AA32" s="54">
        <v>3.3715000000000002</v>
      </c>
      <c r="AB32" s="54">
        <v>3.3715000000000002</v>
      </c>
      <c r="AC32" s="55">
        <v>3.3715000000000002</v>
      </c>
      <c r="AD32" s="55">
        <v>3.6002999999999998</v>
      </c>
      <c r="AE32" s="55">
        <f>AD32</f>
        <v>3.6002999999999998</v>
      </c>
      <c r="AF32" s="55">
        <f>+AE32</f>
        <v>3.6002999999999998</v>
      </c>
      <c r="AG32" s="55">
        <f>+AF32</f>
        <v>3.6002999999999998</v>
      </c>
      <c r="AH32" s="55">
        <v>3.4906000000000001</v>
      </c>
      <c r="AI32" s="55">
        <f>+AH32</f>
        <v>3.4906000000000001</v>
      </c>
      <c r="AJ32" s="55">
        <v>3.4906000000000001</v>
      </c>
      <c r="AK32" s="55">
        <v>3.4906000000000001</v>
      </c>
      <c r="AL32" s="55">
        <v>3.5432000000000001</v>
      </c>
      <c r="AM32" s="55">
        <v>3.5432000000000001</v>
      </c>
      <c r="AN32" s="55">
        <v>3.5432000000000001</v>
      </c>
      <c r="AO32" s="55">
        <v>3.5520999999999998</v>
      </c>
      <c r="AP32" s="55">
        <v>3.5520999999999998</v>
      </c>
      <c r="AQ32" s="55">
        <v>3.5520999999999998</v>
      </c>
      <c r="AR32" s="55">
        <v>3.5520999999999998</v>
      </c>
      <c r="AS32" s="55">
        <v>3.6943999999999999</v>
      </c>
      <c r="AT32" s="55">
        <v>3.6943999999999999</v>
      </c>
      <c r="AU32" s="55">
        <v>3.6943999999999999</v>
      </c>
      <c r="AV32" s="55">
        <v>3.6943999999999999</v>
      </c>
      <c r="AW32" s="55">
        <v>3.8388</v>
      </c>
      <c r="AX32" s="107">
        <v>3.8388</v>
      </c>
      <c r="AY32" s="107">
        <f>AX32</f>
        <v>3.8388</v>
      </c>
      <c r="AZ32" s="107">
        <f>AY32</f>
        <v>3.8388</v>
      </c>
      <c r="BA32" s="107">
        <f>AZ32</f>
        <v>3.8388</v>
      </c>
      <c r="BB32" s="107">
        <v>4.0303000000000004</v>
      </c>
      <c r="BC32" s="107">
        <v>4.0303000000000004</v>
      </c>
      <c r="BD32" s="107">
        <v>4.0303000000000004</v>
      </c>
      <c r="BE32" s="107">
        <v>4.0303000000000004</v>
      </c>
      <c r="BF32" s="107">
        <v>4.0303000000000004</v>
      </c>
      <c r="BG32" s="107">
        <v>4.0303000000000004</v>
      </c>
      <c r="BH32" s="107">
        <v>4.0303000000000004</v>
      </c>
      <c r="BI32" s="107">
        <v>4.0303000000000004</v>
      </c>
      <c r="BJ32" s="107">
        <v>4.109</v>
      </c>
      <c r="BK32" s="107">
        <v>4.109</v>
      </c>
      <c r="BL32" s="107">
        <v>4.109</v>
      </c>
      <c r="BM32" s="107">
        <v>4.109</v>
      </c>
      <c r="BO32" s="17"/>
      <c r="BP32" s="17"/>
      <c r="BQ32" s="107">
        <v>4.109</v>
      </c>
      <c r="BS32" s="17"/>
      <c r="BT32" s="17"/>
      <c r="BU32" s="107">
        <f>BQ32</f>
        <v>4.109</v>
      </c>
      <c r="BV32" s="55"/>
      <c r="BW32" s="55"/>
      <c r="BX32" s="55"/>
      <c r="BY32" s="55"/>
      <c r="CA32" s="56"/>
      <c r="CB32" s="56"/>
      <c r="CC32" s="57"/>
    </row>
    <row r="33" spans="1:81" ht="13.75" customHeight="1">
      <c r="A33" s="340"/>
      <c r="B33" s="58" t="s">
        <v>345</v>
      </c>
      <c r="C33" s="59">
        <v>0.89690000000000003</v>
      </c>
      <c r="D33" s="59">
        <v>0.97330000000000005</v>
      </c>
      <c r="E33" s="59">
        <v>1.0448</v>
      </c>
      <c r="F33" s="59">
        <v>1.0007999999999999</v>
      </c>
      <c r="G33" s="59">
        <v>0.9889</v>
      </c>
      <c r="H33" s="59">
        <v>0.99209999999999998</v>
      </c>
      <c r="I33" s="59">
        <v>1.1328</v>
      </c>
      <c r="J33" s="59">
        <v>1.0985</v>
      </c>
      <c r="K33" s="59">
        <v>0.96489999999999998</v>
      </c>
      <c r="L33" s="59">
        <v>0.80500000000000005</v>
      </c>
      <c r="M33" s="59">
        <v>0.8004</v>
      </c>
      <c r="N33" s="59">
        <v>0.78480000000000005</v>
      </c>
      <c r="O33" s="59">
        <v>0.75919999999999999</v>
      </c>
      <c r="P33" s="59">
        <v>0.82540000000000002</v>
      </c>
      <c r="Q33" s="59">
        <v>0.82240000000000002</v>
      </c>
      <c r="R33" s="59">
        <v>0.79310000000000003</v>
      </c>
      <c r="S33" s="59">
        <v>0.75290000000000001</v>
      </c>
      <c r="T33" s="59">
        <v>0.75290000000000001</v>
      </c>
      <c r="U33" s="59">
        <v>0.87760000000000005</v>
      </c>
      <c r="V33" s="59">
        <v>0.86539999999999995</v>
      </c>
      <c r="W33" s="59">
        <v>0.76400000000000001</v>
      </c>
      <c r="X33" s="59">
        <v>0.72489999999999999</v>
      </c>
      <c r="Y33" s="59">
        <v>0.67679999999999996</v>
      </c>
      <c r="Z33" s="59">
        <v>0.67720000000000002</v>
      </c>
      <c r="AA33" s="59">
        <v>0.6996</v>
      </c>
      <c r="AB33" s="59">
        <v>0.67220000000000002</v>
      </c>
      <c r="AC33" s="59">
        <v>0.65510000000000002</v>
      </c>
      <c r="AD33" s="59">
        <v>0.52339999999999998</v>
      </c>
      <c r="AE33" s="59">
        <v>0.49930000000000002</v>
      </c>
      <c r="AF33" s="59">
        <v>0.52439999999999998</v>
      </c>
      <c r="AG33" s="59">
        <v>0.57150000000000001</v>
      </c>
      <c r="AH33" s="59">
        <v>0.55720000000000003</v>
      </c>
      <c r="AI33" s="59">
        <v>0.52029999999999998</v>
      </c>
      <c r="AJ33" s="59">
        <v>0.51290000000000002</v>
      </c>
      <c r="AK33" s="59">
        <v>0.51</v>
      </c>
      <c r="AL33" s="59">
        <v>0.46860000000000002</v>
      </c>
      <c r="AM33" s="59">
        <v>0.45350000000000001</v>
      </c>
      <c r="AN33" s="59">
        <v>0.43180000000000002</v>
      </c>
      <c r="AO33" s="59">
        <v>0.45979999999999999</v>
      </c>
      <c r="AP33" s="59">
        <v>0.43120000000000003</v>
      </c>
      <c r="AQ33" s="59">
        <v>0.44729999999999998</v>
      </c>
      <c r="AR33" s="59">
        <v>0.44040000000000001</v>
      </c>
      <c r="AS33" s="59">
        <v>0.43959999999999999</v>
      </c>
      <c r="AT33" s="59">
        <v>0.43590000000000001</v>
      </c>
      <c r="AU33" s="59">
        <v>0.37269999999999998</v>
      </c>
      <c r="AV33" s="59">
        <v>0.36759999999999998</v>
      </c>
      <c r="AW33" s="59">
        <v>0.35880000000000001</v>
      </c>
      <c r="AX33" s="108">
        <v>0.35780000000000001</v>
      </c>
      <c r="AY33" s="108">
        <v>0.31659999999999999</v>
      </c>
      <c r="AZ33" s="108">
        <v>0.31659999999999999</v>
      </c>
      <c r="BA33" s="108">
        <v>0.29659999999999997</v>
      </c>
      <c r="BB33" s="108">
        <v>0.27729999999999999</v>
      </c>
      <c r="BC33" s="108">
        <v>0.26240000000000002</v>
      </c>
      <c r="BD33" s="108">
        <v>0.25990000000000002</v>
      </c>
      <c r="BE33" s="108">
        <v>0.2923</v>
      </c>
      <c r="BF33" s="108">
        <v>0.30869999999999997</v>
      </c>
      <c r="BG33" s="108">
        <v>0.31559999999999999</v>
      </c>
      <c r="BH33" s="108">
        <v>0.34320000000000001</v>
      </c>
      <c r="BI33" s="108">
        <v>0.35830000000000001</v>
      </c>
      <c r="BJ33" s="108">
        <v>0.37769999999999998</v>
      </c>
      <c r="BK33" s="108">
        <v>0.4214</v>
      </c>
      <c r="BL33" s="108">
        <v>0.4214</v>
      </c>
      <c r="BM33" s="108">
        <v>0.5353</v>
      </c>
      <c r="BN33" s="344" t="s">
        <v>346</v>
      </c>
      <c r="BO33" s="345">
        <f>BM33+BM34+BM35</f>
        <v>0.8972</v>
      </c>
      <c r="BP33" s="348" t="s">
        <v>347</v>
      </c>
      <c r="BQ33" s="108">
        <v>0.5353</v>
      </c>
      <c r="BR33" s="344" t="s">
        <v>346</v>
      </c>
      <c r="BS33" s="345">
        <f>BQ33+BQ34+BQ35</f>
        <v>0.8972</v>
      </c>
      <c r="BT33" s="348" t="s">
        <v>347</v>
      </c>
      <c r="BU33" s="108">
        <f>BQ33</f>
        <v>0.5353</v>
      </c>
      <c r="BV33" s="59"/>
      <c r="BW33" s="59"/>
      <c r="BX33" s="59"/>
      <c r="BY33" s="59"/>
      <c r="BZ33" s="341" t="s">
        <v>346</v>
      </c>
      <c r="CA33" s="346">
        <f>AW33+AW34+AW35</f>
        <v>0.69829999999999992</v>
      </c>
      <c r="CB33" s="347" t="s">
        <v>347</v>
      </c>
      <c r="CC33" s="57"/>
    </row>
    <row r="34" spans="1:81" ht="13.75" customHeight="1">
      <c r="A34" s="340"/>
      <c r="B34" s="60" t="s">
        <v>348</v>
      </c>
      <c r="C34" s="55">
        <v>0.1179</v>
      </c>
      <c r="D34" s="55">
        <v>0.1179</v>
      </c>
      <c r="E34" s="55">
        <v>0.1179</v>
      </c>
      <c r="F34" s="55">
        <v>0.1179</v>
      </c>
      <c r="G34" s="55">
        <v>0.14510000000000001</v>
      </c>
      <c r="H34" s="55">
        <v>0.14510000000000001</v>
      </c>
      <c r="I34" s="55">
        <v>0.14510000000000001</v>
      </c>
      <c r="J34" s="55">
        <f>I34</f>
        <v>0.14510000000000001</v>
      </c>
      <c r="K34" s="55">
        <v>0.1507</v>
      </c>
      <c r="L34" s="55">
        <f>K34</f>
        <v>0.1507</v>
      </c>
      <c r="M34" s="55">
        <f>L34</f>
        <v>0.1507</v>
      </c>
      <c r="N34" s="55">
        <f>M34</f>
        <v>0.1507</v>
      </c>
      <c r="O34" s="55">
        <v>0.15010000000000001</v>
      </c>
      <c r="P34" s="55">
        <f>O34</f>
        <v>0.15010000000000001</v>
      </c>
      <c r="Q34" s="55">
        <f>P34</f>
        <v>0.15010000000000001</v>
      </c>
      <c r="R34" s="55">
        <f>Q34</f>
        <v>0.15010000000000001</v>
      </c>
      <c r="S34" s="55">
        <v>0.15160000000000001</v>
      </c>
      <c r="T34" s="55">
        <v>0.15160000000000001</v>
      </c>
      <c r="U34" s="55">
        <f>T34</f>
        <v>0.15160000000000001</v>
      </c>
      <c r="V34" s="55">
        <f>U34</f>
        <v>0.15160000000000001</v>
      </c>
      <c r="W34" s="55">
        <v>0.22170000000000001</v>
      </c>
      <c r="X34" s="55">
        <f>W34</f>
        <v>0.22170000000000001</v>
      </c>
      <c r="Y34" s="55">
        <f>X34</f>
        <v>0.22170000000000001</v>
      </c>
      <c r="Z34" s="55">
        <v>0.22839999999999999</v>
      </c>
      <c r="AA34" s="55">
        <v>0.22839999999999999</v>
      </c>
      <c r="AB34" s="55">
        <v>0.22839999999999999</v>
      </c>
      <c r="AC34" s="55">
        <v>0.22839999999999999</v>
      </c>
      <c r="AD34" s="55">
        <v>0.27200000000000002</v>
      </c>
      <c r="AE34" s="55">
        <f>AD34</f>
        <v>0.27200000000000002</v>
      </c>
      <c r="AF34" s="55">
        <f>+AE34</f>
        <v>0.27200000000000002</v>
      </c>
      <c r="AG34" s="55">
        <f>+AF34</f>
        <v>0.27200000000000002</v>
      </c>
      <c r="AH34" s="55">
        <v>0.29089999999999999</v>
      </c>
      <c r="AI34" s="55">
        <f>+AH34</f>
        <v>0.29089999999999999</v>
      </c>
      <c r="AJ34" s="55">
        <v>0.29089999999999999</v>
      </c>
      <c r="AK34" s="55">
        <v>0.29089999999999999</v>
      </c>
      <c r="AL34" s="55">
        <v>0.29530000000000001</v>
      </c>
      <c r="AM34" s="55">
        <v>0.28689999999999999</v>
      </c>
      <c r="AN34" s="55">
        <v>0.28689999999999999</v>
      </c>
      <c r="AO34" s="55">
        <v>0.28760000000000002</v>
      </c>
      <c r="AP34" s="55">
        <v>0.28760000000000002</v>
      </c>
      <c r="AQ34" s="55">
        <v>0.28760000000000002</v>
      </c>
      <c r="AR34" s="55">
        <v>0.28760000000000002</v>
      </c>
      <c r="AS34" s="55">
        <v>0.29909999999999998</v>
      </c>
      <c r="AT34" s="55">
        <v>0.29909999999999998</v>
      </c>
      <c r="AU34" s="55">
        <v>0.29909999999999998</v>
      </c>
      <c r="AV34" s="55">
        <v>0.29909999999999998</v>
      </c>
      <c r="AW34" s="55">
        <v>0.31080000000000002</v>
      </c>
      <c r="AX34" s="107">
        <v>0.31080000000000002</v>
      </c>
      <c r="AY34" s="107">
        <f>AX34</f>
        <v>0.31080000000000002</v>
      </c>
      <c r="AZ34" s="107">
        <f>AY34</f>
        <v>0.31080000000000002</v>
      </c>
      <c r="BA34" s="107">
        <f>AZ34</f>
        <v>0.31080000000000002</v>
      </c>
      <c r="BB34" s="107">
        <v>0.32629999999999998</v>
      </c>
      <c r="BC34" s="107">
        <v>0.32629999999999998</v>
      </c>
      <c r="BD34" s="107">
        <v>0.32629999999999998</v>
      </c>
      <c r="BE34" s="107">
        <v>0.32629999999999998</v>
      </c>
      <c r="BF34" s="107">
        <v>0.32629999999999998</v>
      </c>
      <c r="BG34" s="107">
        <v>0.32629999999999998</v>
      </c>
      <c r="BH34" s="107">
        <v>0.32629999999999998</v>
      </c>
      <c r="BI34" s="107">
        <v>0.32629999999999998</v>
      </c>
      <c r="BJ34" s="107">
        <v>0.3327</v>
      </c>
      <c r="BK34" s="107">
        <v>0.3327</v>
      </c>
      <c r="BL34" s="107">
        <v>0.3327</v>
      </c>
      <c r="BM34" s="107">
        <v>0.3327</v>
      </c>
      <c r="BN34" s="344"/>
      <c r="BO34" s="345"/>
      <c r="BP34" s="348"/>
      <c r="BQ34" s="107">
        <v>0.3327</v>
      </c>
      <c r="BR34" s="344"/>
      <c r="BS34" s="345"/>
      <c r="BT34" s="348"/>
      <c r="BU34" s="107">
        <f>BQ34</f>
        <v>0.3327</v>
      </c>
      <c r="BV34" s="55"/>
      <c r="BW34" s="55"/>
      <c r="BX34" s="55"/>
      <c r="BY34" s="55"/>
      <c r="BZ34" s="341"/>
      <c r="CA34" s="346"/>
      <c r="CB34" s="347"/>
      <c r="CC34" s="57"/>
    </row>
    <row r="35" spans="1:81" ht="13.75" customHeight="1">
      <c r="A35" s="340"/>
      <c r="B35" s="60" t="s">
        <v>349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>
        <v>2.58E-2</v>
      </c>
      <c r="AN35" s="55">
        <v>2.58E-2</v>
      </c>
      <c r="AO35" s="55">
        <v>2.58E-2</v>
      </c>
      <c r="AP35" s="55">
        <v>2.9100000000000001E-2</v>
      </c>
      <c r="AQ35" s="55">
        <v>2.9100000000000001E-2</v>
      </c>
      <c r="AR35" s="55">
        <v>2.9100000000000001E-2</v>
      </c>
      <c r="AS35" s="55">
        <v>2.9100000000000001E-2</v>
      </c>
      <c r="AT35" s="55">
        <v>2.87E-2</v>
      </c>
      <c r="AU35" s="55">
        <v>2.87E-2</v>
      </c>
      <c r="AV35" s="55">
        <v>2.87E-2</v>
      </c>
      <c r="AW35" s="55">
        <v>2.87E-2</v>
      </c>
      <c r="AX35" s="107">
        <v>2.7300000000000001E-2</v>
      </c>
      <c r="AY35" s="107">
        <f t="shared" ref="AY35:AZ36" si="5">AX35</f>
        <v>2.7300000000000001E-2</v>
      </c>
      <c r="AZ35" s="107">
        <f t="shared" si="5"/>
        <v>2.7300000000000001E-2</v>
      </c>
      <c r="BA35" s="107">
        <f>AZ35</f>
        <v>2.7300000000000001E-2</v>
      </c>
      <c r="BB35" s="107">
        <v>2.7300000000000001E-2</v>
      </c>
      <c r="BC35" s="107">
        <v>2.7300000000000001E-2</v>
      </c>
      <c r="BD35" s="107">
        <v>2.7300000000000001E-2</v>
      </c>
      <c r="BE35" s="107">
        <v>2.7300000000000001E-2</v>
      </c>
      <c r="BF35" s="107">
        <v>2.7300000000000001E-2</v>
      </c>
      <c r="BG35" s="107">
        <v>2.81E-2</v>
      </c>
      <c r="BH35" s="107">
        <v>2.81E-2</v>
      </c>
      <c r="BI35" s="107">
        <v>2.81E-2</v>
      </c>
      <c r="BJ35" s="107">
        <v>2.81E-2</v>
      </c>
      <c r="BK35" s="107">
        <v>2.92E-2</v>
      </c>
      <c r="BL35" s="107">
        <v>2.92E-2</v>
      </c>
      <c r="BM35" s="107">
        <v>2.92E-2</v>
      </c>
      <c r="BN35" s="344"/>
      <c r="BO35" s="111"/>
      <c r="BP35" s="112"/>
      <c r="BQ35" s="107">
        <v>2.92E-2</v>
      </c>
      <c r="BR35" s="344"/>
      <c r="BS35" s="111"/>
      <c r="BT35" s="112"/>
      <c r="BU35" s="107">
        <f>'Prop EEC 2023 Rates'!H12</f>
        <v>2.8720000000000002E-2</v>
      </c>
      <c r="BV35" s="55"/>
      <c r="BW35" s="55"/>
      <c r="BX35" s="55"/>
      <c r="BY35" s="55"/>
      <c r="BZ35" s="341" t="s">
        <v>346</v>
      </c>
      <c r="CA35" s="83"/>
      <c r="CB35" s="84" t="s">
        <v>347</v>
      </c>
      <c r="CC35" s="57"/>
    </row>
    <row r="36" spans="1:81">
      <c r="A36" s="340"/>
      <c r="B36" s="60" t="s">
        <v>334</v>
      </c>
      <c r="AB36" s="61">
        <v>17.989999999999998</v>
      </c>
      <c r="AC36" s="61">
        <f>+AB36</f>
        <v>17.989999999999998</v>
      </c>
      <c r="AD36" s="61">
        <f>+AC36</f>
        <v>17.989999999999998</v>
      </c>
      <c r="AE36" s="61">
        <f>+AD36</f>
        <v>17.989999999999998</v>
      </c>
      <c r="AF36" s="61">
        <f>+AE36</f>
        <v>17.989999999999998</v>
      </c>
      <c r="AG36" s="61">
        <f>+AF36</f>
        <v>17.989999999999998</v>
      </c>
      <c r="AH36" s="61">
        <v>10.84</v>
      </c>
      <c r="AI36" s="61">
        <f>+AH36</f>
        <v>10.84</v>
      </c>
      <c r="AJ36" s="61">
        <v>10.84</v>
      </c>
      <c r="AK36" s="61">
        <v>10.84</v>
      </c>
      <c r="AL36" s="61">
        <v>9.09</v>
      </c>
      <c r="AM36" s="61">
        <v>9.09</v>
      </c>
      <c r="AN36" s="61">
        <v>9.09</v>
      </c>
      <c r="AO36" s="61">
        <v>9.09</v>
      </c>
      <c r="AP36" s="61">
        <v>1.47</v>
      </c>
      <c r="AQ36" s="61">
        <v>1.47</v>
      </c>
      <c r="AR36" s="61">
        <v>1.47</v>
      </c>
      <c r="AS36" s="61">
        <v>1.47</v>
      </c>
      <c r="AT36" s="61">
        <v>1.47</v>
      </c>
      <c r="AU36" s="61">
        <v>1.47</v>
      </c>
      <c r="AV36" s="61">
        <v>1.47</v>
      </c>
      <c r="AW36" s="61">
        <v>1.47</v>
      </c>
      <c r="AX36" s="109">
        <v>1.47</v>
      </c>
      <c r="AY36" s="107">
        <f t="shared" si="5"/>
        <v>1.47</v>
      </c>
      <c r="AZ36" s="107">
        <f t="shared" si="5"/>
        <v>1.47</v>
      </c>
      <c r="BA36" s="107">
        <f>AZ36</f>
        <v>1.47</v>
      </c>
      <c r="BB36" s="107">
        <v>1.47</v>
      </c>
      <c r="BC36" s="107">
        <v>1.47</v>
      </c>
      <c r="BD36" s="107">
        <v>1.47</v>
      </c>
      <c r="BE36" s="107">
        <v>1.47</v>
      </c>
      <c r="BF36" s="107">
        <v>1.47</v>
      </c>
      <c r="BG36" s="107">
        <v>1.47</v>
      </c>
      <c r="BH36" s="107">
        <v>1.47</v>
      </c>
      <c r="BI36" s="107">
        <v>1.47</v>
      </c>
      <c r="BJ36" s="107">
        <v>5.37</v>
      </c>
      <c r="BK36" s="107">
        <v>5.37</v>
      </c>
      <c r="BL36" s="107">
        <v>5.37</v>
      </c>
      <c r="BM36" s="107">
        <v>5.37</v>
      </c>
      <c r="BO36" s="118"/>
      <c r="BQ36" s="107">
        <v>5.37</v>
      </c>
      <c r="BS36" s="118"/>
      <c r="BU36" s="107">
        <f>BQ36</f>
        <v>5.37</v>
      </c>
      <c r="BV36" s="61"/>
      <c r="BW36" s="61"/>
      <c r="BX36" s="61"/>
      <c r="BY36" s="61"/>
      <c r="CA36" s="72"/>
    </row>
    <row r="37" spans="1:81" ht="15.5">
      <c r="A37" s="82"/>
      <c r="B37" s="60" t="str">
        <f>B30</f>
        <v>2018 Tax Adj</v>
      </c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2">
        <v>-2.7900000000000001E-2</v>
      </c>
      <c r="AU37" s="62">
        <v>-2.7900000000000001E-2</v>
      </c>
      <c r="AV37" s="62">
        <v>-2.7900000000000001E-2</v>
      </c>
      <c r="AW37" s="62">
        <v>0</v>
      </c>
      <c r="BA37" s="107"/>
      <c r="BB37" s="107"/>
      <c r="BC37" s="107"/>
      <c r="BD37" s="107"/>
      <c r="BE37" s="107"/>
      <c r="BF37" s="107"/>
      <c r="BG37" s="107"/>
      <c r="BH37" s="107"/>
      <c r="BI37" s="107"/>
      <c r="BJ37" s="107"/>
      <c r="BK37" s="107"/>
      <c r="BL37" s="107"/>
      <c r="BM37" s="107"/>
      <c r="BO37" s="119"/>
      <c r="BP37" s="112"/>
      <c r="BQ37" s="107"/>
      <c r="BS37" s="119"/>
      <c r="BT37" s="112"/>
      <c r="BU37" s="107"/>
      <c r="BV37" s="62"/>
      <c r="BW37" s="62"/>
      <c r="BX37" s="62"/>
      <c r="BY37" s="62"/>
      <c r="CA37" s="73">
        <f>CA33+AW37</f>
        <v>0.69829999999999992</v>
      </c>
      <c r="CB37" s="84" t="s">
        <v>347</v>
      </c>
    </row>
    <row r="38" spans="1:81" ht="15.5">
      <c r="A38" s="82"/>
      <c r="B38" s="60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109"/>
      <c r="AY38" s="109"/>
      <c r="AZ38" s="109"/>
      <c r="BA38" s="109"/>
      <c r="BB38" s="109"/>
      <c r="BC38" s="109"/>
      <c r="BD38" s="109"/>
      <c r="BE38" s="109"/>
      <c r="BF38" s="109"/>
      <c r="BG38" s="109"/>
      <c r="BH38" s="109"/>
      <c r="BI38" s="109"/>
      <c r="BJ38" s="109"/>
      <c r="BK38" s="109"/>
      <c r="BL38" s="109"/>
      <c r="BM38" s="109"/>
      <c r="BO38" s="118"/>
      <c r="BQ38" s="109"/>
      <c r="BS38" s="118"/>
      <c r="BU38" s="109"/>
      <c r="BV38" s="61"/>
      <c r="BW38" s="61"/>
      <c r="BX38" s="61"/>
      <c r="BY38" s="61"/>
      <c r="CA38" s="72"/>
    </row>
    <row r="39" spans="1:81">
      <c r="AX39" s="107">
        <v>1.2930999999999999</v>
      </c>
      <c r="AY39" s="107">
        <v>1.3023</v>
      </c>
      <c r="AZ39" s="107">
        <v>1.3023</v>
      </c>
      <c r="BA39" s="107">
        <v>1.1780999999999999</v>
      </c>
      <c r="BB39" s="107">
        <v>1.1963999999999999</v>
      </c>
      <c r="BC39" s="107">
        <v>1.3243</v>
      </c>
      <c r="BD39" s="107">
        <v>1.2995000000000001</v>
      </c>
      <c r="BE39" s="107">
        <v>1.2416</v>
      </c>
      <c r="BF39" s="107">
        <v>1.2377</v>
      </c>
      <c r="BG39" s="107">
        <v>1.2272000000000001</v>
      </c>
      <c r="BH39" s="107">
        <v>1.2054</v>
      </c>
      <c r="BI39" s="107">
        <v>1.2054</v>
      </c>
      <c r="BJ39" s="107">
        <v>1.2404999999999999</v>
      </c>
      <c r="BK39" s="107">
        <v>1.1706000000000001</v>
      </c>
      <c r="BL39" s="107">
        <v>1.1435999999999999</v>
      </c>
      <c r="BM39" s="107">
        <v>1.0298</v>
      </c>
      <c r="BO39" s="118"/>
      <c r="BQ39" s="107">
        <v>1.0298</v>
      </c>
      <c r="BS39" s="118"/>
      <c r="BU39" s="107">
        <v>1.1780999999999999</v>
      </c>
      <c r="CA39" s="72"/>
    </row>
    <row r="40" spans="1:81">
      <c r="A40" s="56" t="s">
        <v>351</v>
      </c>
      <c r="BJ40" s="107">
        <v>1.5862000000000001</v>
      </c>
      <c r="BK40" s="107">
        <v>1.5370999999999999</v>
      </c>
      <c r="BL40" s="107">
        <v>1.5098</v>
      </c>
      <c r="BM40" s="107">
        <v>1.3754</v>
      </c>
      <c r="BO40" s="118"/>
      <c r="BQ40">
        <v>1.3754</v>
      </c>
      <c r="BS40" s="118"/>
    </row>
    <row r="41" spans="1:81">
      <c r="A41" s="39" t="s">
        <v>352</v>
      </c>
    </row>
    <row r="42" spans="1:81">
      <c r="A42" s="39" t="s">
        <v>353</v>
      </c>
    </row>
    <row r="43" spans="1:81">
      <c r="A43" s="39" t="s">
        <v>354</v>
      </c>
    </row>
    <row r="44" spans="1:81">
      <c r="A44" s="39" t="s">
        <v>355</v>
      </c>
    </row>
    <row r="45" spans="1:81">
      <c r="A45" s="131" t="s">
        <v>356</v>
      </c>
    </row>
    <row r="46" spans="1:81">
      <c r="A46" s="39" t="s">
        <v>357</v>
      </c>
    </row>
  </sheetData>
  <mergeCells count="47">
    <mergeCell ref="BN33:BN35"/>
    <mergeCell ref="BO33:BO34"/>
    <mergeCell ref="BP33:BP34"/>
    <mergeCell ref="BN19:BN21"/>
    <mergeCell ref="BO19:BO20"/>
    <mergeCell ref="BP19:BP20"/>
    <mergeCell ref="BN26:BN28"/>
    <mergeCell ref="BO26:BO27"/>
    <mergeCell ref="BP26:BP27"/>
    <mergeCell ref="BR33:BR35"/>
    <mergeCell ref="BS33:BS34"/>
    <mergeCell ref="BT33:BT34"/>
    <mergeCell ref="BR19:BR21"/>
    <mergeCell ref="BS19:BS20"/>
    <mergeCell ref="BT19:BT20"/>
    <mergeCell ref="BR26:BR28"/>
    <mergeCell ref="BS26:BS27"/>
    <mergeCell ref="BT26:BT27"/>
    <mergeCell ref="CA5:CA6"/>
    <mergeCell ref="CB5:CB6"/>
    <mergeCell ref="A32:A36"/>
    <mergeCell ref="BZ33:BZ35"/>
    <mergeCell ref="CA33:CA34"/>
    <mergeCell ref="CB33:CB34"/>
    <mergeCell ref="A18:A22"/>
    <mergeCell ref="BZ19:BZ21"/>
    <mergeCell ref="CA19:CA20"/>
    <mergeCell ref="CB19:CB20"/>
    <mergeCell ref="A25:A29"/>
    <mergeCell ref="BZ26:BZ28"/>
    <mergeCell ref="CA26:CA27"/>
    <mergeCell ref="CB26:CB27"/>
    <mergeCell ref="BR5:BR7"/>
    <mergeCell ref="BS5:BS6"/>
    <mergeCell ref="A11:A15"/>
    <mergeCell ref="BZ12:BZ14"/>
    <mergeCell ref="C1:AE1"/>
    <mergeCell ref="A4:A8"/>
    <mergeCell ref="BZ5:BZ8"/>
    <mergeCell ref="BT5:BT6"/>
    <mergeCell ref="BR12:BR14"/>
    <mergeCell ref="BS12:BS13"/>
    <mergeCell ref="BN5:BN7"/>
    <mergeCell ref="BO5:BO6"/>
    <mergeCell ref="BP5:BP6"/>
    <mergeCell ref="BN12:BN14"/>
    <mergeCell ref="BO12:BO13"/>
  </mergeCells>
  <hyperlinks>
    <hyperlink ref="A45" r:id="rId1" display="../../TARIFFS" xr:uid="{480B51C3-C923-4A57-B73F-DAFECC87E029}"/>
  </hyperlinks>
  <pageMargins left="0.42" right="0.22" top="1.36" bottom="1" header="0.5" footer="0.5"/>
  <pageSetup scale="74" orientation="landscape" r:id="rId2"/>
  <headerFooter alignWithMargins="0">
    <oddFooter>&amp;C&amp;F</oddFooter>
  </headerFooter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BD87BD9567B24CA9D6FF12D87494A6" ma:contentTypeVersion="13" ma:contentTypeDescription="Create a new document." ma:contentTypeScope="" ma:versionID="e73c243c29227db82e7a43ce9cf4bb42">
  <xsd:schema xmlns:xsd="http://www.w3.org/2001/XMLSchema" xmlns:xs="http://www.w3.org/2001/XMLSchema" xmlns:p="http://schemas.microsoft.com/office/2006/metadata/properties" xmlns:ns3="f9d4531c-b58d-4df3-8af7-fbc86fad0f80" xmlns:ns4="d6610ddd-5218-4038-9ed9-d9877cde2d1e" targetNamespace="http://schemas.microsoft.com/office/2006/metadata/properties" ma:root="true" ma:fieldsID="2925a725fa4b10d7715fcf1134f07689" ns3:_="" ns4:_="">
    <xsd:import namespace="f9d4531c-b58d-4df3-8af7-fbc86fad0f80"/>
    <xsd:import namespace="d6610ddd-5218-4038-9ed9-d9877cde2d1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d4531c-b58d-4df3-8af7-fbc86fad0f8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10ddd-5218-4038-9ed9-d9877cde2d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E1F8E2-BA36-4CB1-94A5-73F507384B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32863-AF29-4C84-AA59-2DAB44E2C6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d4531c-b58d-4df3-8af7-fbc86fad0f80"/>
    <ds:schemaRef ds:uri="d6610ddd-5218-4038-9ed9-d9877cde2d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280E60-FD05-4999-BA7D-6325EF7D59A4}">
  <ds:schemaRefs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d6610ddd-5218-4038-9ed9-d9877cde2d1e"/>
    <ds:schemaRef ds:uri="f9d4531c-b58d-4df3-8af7-fbc86fad0f8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Prop EEC 2023 Rates</vt:lpstr>
      <vt:lpstr>Potential EEC 2024 Rates VGS</vt:lpstr>
      <vt:lpstr>PSD Budget Inves Totals 21-23</vt:lpstr>
      <vt:lpstr>Loan Amortization</vt:lpstr>
      <vt:lpstr>VGS forecast</vt:lpstr>
      <vt:lpstr>AVG Liap customers</vt:lpstr>
      <vt:lpstr>15 years_PSD Surrebuttal</vt:lpstr>
      <vt:lpstr>Over Under True Up</vt:lpstr>
      <vt:lpstr>Reallocation 2016-2017</vt:lpstr>
      <vt:lpstr>VGS rates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Eileen Simollardes</dc:creator>
  <cp:keywords/>
  <dc:description/>
  <cp:lastModifiedBy>Karen Horne</cp:lastModifiedBy>
  <cp:revision/>
  <cp:lastPrinted>2022-10-02T18:13:07Z</cp:lastPrinted>
  <dcterms:created xsi:type="dcterms:W3CDTF">2016-10-12T19:36:06Z</dcterms:created>
  <dcterms:modified xsi:type="dcterms:W3CDTF">2022-10-03T19:03:00Z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0x010100F7BD87BD9567B24CA9D6FF12D87494A6</vt:lpwstr>
  </property>
</Properties>
</file>