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omments5.xml" ContentType="application/vnd.openxmlformats-officedocument.spreadsheetml.comments+xml"/>
  <Override PartName="/xl/threadedComments/threadedComment4.xml" ContentType="application/vnd.ms-excel.threadedcomments+xml"/>
  <Override PartName="/xl/comments6.xml" ContentType="application/vnd.openxmlformats-officedocument.spreadsheetml.comments+xml"/>
  <Override PartName="/xl/threadedComments/threadedComment5.xml" ContentType="application/vnd.ms-excel.threadedcomments+xml"/>
  <Override PartName="/xl/comments7.xml" ContentType="application/vnd.openxmlformats-officedocument.spreadsheetml.comments+xml"/>
  <Override PartName="/xl/threadedComments/threadedComment6.xml" ContentType="application/vnd.ms-excel.threadedcomments+xml"/>
  <Override PartName="/xl/comments8.xml" ContentType="application/vnd.openxmlformats-officedocument.spreadsheetml.comments+xml"/>
  <Override PartName="/xl/threadedComments/threadedComment7.xml" ContentType="application/vnd.ms-excel.threadedcomments+xml"/>
  <Override PartName="/xl/comments9.xml" ContentType="application/vnd.openxmlformats-officedocument.spreadsheetml.comments+xml"/>
  <Override PartName="/xl/threadedComments/threadedComment8.xml" ContentType="application/vnd.ms-excel.threadedcomments+xml"/>
  <Override PartName="/xl/comments10.xml" ContentType="application/vnd.openxmlformats-officedocument.spreadsheetml.comments+xml"/>
  <Override PartName="/xl/threadedComments/threadedComment9.xml" ContentType="application/vnd.ms-excel.threadedcomments+xml"/>
  <Override PartName="/xl/comments11.xml" ContentType="application/vnd.openxmlformats-officedocument.spreadsheetml.comments+xml"/>
  <Override PartName="/xl/comments12.xml" ContentType="application/vnd.openxmlformats-officedocument.spreadsheetml.comments+xml"/>
  <Override PartName="/xl/threadedComments/threadedComment10.xml" ContentType="application/vnd.ms-excel.threadedcomments+xml"/>
  <Override PartName="/xl/comments13.xml" ContentType="application/vnd.openxmlformats-officedocument.spreadsheetml.comments+xml"/>
  <Override PartName="/xl/threadedComments/threadedComment11.xml" ContentType="application/vnd.ms-excel.threadedcomments+xml"/>
  <Override PartName="/xl/comments14.xml" ContentType="application/vnd.openxmlformats-officedocument.spreadsheetml.comments+xml"/>
  <Override PartName="/xl/threadedComments/threadedComment12.xml" ContentType="application/vnd.ms-excel.threadedcomments+xml"/>
  <Override PartName="/xl/comments15.xml" ContentType="application/vnd.openxmlformats-officedocument.spreadsheetml.comments+xml"/>
  <Override PartName="/xl/threadedComments/threadedComment13.xml" ContentType="application/vnd.ms-excel.threadedcomments+xml"/>
  <Override PartName="/xl/comments16.xml" ContentType="application/vnd.openxmlformats-officedocument.spreadsheetml.comments+xml"/>
  <Override PartName="/xl/threadedComments/threadedComment14.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mc:AlternateContent xmlns:mc="http://schemas.openxmlformats.org/markup-compatibility/2006">
    <mc:Choice Requires="x15">
      <x15ac:absPath xmlns:x15ac="http://schemas.microsoft.com/office/spreadsheetml/2010/11/ac" url="R:\Regulatory\Cases\2022\22-2417-INV 2023 EEC Rates\Filings\"/>
    </mc:Choice>
  </mc:AlternateContent>
  <xr:revisionPtr revIDLastSave="0" documentId="8_{B434D5A6-FC42-41B5-9437-652E883893B5}" xr6:coauthVersionLast="47" xr6:coauthVersionMax="47" xr10:uidLastSave="{00000000-0000-0000-0000-000000000000}"/>
  <bookViews>
    <workbookView xWindow="-120" yWindow="-120" windowWidth="29040" windowHeight="15840" tabRatio="687" firstSheet="3" activeTab="3" xr2:uid="{00000000-000D-0000-FFFF-FFFF00000000}"/>
  </bookViews>
  <sheets>
    <sheet name="2019 Detailed True-up" sheetId="20" state="hidden" r:id="rId1"/>
    <sheet name="Sheet1" sheetId="19" state="hidden" r:id="rId2"/>
    <sheet name="2018-2019 Comp" sheetId="25" state="hidden" r:id="rId3"/>
    <sheet name="Util Rev and Load Data" sheetId="1" r:id="rId4"/>
    <sheet name="Retail Sales v EEC" sheetId="40" r:id="rId5"/>
    <sheet name="DU Totals" sheetId="33" state="hidden" r:id="rId6"/>
    <sheet name="Sales by DU" sheetId="34" state="hidden" r:id="rId7"/>
    <sheet name="Projected NM Rev " sheetId="39" state="hidden" r:id="rId8"/>
    <sheet name="EEC Uncollectibles" sheetId="9" r:id="rId9"/>
    <sheet name="Net Meter Est" sheetId="18" state="hidden" r:id="rId10"/>
    <sheet name="2021 EEC Collections Est." sheetId="42" state="hidden" r:id="rId11"/>
    <sheet name="Projected 2022 EEC Collections" sheetId="41" r:id="rId12"/>
    <sheet name="EEC Collection True-Up" sheetId="10" r:id="rId13"/>
    <sheet name="Change Log" sheetId="31" state="hidden" r:id="rId14"/>
    <sheet name="Fixed Fee" sheetId="32" r:id="rId15"/>
    <sheet name="EEC Rates Report" sheetId="8" r:id="rId16"/>
    <sheet name="EEC Calculation" sheetId="6" r:id="rId17"/>
    <sheet name="2023 Rate Factors" sheetId="14" r:id="rId18"/>
    <sheet name="2020 Budget Adjustment" sheetId="30" state="hidden" r:id="rId19"/>
    <sheet name="2021 Projected Revenue" sheetId="28" state="hidden" r:id="rId20"/>
    <sheet name="2021 Collections Forecast" sheetId="29" state="hidden" r:id="rId21"/>
  </sheets>
  <externalReferences>
    <externalReference r:id="rId22"/>
  </externalReferences>
  <definedNames>
    <definedName name="_xlnm.Print_Area" localSheetId="16">'EEC Calculation'!$A$1:$I$54</definedName>
    <definedName name="_xlnm.Print_Area" localSheetId="15">'EEC Rates Report'!$A$1:$K$30</definedName>
    <definedName name="_xlnm.Print_Area" localSheetId="3">'Util Rev and Load Data'!$A$7:$AD$48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32" i="6" l="1"/>
  <c r="D31" i="6"/>
  <c r="D30" i="6"/>
  <c r="B45" i="6"/>
  <c r="B44" i="6"/>
  <c r="B43" i="6"/>
  <c r="B42" i="6"/>
  <c r="B36" i="6"/>
  <c r="J33" i="8" l="1"/>
  <c r="I10" i="14" l="1"/>
  <c r="J10" i="14" s="1"/>
  <c r="K10" i="14" l="1"/>
  <c r="F79" i="32" l="1"/>
  <c r="F80" i="32" s="1"/>
  <c r="E79" i="32"/>
  <c r="E80" i="32" s="1"/>
  <c r="D79" i="32"/>
  <c r="D80" i="32" s="1"/>
  <c r="C79" i="32"/>
  <c r="C80" i="32" s="1"/>
  <c r="B79" i="32"/>
  <c r="B80" i="32" s="1"/>
  <c r="U86" i="1"/>
  <c r="R86" i="1"/>
  <c r="J86" i="1"/>
  <c r="F86" i="1"/>
  <c r="B86" i="1"/>
  <c r="F81" i="32" l="1"/>
  <c r="E81" i="32"/>
  <c r="D81" i="32"/>
  <c r="C81" i="32"/>
  <c r="B81" i="32"/>
  <c r="K84" i="1"/>
  <c r="C84" i="1"/>
  <c r="I33" i="8" l="1"/>
  <c r="K33" i="8"/>
  <c r="F43" i="6"/>
  <c r="F37" i="6"/>
  <c r="F30" i="6"/>
  <c r="F23" i="6"/>
  <c r="K60" i="8"/>
  <c r="C56" i="8"/>
  <c r="C55" i="8"/>
  <c r="C54" i="8"/>
  <c r="C53" i="8"/>
  <c r="C52" i="8"/>
  <c r="B10" i="42"/>
  <c r="D29" i="42" l="1"/>
  <c r="D28" i="42"/>
  <c r="D27" i="42"/>
  <c r="D26" i="42"/>
  <c r="D25" i="42"/>
  <c r="D22" i="42"/>
  <c r="D19" i="42"/>
  <c r="H11" i="42" s="1"/>
  <c r="D18" i="42"/>
  <c r="D16" i="42"/>
  <c r="H10" i="42" s="1"/>
  <c r="D15" i="42"/>
  <c r="D11" i="42"/>
  <c r="D10" i="42"/>
  <c r="D9" i="42"/>
  <c r="G9" i="42" l="1"/>
  <c r="G10" i="42"/>
  <c r="I10" i="42" s="1"/>
  <c r="G11" i="42"/>
  <c r="I11" i="42" s="1"/>
  <c r="H12" i="42"/>
  <c r="I9" i="42"/>
  <c r="I12" i="42" l="1"/>
  <c r="G12" i="42"/>
  <c r="D32" i="10" l="1"/>
  <c r="D31" i="10"/>
  <c r="D30" i="10"/>
  <c r="C32" i="10"/>
  <c r="J43" i="40" s="1"/>
  <c r="C31" i="10"/>
  <c r="J42" i="40" s="1"/>
  <c r="C30" i="10"/>
  <c r="J41" i="40" s="1"/>
  <c r="D29" i="41"/>
  <c r="D28" i="41"/>
  <c r="D27" i="41"/>
  <c r="D26" i="41"/>
  <c r="D25" i="41"/>
  <c r="D22" i="41"/>
  <c r="D19" i="41"/>
  <c r="H11" i="41" s="1"/>
  <c r="D18" i="41"/>
  <c r="D16" i="41"/>
  <c r="H10" i="41" s="1"/>
  <c r="D15" i="41"/>
  <c r="D11" i="41"/>
  <c r="D10" i="41"/>
  <c r="D9" i="41"/>
  <c r="G9" i="41" s="1"/>
  <c r="G11" i="41" l="1"/>
  <c r="I11" i="41" s="1"/>
  <c r="H12" i="41"/>
  <c r="G10" i="41"/>
  <c r="I10" i="41" s="1"/>
  <c r="I9" i="41"/>
  <c r="I12" i="41" s="1"/>
  <c r="G12" i="41" l="1"/>
  <c r="V24" i="10" l="1"/>
  <c r="U24" i="10"/>
  <c r="E20" i="40" l="1"/>
  <c r="E19" i="40"/>
  <c r="E18" i="40"/>
  <c r="J44" i="40" l="1"/>
  <c r="D19" i="40" l="1"/>
  <c r="D20" i="40"/>
  <c r="D18" i="40"/>
  <c r="C21" i="40"/>
  <c r="B21" i="40"/>
  <c r="D21" i="40" s="1"/>
  <c r="C20" i="40" l="1"/>
  <c r="C19" i="40"/>
  <c r="C18" i="40"/>
  <c r="F5" i="40" l="1"/>
  <c r="F6" i="40"/>
  <c r="F7" i="40"/>
  <c r="F8" i="40"/>
  <c r="F9" i="40"/>
  <c r="F10" i="40"/>
  <c r="F11" i="40"/>
  <c r="F4" i="40"/>
  <c r="I6" i="40"/>
  <c r="I5" i="40"/>
  <c r="I4" i="40"/>
  <c r="H6" i="40"/>
  <c r="H5" i="40"/>
  <c r="H4" i="40"/>
  <c r="D12" i="40" l="1"/>
  <c r="D5" i="40"/>
  <c r="D6" i="40"/>
  <c r="D7" i="40"/>
  <c r="D8" i="40"/>
  <c r="D9" i="40"/>
  <c r="D10" i="40"/>
  <c r="D11" i="40"/>
  <c r="D4" i="40"/>
  <c r="C12" i="40"/>
  <c r="E11" i="40" s="1"/>
  <c r="B12" i="40"/>
  <c r="B10" i="40"/>
  <c r="B9" i="40"/>
  <c r="B8" i="40"/>
  <c r="B7" i="40"/>
  <c r="B6" i="40"/>
  <c r="B11" i="40"/>
  <c r="B5" i="40"/>
  <c r="B4" i="40"/>
  <c r="E4" i="40" l="1"/>
  <c r="E5" i="40"/>
  <c r="E6" i="40"/>
  <c r="E7" i="40"/>
  <c r="E8" i="40"/>
  <c r="E9" i="40"/>
  <c r="E10" i="40"/>
  <c r="B22" i="14"/>
  <c r="B19" i="14"/>
  <c r="I12" i="14" l="1"/>
  <c r="E12" i="40"/>
  <c r="G33" i="10"/>
  <c r="F32" i="10" s="1"/>
  <c r="F30" i="10" l="1"/>
  <c r="F31" i="10"/>
  <c r="J12" i="14"/>
  <c r="K12" i="14" s="1"/>
  <c r="AC24" i="10"/>
  <c r="AB24" i="10"/>
  <c r="AA24" i="10"/>
  <c r="Z24" i="10"/>
  <c r="Y24" i="10"/>
  <c r="X24" i="10"/>
  <c r="W24" i="10"/>
  <c r="S24" i="10"/>
  <c r="T24" i="10"/>
  <c r="R24" i="10"/>
  <c r="F77" i="1"/>
  <c r="B77" i="1"/>
  <c r="V27" i="10" l="1"/>
  <c r="H33" i="10"/>
  <c r="H30" i="10" s="1"/>
  <c r="C77" i="1"/>
  <c r="B84" i="1" l="1"/>
  <c r="G82" i="1" l="1"/>
  <c r="B82" i="1"/>
  <c r="F82" i="1"/>
  <c r="C82" i="1"/>
  <c r="H8" i="32"/>
  <c r="D62" i="32"/>
  <c r="F62" i="32"/>
  <c r="C79" i="1" l="1"/>
  <c r="B9" i="6" l="1"/>
  <c r="G14" i="10"/>
  <c r="H14" i="10" s="1"/>
  <c r="J14" i="10" s="1"/>
  <c r="AC48" i="10"/>
  <c r="AB48" i="10"/>
  <c r="AA48" i="10"/>
  <c r="Z48" i="10"/>
  <c r="Y48" i="10"/>
  <c r="X48" i="10"/>
  <c r="W48" i="10"/>
  <c r="V48" i="10"/>
  <c r="U48" i="10"/>
  <c r="T48" i="10"/>
  <c r="S48" i="10"/>
  <c r="R48" i="10"/>
  <c r="AD47" i="10"/>
  <c r="AD46" i="10"/>
  <c r="AD45" i="10"/>
  <c r="AD44" i="10"/>
  <c r="AD43" i="10"/>
  <c r="AD42" i="10"/>
  <c r="AD41" i="10"/>
  <c r="AD40" i="10"/>
  <c r="AD39" i="10"/>
  <c r="AD38" i="10"/>
  <c r="AD37" i="10"/>
  <c r="AD36" i="10"/>
  <c r="AD35" i="10"/>
  <c r="AD34" i="10"/>
  <c r="AD33" i="10"/>
  <c r="AD32" i="10"/>
  <c r="BJ85" i="1"/>
  <c r="BJ84" i="1"/>
  <c r="BK84" i="1" s="1"/>
  <c r="BJ83" i="1"/>
  <c r="BJ82" i="1"/>
  <c r="BJ81" i="1"/>
  <c r="BK81" i="1"/>
  <c r="BL81" i="1"/>
  <c r="BJ80" i="1"/>
  <c r="BJ79" i="1"/>
  <c r="BJ78" i="1"/>
  <c r="BK78" i="1"/>
  <c r="BL78" i="1"/>
  <c r="BJ77" i="1"/>
  <c r="BJ76" i="1"/>
  <c r="BJ75" i="1"/>
  <c r="BJ74" i="1"/>
  <c r="BJ73" i="1"/>
  <c r="BK73" i="1"/>
  <c r="BL73" i="1"/>
  <c r="BJ72" i="1"/>
  <c r="BJ71" i="1"/>
  <c r="BK71" i="1"/>
  <c r="BL71" i="1"/>
  <c r="BJ70" i="1"/>
  <c r="BI86" i="1"/>
  <c r="BK85" i="1"/>
  <c r="BL85" i="1"/>
  <c r="BK83" i="1"/>
  <c r="BL83" i="1"/>
  <c r="BK82" i="1"/>
  <c r="BL82" i="1"/>
  <c r="BK80" i="1"/>
  <c r="BL80" i="1" s="1"/>
  <c r="BK79" i="1"/>
  <c r="BL79" i="1"/>
  <c r="BK77" i="1"/>
  <c r="BL77" i="1" s="1"/>
  <c r="BK76" i="1"/>
  <c r="BL76" i="1"/>
  <c r="BK75" i="1"/>
  <c r="BL75" i="1"/>
  <c r="BK74" i="1"/>
  <c r="BL74" i="1"/>
  <c r="BK72" i="1"/>
  <c r="BL72" i="1" s="1"/>
  <c r="BE85" i="1"/>
  <c r="BE84" i="1"/>
  <c r="BF84" i="1" s="1"/>
  <c r="BG84" i="1" s="1"/>
  <c r="BE83" i="1"/>
  <c r="BE82" i="1"/>
  <c r="BE81" i="1"/>
  <c r="BE80" i="1"/>
  <c r="BE79" i="1"/>
  <c r="BE78" i="1"/>
  <c r="BE77" i="1"/>
  <c r="BE76" i="1"/>
  <c r="BE75" i="1"/>
  <c r="BE74" i="1"/>
  <c r="BE73" i="1"/>
  <c r="BE72" i="1"/>
  <c r="BF72" i="1" s="1"/>
  <c r="BE71" i="1"/>
  <c r="BE70" i="1"/>
  <c r="BK70" i="1"/>
  <c r="BL70" i="1"/>
  <c r="BA85" i="1"/>
  <c r="BA84" i="1"/>
  <c r="BB84" i="1" s="1"/>
  <c r="BA83" i="1"/>
  <c r="BA82" i="1"/>
  <c r="BA81" i="1"/>
  <c r="BA80" i="1"/>
  <c r="BA79" i="1"/>
  <c r="BA78" i="1"/>
  <c r="BA77" i="1"/>
  <c r="BA76" i="1"/>
  <c r="BA75" i="1"/>
  <c r="BA74" i="1"/>
  <c r="BA73" i="1"/>
  <c r="BA72" i="1"/>
  <c r="BA71" i="1"/>
  <c r="BA70" i="1"/>
  <c r="X18" i="33"/>
  <c r="X17" i="33"/>
  <c r="C63" i="6"/>
  <c r="C62" i="6"/>
  <c r="C61" i="6"/>
  <c r="K20" i="33"/>
  <c r="K25" i="33"/>
  <c r="L26" i="33"/>
  <c r="I27" i="33"/>
  <c r="K27" i="33"/>
  <c r="I25" i="33"/>
  <c r="J20" i="33"/>
  <c r="I20" i="33"/>
  <c r="C11" i="28"/>
  <c r="R20" i="33"/>
  <c r="Q20" i="33"/>
  <c r="P20" i="33"/>
  <c r="W20" i="33"/>
  <c r="R18" i="33"/>
  <c r="Q18" i="33"/>
  <c r="P18" i="33"/>
  <c r="K18" i="33"/>
  <c r="J18" i="33"/>
  <c r="I18" i="33"/>
  <c r="W18" i="33"/>
  <c r="R16" i="33"/>
  <c r="Q16" i="33"/>
  <c r="P16" i="33"/>
  <c r="K16" i="33"/>
  <c r="J16" i="33"/>
  <c r="L16" i="33"/>
  <c r="I16" i="33"/>
  <c r="W16" i="33"/>
  <c r="W17" i="33"/>
  <c r="L20" i="33"/>
  <c r="L18" i="33"/>
  <c r="L17" i="33"/>
  <c r="T18" i="33"/>
  <c r="T17" i="33"/>
  <c r="S16" i="33"/>
  <c r="F52" i="29"/>
  <c r="F51" i="29"/>
  <c r="F50" i="29"/>
  <c r="C8" i="39"/>
  <c r="C18" i="39"/>
  <c r="C7" i="39"/>
  <c r="C6" i="39"/>
  <c r="C16" i="39"/>
  <c r="C5" i="39"/>
  <c r="C15" i="39"/>
  <c r="I29" i="32"/>
  <c r="D25" i="39"/>
  <c r="M29" i="32"/>
  <c r="K29" i="32"/>
  <c r="L29" i="32"/>
  <c r="J29" i="32"/>
  <c r="M32" i="32"/>
  <c r="M33" i="32" s="1"/>
  <c r="K32" i="32"/>
  <c r="K33" i="32" s="1"/>
  <c r="AI86" i="1"/>
  <c r="AR85" i="1"/>
  <c r="AS85" i="1" s="1"/>
  <c r="AR71" i="1"/>
  <c r="AR73" i="1"/>
  <c r="AR74" i="1"/>
  <c r="AS74" i="1" s="1"/>
  <c r="AR75" i="1"/>
  <c r="AT75" i="1" s="1"/>
  <c r="AR76" i="1"/>
  <c r="AT76" i="1" s="1"/>
  <c r="AR77" i="1"/>
  <c r="AT77" i="1" s="1"/>
  <c r="AR78" i="1"/>
  <c r="AT78" i="1" s="1"/>
  <c r="AR79" i="1"/>
  <c r="AS79" i="1" s="1"/>
  <c r="AR80" i="1"/>
  <c r="AT80" i="1" s="1"/>
  <c r="AR81" i="1"/>
  <c r="AR82" i="1"/>
  <c r="AR83" i="1"/>
  <c r="AR70" i="1"/>
  <c r="C17" i="39"/>
  <c r="C27" i="39"/>
  <c r="D27" i="39"/>
  <c r="C25" i="39"/>
  <c r="D15" i="39"/>
  <c r="C26" i="39"/>
  <c r="D26" i="39"/>
  <c r="D16" i="39"/>
  <c r="C28" i="39"/>
  <c r="D28" i="39"/>
  <c r="D18" i="39"/>
  <c r="D17" i="39"/>
  <c r="AQ86" i="1"/>
  <c r="AS83" i="1"/>
  <c r="AT82" i="1"/>
  <c r="AS82" i="1"/>
  <c r="AT81" i="1"/>
  <c r="AS81" i="1"/>
  <c r="AT79" i="1"/>
  <c r="AT74" i="1"/>
  <c r="AT73" i="1"/>
  <c r="AS73" i="1"/>
  <c r="AT71" i="1"/>
  <c r="AT70" i="1"/>
  <c r="AU86" i="1"/>
  <c r="AS71" i="1"/>
  <c r="AS70" i="1"/>
  <c r="AS78" i="1"/>
  <c r="AT83" i="1"/>
  <c r="AM86" i="1"/>
  <c r="AQ88" i="1"/>
  <c r="I12" i="28"/>
  <c r="M18" i="33"/>
  <c r="M17" i="33"/>
  <c r="C181" i="34"/>
  <c r="C180" i="34"/>
  <c r="C179" i="34"/>
  <c r="C178" i="34"/>
  <c r="C177" i="34"/>
  <c r="C176" i="34"/>
  <c r="C175" i="34"/>
  <c r="C174" i="34"/>
  <c r="BF71" i="1"/>
  <c r="BG71" i="1"/>
  <c r="BF73" i="1"/>
  <c r="BG73" i="1"/>
  <c r="BF74" i="1"/>
  <c r="BG74" i="1"/>
  <c r="BF75" i="1"/>
  <c r="BG75" i="1"/>
  <c r="BF76" i="1"/>
  <c r="BG76" i="1"/>
  <c r="BF77" i="1"/>
  <c r="BG77" i="1"/>
  <c r="BF78" i="1"/>
  <c r="BG78" i="1"/>
  <c r="BF79" i="1"/>
  <c r="BG79" i="1"/>
  <c r="BF80" i="1"/>
  <c r="BG80" i="1"/>
  <c r="BF82" i="1"/>
  <c r="BG82" i="1"/>
  <c r="BF83" i="1"/>
  <c r="BG83" i="1"/>
  <c r="BF85" i="1"/>
  <c r="BG85" i="1"/>
  <c r="BD86" i="1"/>
  <c r="AZ86" i="1"/>
  <c r="BB71" i="1"/>
  <c r="BC71" i="1"/>
  <c r="BB73" i="1"/>
  <c r="BC73" i="1"/>
  <c r="BB74" i="1"/>
  <c r="BC74" i="1"/>
  <c r="BB75" i="1"/>
  <c r="BC75" i="1"/>
  <c r="BB76" i="1"/>
  <c r="BC76" i="1"/>
  <c r="BB77" i="1"/>
  <c r="BC77" i="1"/>
  <c r="BB78" i="1"/>
  <c r="BC78" i="1"/>
  <c r="BB79" i="1"/>
  <c r="BC79" i="1"/>
  <c r="BB80" i="1"/>
  <c r="BC80" i="1"/>
  <c r="BB81" i="1"/>
  <c r="BC81" i="1"/>
  <c r="BB82" i="1"/>
  <c r="BC82" i="1"/>
  <c r="BB83" i="1"/>
  <c r="BC83" i="1"/>
  <c r="BB85" i="1"/>
  <c r="BC85" i="1"/>
  <c r="BB70" i="1"/>
  <c r="BC70" i="1"/>
  <c r="AE86" i="1"/>
  <c r="AV71" i="1"/>
  <c r="AX71" i="1"/>
  <c r="AV72" i="1"/>
  <c r="AX72" i="1" s="1"/>
  <c r="AV73" i="1"/>
  <c r="AX73" i="1"/>
  <c r="AV74" i="1"/>
  <c r="AW74" i="1" s="1"/>
  <c r="AX74" i="1"/>
  <c r="AV75" i="1"/>
  <c r="AX75" i="1"/>
  <c r="AV76" i="1"/>
  <c r="AX76" i="1"/>
  <c r="AV77" i="1"/>
  <c r="AX77" i="1" s="1"/>
  <c r="AV78" i="1"/>
  <c r="AX78" i="1" s="1"/>
  <c r="AV79" i="1"/>
  <c r="AX79" i="1" s="1"/>
  <c r="AV80" i="1"/>
  <c r="AX80" i="1" s="1"/>
  <c r="AV81" i="1"/>
  <c r="AX81" i="1"/>
  <c r="AV82" i="1"/>
  <c r="AX82" i="1" s="1"/>
  <c r="AV83" i="1"/>
  <c r="AX83" i="1"/>
  <c r="AV84" i="1"/>
  <c r="AX84" i="1" s="1"/>
  <c r="AV85" i="1"/>
  <c r="AX85" i="1" s="1"/>
  <c r="AV70" i="1"/>
  <c r="AX70" i="1" s="1"/>
  <c r="AW75" i="1"/>
  <c r="AW81" i="1"/>
  <c r="AW73" i="1"/>
  <c r="AW72" i="1"/>
  <c r="AW71" i="1"/>
  <c r="AW70" i="1"/>
  <c r="AW76" i="1"/>
  <c r="AW83" i="1"/>
  <c r="BF70" i="1"/>
  <c r="BG70" i="1"/>
  <c r="E181" i="34"/>
  <c r="E180" i="34"/>
  <c r="E178" i="34"/>
  <c r="E177" i="34"/>
  <c r="AJ82" i="1"/>
  <c r="AK82" i="1" s="1"/>
  <c r="G178" i="34"/>
  <c r="G174" i="34"/>
  <c r="M13" i="30"/>
  <c r="M19" i="30"/>
  <c r="L19" i="30"/>
  <c r="N13" i="30"/>
  <c r="N14" i="30"/>
  <c r="N15" i="30"/>
  <c r="N16" i="30"/>
  <c r="N17" i="30"/>
  <c r="N18" i="30"/>
  <c r="N12" i="30"/>
  <c r="K18" i="30"/>
  <c r="L18" i="30"/>
  <c r="K17" i="30"/>
  <c r="L17" i="30"/>
  <c r="K16" i="30"/>
  <c r="K15" i="30"/>
  <c r="K14" i="30"/>
  <c r="L14" i="30"/>
  <c r="L15" i="30"/>
  <c r="K13" i="30"/>
  <c r="L16" i="30"/>
  <c r="L13" i="30"/>
  <c r="L12" i="30"/>
  <c r="I13" i="30"/>
  <c r="I15" i="30"/>
  <c r="I14" i="30"/>
  <c r="I12" i="30"/>
  <c r="F170" i="34"/>
  <c r="N19" i="30"/>
  <c r="E30" i="34"/>
  <c r="E27" i="34"/>
  <c r="E26" i="34"/>
  <c r="E25" i="34"/>
  <c r="E176" i="34"/>
  <c r="E174" i="34"/>
  <c r="E167" i="34"/>
  <c r="E175" i="34"/>
  <c r="E189" i="34"/>
  <c r="E168" i="34"/>
  <c r="G168" i="34"/>
  <c r="E179" i="34"/>
  <c r="E169" i="34"/>
  <c r="AR84" i="1"/>
  <c r="AS84" i="1" s="1"/>
  <c r="AJ84" i="1"/>
  <c r="AL84" i="1" s="1"/>
  <c r="E170" i="34"/>
  <c r="G170" i="34"/>
  <c r="G167" i="34"/>
  <c r="G169" i="34"/>
  <c r="J162" i="34"/>
  <c r="J161" i="34"/>
  <c r="J160" i="34"/>
  <c r="J159" i="34"/>
  <c r="J158" i="34"/>
  <c r="J157" i="34"/>
  <c r="J156" i="34"/>
  <c r="J155" i="34"/>
  <c r="J152" i="34"/>
  <c r="J151" i="34"/>
  <c r="J150" i="34"/>
  <c r="J149" i="34"/>
  <c r="J148" i="34"/>
  <c r="J147" i="34"/>
  <c r="J146" i="34"/>
  <c r="J145" i="34"/>
  <c r="J142" i="34"/>
  <c r="J141" i="34"/>
  <c r="J140" i="34"/>
  <c r="J139" i="34"/>
  <c r="J138" i="34"/>
  <c r="J137" i="34"/>
  <c r="J136" i="34"/>
  <c r="J135" i="34"/>
  <c r="J132" i="34"/>
  <c r="J131" i="34"/>
  <c r="J130" i="34"/>
  <c r="J129" i="34"/>
  <c r="J128" i="34"/>
  <c r="J127" i="34"/>
  <c r="J126" i="34"/>
  <c r="J125" i="34"/>
  <c r="J122" i="34"/>
  <c r="J121" i="34"/>
  <c r="J120" i="34"/>
  <c r="J119" i="34"/>
  <c r="J118" i="34"/>
  <c r="J117" i="34"/>
  <c r="J116" i="34"/>
  <c r="J115" i="34"/>
  <c r="J112" i="34"/>
  <c r="J111" i="34"/>
  <c r="J110" i="34"/>
  <c r="J109" i="34"/>
  <c r="J108" i="34"/>
  <c r="J107" i="34"/>
  <c r="J106" i="34"/>
  <c r="J105" i="34"/>
  <c r="J102" i="34"/>
  <c r="J101" i="34"/>
  <c r="J100" i="34"/>
  <c r="J99" i="34"/>
  <c r="J98" i="34"/>
  <c r="J97" i="34"/>
  <c r="J96" i="34"/>
  <c r="J95" i="34"/>
  <c r="J92" i="34"/>
  <c r="J91" i="34"/>
  <c r="J90" i="34"/>
  <c r="J89" i="34"/>
  <c r="J88" i="34"/>
  <c r="J87" i="34"/>
  <c r="J86" i="34"/>
  <c r="J85" i="34"/>
  <c r="J82" i="34"/>
  <c r="J81" i="34"/>
  <c r="J80" i="34"/>
  <c r="J79" i="34"/>
  <c r="J78" i="34"/>
  <c r="J77" i="34"/>
  <c r="J76" i="34"/>
  <c r="J75" i="34"/>
  <c r="J72" i="34"/>
  <c r="J71" i="34"/>
  <c r="J70" i="34"/>
  <c r="J69" i="34"/>
  <c r="J68" i="34"/>
  <c r="J67" i="34"/>
  <c r="J66" i="34"/>
  <c r="J65" i="34"/>
  <c r="J62" i="34"/>
  <c r="J61" i="34"/>
  <c r="J60" i="34"/>
  <c r="J59" i="34"/>
  <c r="J58" i="34"/>
  <c r="J57" i="34"/>
  <c r="J56" i="34"/>
  <c r="J55" i="34"/>
  <c r="J52" i="34"/>
  <c r="J51" i="34"/>
  <c r="J50" i="34"/>
  <c r="J49" i="34"/>
  <c r="J48" i="34"/>
  <c r="J47" i="34"/>
  <c r="J46" i="34"/>
  <c r="J45" i="34"/>
  <c r="J42" i="34"/>
  <c r="J41" i="34"/>
  <c r="J40" i="34"/>
  <c r="J39" i="34"/>
  <c r="J38" i="34"/>
  <c r="J37" i="34"/>
  <c r="J36" i="34"/>
  <c r="J35" i="34"/>
  <c r="J32" i="34"/>
  <c r="J31" i="34"/>
  <c r="J30" i="34"/>
  <c r="J29" i="34"/>
  <c r="J28" i="34"/>
  <c r="J27" i="34"/>
  <c r="J26" i="34"/>
  <c r="J25" i="34"/>
  <c r="J22" i="34"/>
  <c r="J21" i="34"/>
  <c r="J20" i="34"/>
  <c r="J19" i="34"/>
  <c r="J18" i="34"/>
  <c r="J17" i="34"/>
  <c r="J16" i="34"/>
  <c r="J15" i="34"/>
  <c r="J6" i="34"/>
  <c r="J7" i="34"/>
  <c r="J8" i="34"/>
  <c r="J9" i="34"/>
  <c r="J10" i="34"/>
  <c r="J11" i="34"/>
  <c r="J12" i="34"/>
  <c r="J5" i="34"/>
  <c r="J13" i="34"/>
  <c r="J53" i="34"/>
  <c r="J103" i="34"/>
  <c r="J113" i="34"/>
  <c r="J23" i="34"/>
  <c r="J33" i="34"/>
  <c r="J43" i="34"/>
  <c r="J63" i="34"/>
  <c r="J73" i="34"/>
  <c r="J83" i="34"/>
  <c r="J93" i="34"/>
  <c r="J123" i="34"/>
  <c r="J133" i="34"/>
  <c r="J143" i="34"/>
  <c r="J153" i="34"/>
  <c r="J163" i="34"/>
  <c r="D162" i="34"/>
  <c r="F162" i="34" s="1"/>
  <c r="K162" i="34" s="1"/>
  <c r="L162" i="34" s="1"/>
  <c r="D161" i="34"/>
  <c r="D160" i="34"/>
  <c r="F160" i="34" s="1"/>
  <c r="D159" i="34"/>
  <c r="F159" i="34" s="1"/>
  <c r="K159" i="34" s="1"/>
  <c r="L159" i="34" s="1"/>
  <c r="D158" i="34"/>
  <c r="F158" i="34" s="1"/>
  <c r="G158" i="34" s="1"/>
  <c r="M158" i="34" s="1"/>
  <c r="D157" i="34"/>
  <c r="F157" i="34" s="1"/>
  <c r="K157" i="34" s="1"/>
  <c r="L157" i="34" s="1"/>
  <c r="D156" i="34"/>
  <c r="F156" i="34" s="1"/>
  <c r="G156" i="34" s="1"/>
  <c r="M156" i="34" s="1"/>
  <c r="D152" i="34"/>
  <c r="F152" i="34" s="1"/>
  <c r="D151" i="34"/>
  <c r="F151" i="34" s="1"/>
  <c r="K151" i="34" s="1"/>
  <c r="L151" i="34" s="1"/>
  <c r="D150" i="34"/>
  <c r="F150" i="34" s="1"/>
  <c r="D149" i="34"/>
  <c r="F149" i="34" s="1"/>
  <c r="D148" i="34"/>
  <c r="F148" i="34" s="1"/>
  <c r="D147" i="34"/>
  <c r="F147" i="34" s="1"/>
  <c r="D146" i="34"/>
  <c r="F146" i="34" s="1"/>
  <c r="D145" i="34"/>
  <c r="F145" i="34" s="1"/>
  <c r="K145" i="34" s="1"/>
  <c r="D142" i="34"/>
  <c r="F142" i="34" s="1"/>
  <c r="G142" i="34" s="1"/>
  <c r="M142" i="34" s="1"/>
  <c r="D141" i="34"/>
  <c r="F141" i="34" s="1"/>
  <c r="D140" i="34"/>
  <c r="F140" i="34" s="1"/>
  <c r="G140" i="34" s="1"/>
  <c r="M140" i="34" s="1"/>
  <c r="D139" i="34"/>
  <c r="F139" i="34" s="1"/>
  <c r="G139" i="34" s="1"/>
  <c r="M139" i="34" s="1"/>
  <c r="D138" i="34"/>
  <c r="F138" i="34" s="1"/>
  <c r="K138" i="34" s="1"/>
  <c r="L138" i="34" s="1"/>
  <c r="D137" i="34"/>
  <c r="F137" i="34" s="1"/>
  <c r="G137" i="34" s="1"/>
  <c r="M137" i="34" s="1"/>
  <c r="D136" i="34"/>
  <c r="F136" i="34" s="1"/>
  <c r="D132" i="34"/>
  <c r="F132" i="34" s="1"/>
  <c r="D131" i="34"/>
  <c r="F131" i="34" s="1"/>
  <c r="D130" i="34"/>
  <c r="F130" i="34" s="1"/>
  <c r="D129" i="34"/>
  <c r="F129" i="34" s="1"/>
  <c r="D128" i="34"/>
  <c r="F128" i="34" s="1"/>
  <c r="D127" i="34"/>
  <c r="F127" i="34" s="1"/>
  <c r="D126" i="34"/>
  <c r="F126" i="34" s="1"/>
  <c r="D125" i="34"/>
  <c r="F125" i="34" s="1"/>
  <c r="D122" i="34"/>
  <c r="F122" i="34" s="1"/>
  <c r="D120" i="34"/>
  <c r="F120" i="34" s="1"/>
  <c r="D119" i="34"/>
  <c r="F119" i="34" s="1"/>
  <c r="G119" i="34" s="1"/>
  <c r="M119" i="34" s="1"/>
  <c r="D118" i="34"/>
  <c r="F118" i="34" s="1"/>
  <c r="K118" i="34" s="1"/>
  <c r="L118" i="34" s="1"/>
  <c r="D117" i="34"/>
  <c r="F117" i="34" s="1"/>
  <c r="G117" i="34" s="1"/>
  <c r="M117" i="34" s="1"/>
  <c r="D116" i="34"/>
  <c r="F116" i="34" s="1"/>
  <c r="D112" i="34"/>
  <c r="F112" i="34" s="1"/>
  <c r="D111" i="34"/>
  <c r="F111" i="34" s="1"/>
  <c r="D110" i="34"/>
  <c r="F110" i="34" s="1"/>
  <c r="D109" i="34"/>
  <c r="F109" i="34" s="1"/>
  <c r="D108" i="34"/>
  <c r="F108" i="34" s="1"/>
  <c r="D107" i="34"/>
  <c r="F107" i="34" s="1"/>
  <c r="D106" i="34"/>
  <c r="F106" i="34" s="1"/>
  <c r="D102" i="34"/>
  <c r="F102" i="34" s="1"/>
  <c r="K102" i="34" s="1"/>
  <c r="L102" i="34" s="1"/>
  <c r="D101" i="34"/>
  <c r="F101" i="34" s="1"/>
  <c r="D100" i="34"/>
  <c r="D99" i="34"/>
  <c r="D98" i="34"/>
  <c r="F98" i="34" s="1"/>
  <c r="D97" i="34"/>
  <c r="F97" i="34" s="1"/>
  <c r="G97" i="34" s="1"/>
  <c r="M97" i="34" s="1"/>
  <c r="D96" i="34"/>
  <c r="D92" i="34"/>
  <c r="F92" i="34" s="1"/>
  <c r="D91" i="34"/>
  <c r="F91" i="34" s="1"/>
  <c r="D90" i="34"/>
  <c r="F90" i="34" s="1"/>
  <c r="D89" i="34"/>
  <c r="F89" i="34" s="1"/>
  <c r="D88" i="34"/>
  <c r="F88" i="34" s="1"/>
  <c r="D87" i="34"/>
  <c r="F87" i="34" s="1"/>
  <c r="D86" i="34"/>
  <c r="F86" i="34" s="1"/>
  <c r="D82" i="34"/>
  <c r="F82" i="34" s="1"/>
  <c r="K82" i="34" s="1"/>
  <c r="L82" i="34" s="1"/>
  <c r="D81" i="34"/>
  <c r="F81" i="34" s="1"/>
  <c r="D80" i="34"/>
  <c r="F80" i="34" s="1"/>
  <c r="D79" i="34"/>
  <c r="F79" i="34" s="1"/>
  <c r="D78" i="34"/>
  <c r="F78" i="34" s="1"/>
  <c r="K78" i="34" s="1"/>
  <c r="L78" i="34" s="1"/>
  <c r="D77" i="34"/>
  <c r="F77" i="34" s="1"/>
  <c r="G77" i="34" s="1"/>
  <c r="M77" i="34" s="1"/>
  <c r="D76" i="34"/>
  <c r="F76" i="34" s="1"/>
  <c r="D72" i="34"/>
  <c r="F72" i="34" s="1"/>
  <c r="D71" i="34"/>
  <c r="F71" i="34" s="1"/>
  <c r="K71" i="34" s="1"/>
  <c r="L71" i="34" s="1"/>
  <c r="D70" i="34"/>
  <c r="F70" i="34" s="1"/>
  <c r="D69" i="34"/>
  <c r="F69" i="34" s="1"/>
  <c r="D68" i="34"/>
  <c r="F68" i="34" s="1"/>
  <c r="D67" i="34"/>
  <c r="F67" i="34" s="1"/>
  <c r="D66" i="34"/>
  <c r="F66" i="34" s="1"/>
  <c r="D62" i="34"/>
  <c r="F62" i="34" s="1"/>
  <c r="K62" i="34" s="1"/>
  <c r="L62" i="34" s="1"/>
  <c r="D61" i="34"/>
  <c r="F61" i="34" s="1"/>
  <c r="D60" i="34"/>
  <c r="F60" i="34" s="1"/>
  <c r="D59" i="34"/>
  <c r="F59" i="34" s="1"/>
  <c r="D58" i="34"/>
  <c r="F58" i="34" s="1"/>
  <c r="K58" i="34" s="1"/>
  <c r="L58" i="34" s="1"/>
  <c r="D57" i="34"/>
  <c r="F57" i="34" s="1"/>
  <c r="G57" i="34" s="1"/>
  <c r="M57" i="34" s="1"/>
  <c r="D56" i="34"/>
  <c r="F56" i="34" s="1"/>
  <c r="D52" i="34"/>
  <c r="F52" i="34" s="1"/>
  <c r="D51" i="34"/>
  <c r="F51" i="34" s="1"/>
  <c r="K51" i="34" s="1"/>
  <c r="L51" i="34" s="1"/>
  <c r="D50" i="34"/>
  <c r="F50" i="34" s="1"/>
  <c r="D49" i="34"/>
  <c r="F49" i="34" s="1"/>
  <c r="D48" i="34"/>
  <c r="F48" i="34" s="1"/>
  <c r="D47" i="34"/>
  <c r="F47" i="34" s="1"/>
  <c r="D46" i="34"/>
  <c r="F46" i="34" s="1"/>
  <c r="D42" i="34"/>
  <c r="F42" i="34" s="1"/>
  <c r="K42" i="34" s="1"/>
  <c r="L42" i="34" s="1"/>
  <c r="D41" i="34"/>
  <c r="F41" i="34" s="1"/>
  <c r="D40" i="34"/>
  <c r="F40" i="34" s="1"/>
  <c r="G40" i="34" s="1"/>
  <c r="M40" i="34" s="1"/>
  <c r="D39" i="34"/>
  <c r="F39" i="34" s="1"/>
  <c r="G39" i="34" s="1"/>
  <c r="M39" i="34" s="1"/>
  <c r="D38" i="34"/>
  <c r="F38" i="34" s="1"/>
  <c r="D37" i="34"/>
  <c r="F37" i="34" s="1"/>
  <c r="G37" i="34" s="1"/>
  <c r="M37" i="34" s="1"/>
  <c r="D36" i="34"/>
  <c r="F36" i="34" s="1"/>
  <c r="D32" i="34"/>
  <c r="F32" i="34" s="1"/>
  <c r="D31" i="34"/>
  <c r="F31" i="34" s="1"/>
  <c r="D29" i="34"/>
  <c r="F29" i="34" s="1"/>
  <c r="E18" i="33" s="1"/>
  <c r="D28" i="34"/>
  <c r="F28" i="34" s="1"/>
  <c r="D26" i="34"/>
  <c r="F26" i="34" s="1"/>
  <c r="G26" i="34" s="1"/>
  <c r="M26" i="34" s="1"/>
  <c r="D22" i="34"/>
  <c r="F22" i="34" s="1"/>
  <c r="K22" i="34" s="1"/>
  <c r="L22" i="34" s="1"/>
  <c r="D21" i="34"/>
  <c r="F21" i="34" s="1"/>
  <c r="D20" i="34"/>
  <c r="F20" i="34" s="1"/>
  <c r="G20" i="34" s="1"/>
  <c r="M20" i="34" s="1"/>
  <c r="D19" i="34"/>
  <c r="F19" i="34" s="1"/>
  <c r="D18" i="34"/>
  <c r="F18" i="34" s="1"/>
  <c r="K18" i="34" s="1"/>
  <c r="L18" i="34" s="1"/>
  <c r="D17" i="34"/>
  <c r="F17" i="34" s="1"/>
  <c r="D16" i="34"/>
  <c r="F16" i="34" s="1"/>
  <c r="D11" i="34"/>
  <c r="F11" i="34"/>
  <c r="D10" i="34"/>
  <c r="F10" i="34"/>
  <c r="F16" i="33"/>
  <c r="D9" i="34"/>
  <c r="F9" i="34"/>
  <c r="E16" i="33"/>
  <c r="D8" i="34"/>
  <c r="F8" i="34" s="1"/>
  <c r="D7" i="34"/>
  <c r="F7" i="34"/>
  <c r="D16" i="33" s="1"/>
  <c r="D12" i="34"/>
  <c r="F12" i="34" s="1"/>
  <c r="D6" i="34"/>
  <c r="F6" i="34" s="1"/>
  <c r="E12" i="33"/>
  <c r="G9" i="34"/>
  <c r="M9" i="34"/>
  <c r="K9" i="34"/>
  <c r="L9" i="34"/>
  <c r="G10" i="34"/>
  <c r="M10" i="34"/>
  <c r="K10" i="34"/>
  <c r="L10" i="34"/>
  <c r="G11" i="34"/>
  <c r="M11" i="34"/>
  <c r="K11" i="34"/>
  <c r="L11" i="34"/>
  <c r="J165" i="34"/>
  <c r="G7" i="34"/>
  <c r="M7" i="34" s="1"/>
  <c r="K7" i="34"/>
  <c r="L7" i="34"/>
  <c r="D30" i="34"/>
  <c r="F30" i="34" s="1"/>
  <c r="K30" i="34" s="1"/>
  <c r="L30" i="34" s="1"/>
  <c r="D11" i="33"/>
  <c r="D10" i="33"/>
  <c r="D9" i="33"/>
  <c r="D8" i="33"/>
  <c r="D7" i="33"/>
  <c r="D6" i="33"/>
  <c r="D5" i="33"/>
  <c r="D4" i="33"/>
  <c r="D35" i="34"/>
  <c r="F35" i="34" s="1"/>
  <c r="AJ73" i="1"/>
  <c r="BB72" i="1"/>
  <c r="D12" i="33"/>
  <c r="AK73" i="1"/>
  <c r="AL73" i="1"/>
  <c r="BC72" i="1"/>
  <c r="D121" i="34"/>
  <c r="F121" i="34" s="1"/>
  <c r="D75" i="34"/>
  <c r="F75" i="34" s="1"/>
  <c r="AJ77" i="1"/>
  <c r="AK77" i="1" s="1"/>
  <c r="BF81" i="1"/>
  <c r="G86" i="1"/>
  <c r="G88" i="1" s="1"/>
  <c r="G90" i="1" s="1"/>
  <c r="G91" i="1" s="1"/>
  <c r="H86" i="1"/>
  <c r="C83" i="6" s="1"/>
  <c r="B49" i="8" s="1"/>
  <c r="K40" i="1"/>
  <c r="K42" i="1" s="1"/>
  <c r="B114" i="6" s="1"/>
  <c r="L40" i="1"/>
  <c r="L42" i="1" s="1"/>
  <c r="M40" i="1"/>
  <c r="M42" i="1" s="1"/>
  <c r="D10" i="32"/>
  <c r="B10" i="32"/>
  <c r="C10" i="32"/>
  <c r="B8" i="32"/>
  <c r="B40" i="1"/>
  <c r="B42" i="1" s="1"/>
  <c r="F40" i="1"/>
  <c r="F42" i="1" s="1"/>
  <c r="H40" i="1"/>
  <c r="H42" i="1" s="1"/>
  <c r="J40" i="1"/>
  <c r="F25" i="9"/>
  <c r="B17" i="6" s="1"/>
  <c r="B13" i="32"/>
  <c r="C13" i="32"/>
  <c r="D13" i="32"/>
  <c r="L86" i="1"/>
  <c r="E11" i="19" s="1"/>
  <c r="C49" i="8"/>
  <c r="C46" i="8"/>
  <c r="C45" i="8"/>
  <c r="C43" i="8"/>
  <c r="C42" i="8"/>
  <c r="C38" i="8"/>
  <c r="C37" i="8"/>
  <c r="C36" i="8"/>
  <c r="L19" i="6"/>
  <c r="L10" i="6"/>
  <c r="L11" i="6"/>
  <c r="U72" i="1"/>
  <c r="AR72" i="1"/>
  <c r="C6" i="32"/>
  <c r="B6" i="32"/>
  <c r="I28" i="1"/>
  <c r="E20" i="28"/>
  <c r="E10" i="28"/>
  <c r="F10" i="28"/>
  <c r="E11" i="28"/>
  <c r="I11" i="28"/>
  <c r="E12" i="28"/>
  <c r="F12" i="28"/>
  <c r="E13" i="28"/>
  <c r="F13" i="28"/>
  <c r="E14" i="28"/>
  <c r="F14" i="28"/>
  <c r="E15" i="28"/>
  <c r="F15" i="28"/>
  <c r="E16" i="28"/>
  <c r="F16" i="28"/>
  <c r="E17" i="28"/>
  <c r="F17" i="28"/>
  <c r="G12" i="28"/>
  <c r="G13" i="28"/>
  <c r="G14" i="28"/>
  <c r="G15" i="28"/>
  <c r="G16" i="28"/>
  <c r="G17" i="28"/>
  <c r="U40" i="1"/>
  <c r="U42" i="1" s="1"/>
  <c r="V40" i="1"/>
  <c r="V42" i="1" s="1"/>
  <c r="B131" i="6" s="1"/>
  <c r="W40" i="1"/>
  <c r="W42" i="1" s="1"/>
  <c r="X40" i="1"/>
  <c r="X42" i="1" s="1"/>
  <c r="C8" i="32"/>
  <c r="D8" i="32"/>
  <c r="D6" i="32"/>
  <c r="V86" i="1"/>
  <c r="F6" i="32"/>
  <c r="G40" i="1"/>
  <c r="G42" i="1" s="1"/>
  <c r="C40" i="1"/>
  <c r="C42" i="1" s="1"/>
  <c r="R40" i="1"/>
  <c r="S40" i="1"/>
  <c r="W86" i="1"/>
  <c r="F26" i="32" s="1"/>
  <c r="S86" i="1"/>
  <c r="C87" i="6"/>
  <c r="C125" i="6" s="1"/>
  <c r="K13" i="19" s="1"/>
  <c r="K27" i="19" s="1"/>
  <c r="K16" i="10"/>
  <c r="K15" i="10"/>
  <c r="I10" i="28"/>
  <c r="K14" i="10"/>
  <c r="E23" i="9"/>
  <c r="F41" i="32"/>
  <c r="F42" i="32"/>
  <c r="F44" i="32"/>
  <c r="F45" i="32"/>
  <c r="F46" i="32"/>
  <c r="F47" i="32"/>
  <c r="F48" i="32"/>
  <c r="F49" i="32"/>
  <c r="F50" i="32"/>
  <c r="F51" i="32"/>
  <c r="F52" i="32"/>
  <c r="F53" i="32"/>
  <c r="F54" i="32"/>
  <c r="F55" i="32"/>
  <c r="F56" i="32"/>
  <c r="E41" i="32"/>
  <c r="E42" i="32"/>
  <c r="E43" i="32"/>
  <c r="E44" i="32"/>
  <c r="E45" i="32"/>
  <c r="E46" i="32"/>
  <c r="E47" i="32"/>
  <c r="E48" i="32"/>
  <c r="E49" i="32"/>
  <c r="E50" i="32"/>
  <c r="E51" i="32"/>
  <c r="E52" i="32"/>
  <c r="E53" i="32"/>
  <c r="E54" i="32"/>
  <c r="E55" i="32"/>
  <c r="E56" i="32"/>
  <c r="D41" i="32"/>
  <c r="D42" i="32"/>
  <c r="D44" i="32"/>
  <c r="D45" i="32"/>
  <c r="D46" i="32"/>
  <c r="D47" i="32"/>
  <c r="D48" i="32"/>
  <c r="D49" i="32"/>
  <c r="D50" i="32"/>
  <c r="D51" i="32"/>
  <c r="D52" i="32"/>
  <c r="D53" i="32"/>
  <c r="D54" i="32"/>
  <c r="D55" i="32"/>
  <c r="D56" i="32"/>
  <c r="C41" i="32"/>
  <c r="C42" i="32"/>
  <c r="C44" i="32"/>
  <c r="C45" i="32"/>
  <c r="C46" i="32"/>
  <c r="C47" i="32"/>
  <c r="C48" i="32"/>
  <c r="C49" i="32"/>
  <c r="C50" i="32"/>
  <c r="C51" i="32"/>
  <c r="C52" i="32"/>
  <c r="C53" i="32"/>
  <c r="C54" i="32"/>
  <c r="B41" i="32"/>
  <c r="B42" i="32"/>
  <c r="B45" i="32"/>
  <c r="B47" i="32"/>
  <c r="B48" i="32"/>
  <c r="B57" i="32" s="1"/>
  <c r="B51" i="32"/>
  <c r="B52" i="32"/>
  <c r="B53" i="32"/>
  <c r="B54" i="32"/>
  <c r="E4" i="32"/>
  <c r="E5" i="32"/>
  <c r="E6" i="32"/>
  <c r="E7" i="32"/>
  <c r="E8" i="32"/>
  <c r="E9" i="32"/>
  <c r="E10" i="32"/>
  <c r="E11" i="32"/>
  <c r="E12" i="32"/>
  <c r="E13" i="32"/>
  <c r="E14" i="32"/>
  <c r="E15" i="32"/>
  <c r="E16" i="32"/>
  <c r="E17" i="32"/>
  <c r="E19" i="32"/>
  <c r="F4" i="32"/>
  <c r="F5" i="32"/>
  <c r="F7" i="32"/>
  <c r="F8" i="32"/>
  <c r="F9" i="32"/>
  <c r="F10" i="32"/>
  <c r="F11" i="32"/>
  <c r="F12" i="32"/>
  <c r="F13" i="32"/>
  <c r="F14" i="32"/>
  <c r="F15" i="32"/>
  <c r="F16" i="32"/>
  <c r="F17" i="32"/>
  <c r="F18" i="32"/>
  <c r="F19" i="32"/>
  <c r="D4" i="32"/>
  <c r="D5" i="32"/>
  <c r="D7" i="32"/>
  <c r="D9" i="32"/>
  <c r="D11" i="32"/>
  <c r="D12" i="32"/>
  <c r="D14" i="32"/>
  <c r="D15" i="32"/>
  <c r="D16" i="32"/>
  <c r="D17" i="32"/>
  <c r="D18" i="32"/>
  <c r="D19" i="32"/>
  <c r="C4" i="32"/>
  <c r="C5" i="32"/>
  <c r="C7" i="32"/>
  <c r="C9" i="32"/>
  <c r="C11" i="32"/>
  <c r="C12" i="32"/>
  <c r="C14" i="32"/>
  <c r="C16" i="32"/>
  <c r="C17" i="32"/>
  <c r="C18" i="32"/>
  <c r="C19" i="32"/>
  <c r="B4" i="32"/>
  <c r="B5" i="32"/>
  <c r="B7" i="32"/>
  <c r="B9" i="32"/>
  <c r="B11" i="32"/>
  <c r="B12" i="32"/>
  <c r="B14" i="32"/>
  <c r="B16" i="32"/>
  <c r="B17" i="32"/>
  <c r="B18" i="32"/>
  <c r="B19" i="32"/>
  <c r="B20" i="14"/>
  <c r="B18" i="14"/>
  <c r="H15" i="10"/>
  <c r="J15" i="10" s="1"/>
  <c r="H16" i="10"/>
  <c r="J16" i="10" s="1"/>
  <c r="E14" i="30"/>
  <c r="E13" i="30"/>
  <c r="E12" i="30"/>
  <c r="D15" i="30"/>
  <c r="C15" i="30"/>
  <c r="P10" i="29"/>
  <c r="P40" i="29"/>
  <c r="J41" i="29"/>
  <c r="K41" i="29"/>
  <c r="L41" i="29"/>
  <c r="M41" i="29"/>
  <c r="N41" i="29"/>
  <c r="O41" i="29"/>
  <c r="J43" i="29"/>
  <c r="J44" i="29"/>
  <c r="J45" i="29"/>
  <c r="J30" i="29"/>
  <c r="D41" i="29"/>
  <c r="D45" i="29"/>
  <c r="D30" i="29"/>
  <c r="E41" i="29"/>
  <c r="E45" i="29"/>
  <c r="E30" i="29"/>
  <c r="F41" i="29"/>
  <c r="F45" i="29"/>
  <c r="F30" i="29"/>
  <c r="G41" i="29"/>
  <c r="G45" i="29"/>
  <c r="G30" i="29"/>
  <c r="H41" i="29"/>
  <c r="H45" i="29"/>
  <c r="H30" i="29"/>
  <c r="I41" i="29"/>
  <c r="I45" i="29"/>
  <c r="I30" i="29"/>
  <c r="K43" i="29"/>
  <c r="K44" i="29"/>
  <c r="K45" i="29"/>
  <c r="K30" i="29"/>
  <c r="L43" i="29"/>
  <c r="L44" i="29"/>
  <c r="L45" i="29"/>
  <c r="L30" i="29"/>
  <c r="M43" i="29"/>
  <c r="M44" i="29"/>
  <c r="M45" i="29"/>
  <c r="M30" i="29"/>
  <c r="N43" i="29"/>
  <c r="N44" i="29"/>
  <c r="N45" i="29"/>
  <c r="N30" i="29"/>
  <c r="O43" i="29"/>
  <c r="O44" i="29"/>
  <c r="O45" i="29"/>
  <c r="O30" i="29"/>
  <c r="P30" i="29"/>
  <c r="J34" i="29"/>
  <c r="J10" i="29"/>
  <c r="P11" i="29"/>
  <c r="J11" i="29"/>
  <c r="P12" i="29"/>
  <c r="J12" i="29"/>
  <c r="P13" i="29"/>
  <c r="J13" i="29"/>
  <c r="P14" i="29"/>
  <c r="J14" i="29"/>
  <c r="P15" i="29"/>
  <c r="J15" i="29"/>
  <c r="P16" i="29"/>
  <c r="J16" i="29"/>
  <c r="P17" i="29"/>
  <c r="J17" i="29"/>
  <c r="P18" i="29"/>
  <c r="J18" i="29"/>
  <c r="P19" i="29"/>
  <c r="J19" i="29"/>
  <c r="P20" i="29"/>
  <c r="J20" i="29"/>
  <c r="P21" i="29"/>
  <c r="J21" i="29"/>
  <c r="P22" i="29"/>
  <c r="J22" i="29"/>
  <c r="P23" i="29"/>
  <c r="J23" i="29"/>
  <c r="P24" i="29"/>
  <c r="J24" i="29"/>
  <c r="P25" i="29"/>
  <c r="J25" i="29"/>
  <c r="J27" i="29"/>
  <c r="K34" i="29"/>
  <c r="K10" i="29"/>
  <c r="K11" i="29"/>
  <c r="K12" i="29"/>
  <c r="K13" i="29"/>
  <c r="K14" i="29"/>
  <c r="K15" i="29"/>
  <c r="K16" i="29"/>
  <c r="K17" i="29"/>
  <c r="K18" i="29"/>
  <c r="K19" i="29"/>
  <c r="K20" i="29"/>
  <c r="K21" i="29"/>
  <c r="K22" i="29"/>
  <c r="K23" i="29"/>
  <c r="K24" i="29"/>
  <c r="K25" i="29"/>
  <c r="K27" i="29"/>
  <c r="L34" i="29"/>
  <c r="L10" i="29"/>
  <c r="L11" i="29"/>
  <c r="L12" i="29"/>
  <c r="L13" i="29"/>
  <c r="L14" i="29"/>
  <c r="L15" i="29"/>
  <c r="L16" i="29"/>
  <c r="L17" i="29"/>
  <c r="L18" i="29"/>
  <c r="L19" i="29"/>
  <c r="L20" i="29"/>
  <c r="L21" i="29"/>
  <c r="L22" i="29"/>
  <c r="L23" i="29"/>
  <c r="L24" i="29"/>
  <c r="L25" i="29"/>
  <c r="L27" i="29"/>
  <c r="M34" i="29"/>
  <c r="M10" i="29"/>
  <c r="M11" i="29"/>
  <c r="M12" i="29"/>
  <c r="M13" i="29"/>
  <c r="M14" i="29"/>
  <c r="M15" i="29"/>
  <c r="M16" i="29"/>
  <c r="M17" i="29"/>
  <c r="M18" i="29"/>
  <c r="M19" i="29"/>
  <c r="M20" i="29"/>
  <c r="M21" i="29"/>
  <c r="M22" i="29"/>
  <c r="M23" i="29"/>
  <c r="M24" i="29"/>
  <c r="M25" i="29"/>
  <c r="M27" i="29"/>
  <c r="N34" i="29"/>
  <c r="N10" i="29"/>
  <c r="N11" i="29"/>
  <c r="N12" i="29"/>
  <c r="N13" i="29"/>
  <c r="N14" i="29"/>
  <c r="N15" i="29"/>
  <c r="N16" i="29"/>
  <c r="N17" i="29"/>
  <c r="N18" i="29"/>
  <c r="N19" i="29"/>
  <c r="N20" i="29"/>
  <c r="N21" i="29"/>
  <c r="N22" i="29"/>
  <c r="N23" i="29"/>
  <c r="N24" i="29"/>
  <c r="N25" i="29"/>
  <c r="N27" i="29"/>
  <c r="O34" i="29"/>
  <c r="O10" i="29"/>
  <c r="O11" i="29"/>
  <c r="O12" i="29"/>
  <c r="O13" i="29"/>
  <c r="O14" i="29"/>
  <c r="O15" i="29"/>
  <c r="O16" i="29"/>
  <c r="O17" i="29"/>
  <c r="O18" i="29"/>
  <c r="O19" i="29"/>
  <c r="O20" i="29"/>
  <c r="O21" i="29"/>
  <c r="O22" i="29"/>
  <c r="O23" i="29"/>
  <c r="O24" i="29"/>
  <c r="O25" i="29"/>
  <c r="O27" i="29"/>
  <c r="O28" i="29"/>
  <c r="D27" i="29"/>
  <c r="D31" i="29"/>
  <c r="E27" i="29"/>
  <c r="E31" i="29"/>
  <c r="E32" i="29"/>
  <c r="F27" i="29"/>
  <c r="F31" i="29"/>
  <c r="F32" i="29"/>
  <c r="H34" i="29"/>
  <c r="H27" i="29"/>
  <c r="I34" i="29"/>
  <c r="I27" i="29"/>
  <c r="I31" i="29"/>
  <c r="I32" i="29"/>
  <c r="F13" i="30"/>
  <c r="G13" i="30" s="1"/>
  <c r="F14" i="30"/>
  <c r="G14" i="30" s="1"/>
  <c r="F12" i="30"/>
  <c r="G12" i="30" s="1"/>
  <c r="B15" i="30"/>
  <c r="E15" i="30"/>
  <c r="C15" i="32"/>
  <c r="B15" i="32"/>
  <c r="AA84" i="1"/>
  <c r="AA86" i="1" s="1"/>
  <c r="E16" i="10" s="1"/>
  <c r="AA80" i="1"/>
  <c r="AA72" i="1"/>
  <c r="W67" i="1"/>
  <c r="V67" i="1"/>
  <c r="G42" i="29"/>
  <c r="N42" i="29"/>
  <c r="K42" i="29"/>
  <c r="J42" i="29"/>
  <c r="O42" i="29"/>
  <c r="M42" i="29"/>
  <c r="L42" i="29"/>
  <c r="F42" i="29"/>
  <c r="I42" i="29"/>
  <c r="H42" i="29"/>
  <c r="P41" i="29"/>
  <c r="D42" i="29"/>
  <c r="E42" i="29"/>
  <c r="P43" i="29"/>
  <c r="P45" i="29"/>
  <c r="G34" i="29"/>
  <c r="F34" i="29"/>
  <c r="E34" i="29"/>
  <c r="D34" i="29"/>
  <c r="C27" i="29"/>
  <c r="AD10" i="10"/>
  <c r="AD16" i="10"/>
  <c r="AD22" i="10"/>
  <c r="AD9" i="10"/>
  <c r="AD13" i="10"/>
  <c r="AD8" i="10"/>
  <c r="AD17" i="10"/>
  <c r="AD18" i="10"/>
  <c r="M11" i="6"/>
  <c r="M10" i="6"/>
  <c r="X67" i="1"/>
  <c r="X86" i="1"/>
  <c r="X88" i="1" s="1"/>
  <c r="X90" i="1" s="1"/>
  <c r="X91" i="1" s="1"/>
  <c r="M86" i="1"/>
  <c r="M88" i="1" s="1"/>
  <c r="M90" i="1" s="1"/>
  <c r="M91" i="1" s="1"/>
  <c r="X105" i="25"/>
  <c r="W105" i="25"/>
  <c r="Y105" i="25"/>
  <c r="V105" i="25"/>
  <c r="X104" i="25"/>
  <c r="Y104" i="25"/>
  <c r="W104" i="25"/>
  <c r="V104" i="25"/>
  <c r="X103" i="25"/>
  <c r="X102" i="25"/>
  <c r="X101" i="25"/>
  <c r="V101" i="25"/>
  <c r="X100" i="25"/>
  <c r="X99" i="25"/>
  <c r="X98" i="25"/>
  <c r="X97" i="25"/>
  <c r="W97" i="25"/>
  <c r="V97" i="25"/>
  <c r="X96" i="25"/>
  <c r="X95" i="25"/>
  <c r="X94" i="25"/>
  <c r="X93" i="25"/>
  <c r="X92" i="25"/>
  <c r="W92" i="25"/>
  <c r="V92" i="25"/>
  <c r="X91" i="25"/>
  <c r="X90" i="25"/>
  <c r="S104" i="25"/>
  <c r="S92" i="25"/>
  <c r="S91" i="25"/>
  <c r="S90" i="25"/>
  <c r="M105" i="25"/>
  <c r="L105" i="25"/>
  <c r="K105" i="25"/>
  <c r="M104" i="25"/>
  <c r="L104" i="25"/>
  <c r="K104" i="25"/>
  <c r="M103" i="25"/>
  <c r="L103" i="25"/>
  <c r="N103" i="25"/>
  <c r="K103" i="25"/>
  <c r="M102" i="25"/>
  <c r="M101" i="25"/>
  <c r="M100" i="25"/>
  <c r="M99" i="25"/>
  <c r="L99" i="25"/>
  <c r="N99" i="25"/>
  <c r="K99" i="25"/>
  <c r="M98" i="25"/>
  <c r="M97" i="25"/>
  <c r="L97" i="25"/>
  <c r="K97" i="25"/>
  <c r="M96" i="25"/>
  <c r="L96" i="25"/>
  <c r="N96" i="25"/>
  <c r="K96" i="25"/>
  <c r="M95" i="25"/>
  <c r="L95" i="25"/>
  <c r="N95" i="25"/>
  <c r="K95" i="25"/>
  <c r="M94" i="25"/>
  <c r="L94" i="25"/>
  <c r="N94" i="25"/>
  <c r="M93" i="25"/>
  <c r="M92" i="25"/>
  <c r="N92" i="25"/>
  <c r="L92" i="25"/>
  <c r="K92" i="25"/>
  <c r="M91" i="25"/>
  <c r="L91" i="25"/>
  <c r="N91" i="25"/>
  <c r="K91" i="25"/>
  <c r="M90" i="25"/>
  <c r="L90" i="25"/>
  <c r="N90" i="25"/>
  <c r="K90" i="25"/>
  <c r="H105" i="25"/>
  <c r="G105" i="25"/>
  <c r="I105" i="25"/>
  <c r="H104" i="25"/>
  <c r="G104" i="25"/>
  <c r="I104" i="25"/>
  <c r="H103" i="25"/>
  <c r="G103" i="25"/>
  <c r="H102" i="25"/>
  <c r="G102" i="25"/>
  <c r="I102" i="25"/>
  <c r="H101" i="25"/>
  <c r="G101" i="25"/>
  <c r="H100" i="25"/>
  <c r="G100" i="25"/>
  <c r="I100" i="25"/>
  <c r="H99" i="25"/>
  <c r="G99" i="25"/>
  <c r="I99" i="25"/>
  <c r="P99" i="25"/>
  <c r="H98" i="25"/>
  <c r="G98" i="25"/>
  <c r="I98" i="25"/>
  <c r="H97" i="25"/>
  <c r="G97" i="25"/>
  <c r="I97" i="25"/>
  <c r="H96" i="25"/>
  <c r="G96" i="25"/>
  <c r="I96" i="25"/>
  <c r="H95" i="25"/>
  <c r="G95" i="25"/>
  <c r="I95" i="25"/>
  <c r="P95" i="25"/>
  <c r="H94" i="25"/>
  <c r="G94" i="25"/>
  <c r="H93" i="25"/>
  <c r="G93" i="25"/>
  <c r="H92" i="25"/>
  <c r="G92" i="25"/>
  <c r="I92" i="25"/>
  <c r="P92" i="25"/>
  <c r="H91" i="25"/>
  <c r="G91" i="25"/>
  <c r="I91" i="25"/>
  <c r="P91" i="25"/>
  <c r="H90" i="25"/>
  <c r="H106" i="25"/>
  <c r="H108" i="25"/>
  <c r="G90" i="25"/>
  <c r="I90" i="25"/>
  <c r="C105" i="25"/>
  <c r="C104" i="25"/>
  <c r="C103" i="25"/>
  <c r="C102" i="25"/>
  <c r="C101" i="25"/>
  <c r="C100" i="25"/>
  <c r="C99" i="25"/>
  <c r="C98" i="25"/>
  <c r="C97" i="25"/>
  <c r="C96" i="25"/>
  <c r="C95" i="25"/>
  <c r="C94" i="25"/>
  <c r="C93" i="25"/>
  <c r="C92" i="25"/>
  <c r="C91" i="25"/>
  <c r="C90" i="25"/>
  <c r="C106" i="25"/>
  <c r="AB106" i="25"/>
  <c r="AB108" i="25"/>
  <c r="N105" i="25"/>
  <c r="AA104" i="25"/>
  <c r="I103" i="25"/>
  <c r="P103" i="25"/>
  <c r="I101" i="25"/>
  <c r="Y97" i="25"/>
  <c r="N97" i="25"/>
  <c r="AD97" i="25"/>
  <c r="I93" i="25"/>
  <c r="AA92" i="25"/>
  <c r="Y92" i="25"/>
  <c r="Z87" i="25"/>
  <c r="X87" i="25"/>
  <c r="W87" i="25"/>
  <c r="V87" i="25"/>
  <c r="S87" i="25"/>
  <c r="P87" i="25"/>
  <c r="N87" i="25"/>
  <c r="I87" i="25"/>
  <c r="C87" i="25"/>
  <c r="AA85" i="25"/>
  <c r="AC85" i="25"/>
  <c r="Y85" i="25"/>
  <c r="AD85" i="25"/>
  <c r="AD84" i="25"/>
  <c r="AA84" i="25"/>
  <c r="Y84" i="25"/>
  <c r="N84" i="25"/>
  <c r="I84" i="25"/>
  <c r="P84" i="25"/>
  <c r="AC84" i="25"/>
  <c r="AC87" i="25"/>
  <c r="AB70" i="25"/>
  <c r="AB72" i="25"/>
  <c r="X70" i="25"/>
  <c r="M70" i="25"/>
  <c r="M72" i="25"/>
  <c r="H70" i="25"/>
  <c r="H72" i="25"/>
  <c r="G70" i="25"/>
  <c r="G72" i="25"/>
  <c r="C70" i="25"/>
  <c r="Y69" i="25"/>
  <c r="S69" i="25"/>
  <c r="AA69" i="25"/>
  <c r="N69" i="25"/>
  <c r="I69" i="25"/>
  <c r="P69" i="25"/>
  <c r="AA68" i="25"/>
  <c r="Y68" i="25"/>
  <c r="N68" i="25"/>
  <c r="I68" i="25"/>
  <c r="P68" i="25"/>
  <c r="Y67" i="25"/>
  <c r="S67" i="25"/>
  <c r="AA67" i="25"/>
  <c r="N67" i="25"/>
  <c r="I67" i="25"/>
  <c r="P67" i="25"/>
  <c r="Y66" i="25"/>
  <c r="S66" i="25"/>
  <c r="AA66" i="25"/>
  <c r="N66" i="25"/>
  <c r="I66" i="25"/>
  <c r="P66" i="25"/>
  <c r="Y65" i="25"/>
  <c r="S65" i="25"/>
  <c r="AA65" i="25"/>
  <c r="N65" i="25"/>
  <c r="I65" i="25"/>
  <c r="P65" i="25"/>
  <c r="Y64" i="25"/>
  <c r="S64" i="25"/>
  <c r="AA64" i="25"/>
  <c r="N64" i="25"/>
  <c r="I64" i="25"/>
  <c r="P64" i="25"/>
  <c r="Y63" i="25"/>
  <c r="S63" i="25"/>
  <c r="AA63" i="25"/>
  <c r="N63" i="25"/>
  <c r="I63" i="25"/>
  <c r="P63" i="25"/>
  <c r="Y62" i="25"/>
  <c r="S62" i="25"/>
  <c r="AA62" i="25"/>
  <c r="N62" i="25"/>
  <c r="I62" i="25"/>
  <c r="P62" i="25"/>
  <c r="Y61" i="25"/>
  <c r="S61" i="25"/>
  <c r="AA61" i="25"/>
  <c r="N61" i="25"/>
  <c r="AD61" i="25"/>
  <c r="I61" i="25"/>
  <c r="P61" i="25"/>
  <c r="Y60" i="25"/>
  <c r="S60" i="25"/>
  <c r="AA60" i="25"/>
  <c r="N60" i="25"/>
  <c r="I60" i="25"/>
  <c r="P60" i="25"/>
  <c r="Y59" i="25"/>
  <c r="S59" i="25"/>
  <c r="AA59" i="25"/>
  <c r="N59" i="25"/>
  <c r="AD59" i="25"/>
  <c r="I59" i="25"/>
  <c r="P59" i="25"/>
  <c r="Y58" i="25"/>
  <c r="S58" i="25"/>
  <c r="AA58" i="25"/>
  <c r="N58" i="25"/>
  <c r="I58" i="25"/>
  <c r="Y57" i="25"/>
  <c r="S57" i="25"/>
  <c r="AA57" i="25"/>
  <c r="N57" i="25"/>
  <c r="AD57" i="25"/>
  <c r="I57" i="25"/>
  <c r="P57" i="25"/>
  <c r="AA56" i="25"/>
  <c r="Y56" i="25"/>
  <c r="N56" i="25"/>
  <c r="I56" i="25"/>
  <c r="P56" i="25"/>
  <c r="W55" i="25"/>
  <c r="Y55" i="25"/>
  <c r="V55" i="25"/>
  <c r="AA55" i="25"/>
  <c r="N55" i="25"/>
  <c r="I55" i="25"/>
  <c r="P55" i="25"/>
  <c r="W54" i="25"/>
  <c r="W70" i="25"/>
  <c r="V54" i="25"/>
  <c r="V70" i="25"/>
  <c r="V72" i="25"/>
  <c r="N54" i="25"/>
  <c r="I54" i="25"/>
  <c r="P54" i="25"/>
  <c r="Z51" i="25"/>
  <c r="X51" i="25"/>
  <c r="X72" i="25"/>
  <c r="W51" i="25"/>
  <c r="V51" i="25"/>
  <c r="S51" i="25"/>
  <c r="P51" i="25"/>
  <c r="N51" i="25"/>
  <c r="I51" i="25"/>
  <c r="C51" i="25"/>
  <c r="AA49" i="25"/>
  <c r="AC49" i="25"/>
  <c r="Y49" i="25"/>
  <c r="AD49" i="25"/>
  <c r="AD48" i="25"/>
  <c r="AA48" i="25"/>
  <c r="AA51" i="25"/>
  <c r="Y48" i="25"/>
  <c r="P48" i="25"/>
  <c r="N48" i="25"/>
  <c r="I48" i="25"/>
  <c r="AB35" i="25"/>
  <c r="AB37" i="25"/>
  <c r="X35" i="25"/>
  <c r="M35" i="25"/>
  <c r="M37" i="25"/>
  <c r="Y34" i="25"/>
  <c r="S34" i="25"/>
  <c r="AA34" i="25"/>
  <c r="N34" i="25"/>
  <c r="AD34" i="25"/>
  <c r="I34" i="25"/>
  <c r="P34" i="25"/>
  <c r="AA33" i="25"/>
  <c r="Y33" i="25"/>
  <c r="N33" i="25"/>
  <c r="AD33" i="25"/>
  <c r="I33" i="25"/>
  <c r="P33" i="25"/>
  <c r="W32" i="25"/>
  <c r="Y32" i="25"/>
  <c r="V32" i="25"/>
  <c r="V103" i="25"/>
  <c r="S32" i="25"/>
  <c r="N32" i="25"/>
  <c r="I32" i="25"/>
  <c r="P32" i="25"/>
  <c r="W31" i="25"/>
  <c r="Y31" i="25"/>
  <c r="V31" i="25"/>
  <c r="V102" i="25"/>
  <c r="S31" i="25"/>
  <c r="L31" i="25"/>
  <c r="N31" i="25"/>
  <c r="K31" i="25"/>
  <c r="K102" i="25"/>
  <c r="I31" i="25"/>
  <c r="W30" i="25"/>
  <c r="Y30" i="25"/>
  <c r="S30" i="25"/>
  <c r="AA30" i="25"/>
  <c r="L30" i="25"/>
  <c r="N30" i="25"/>
  <c r="K30" i="25"/>
  <c r="K101" i="25"/>
  <c r="I30" i="25"/>
  <c r="W29" i="25"/>
  <c r="Y29" i="25"/>
  <c r="V29" i="25"/>
  <c r="V100" i="25"/>
  <c r="S29" i="25"/>
  <c r="L29" i="25"/>
  <c r="N29" i="25"/>
  <c r="K29" i="25"/>
  <c r="K100" i="25"/>
  <c r="I29" i="25"/>
  <c r="W28" i="25"/>
  <c r="W99" i="25"/>
  <c r="Y99" i="25"/>
  <c r="V28" i="25"/>
  <c r="V99" i="25"/>
  <c r="S28" i="25"/>
  <c r="N28" i="25"/>
  <c r="I28" i="25"/>
  <c r="P28" i="25"/>
  <c r="W27" i="25"/>
  <c r="Y27" i="25"/>
  <c r="V27" i="25"/>
  <c r="V98" i="25"/>
  <c r="S27" i="25"/>
  <c r="L27" i="25"/>
  <c r="N27" i="25"/>
  <c r="K27" i="25"/>
  <c r="I27" i="25"/>
  <c r="Y26" i="25"/>
  <c r="AD26" i="25"/>
  <c r="S26" i="25"/>
  <c r="AA26" i="25"/>
  <c r="N26" i="25"/>
  <c r="I26" i="25"/>
  <c r="P26" i="25"/>
  <c r="W25" i="25"/>
  <c r="Y25" i="25"/>
  <c r="V25" i="25"/>
  <c r="V96" i="25"/>
  <c r="S25" i="25"/>
  <c r="N25" i="25"/>
  <c r="I25" i="25"/>
  <c r="P25" i="25"/>
  <c r="W24" i="25"/>
  <c r="Y24" i="25"/>
  <c r="V24" i="25"/>
  <c r="V95" i="25"/>
  <c r="S24" i="25"/>
  <c r="N24" i="25"/>
  <c r="I24" i="25"/>
  <c r="P24" i="25"/>
  <c r="W23" i="25"/>
  <c r="Y23" i="25"/>
  <c r="V23" i="25"/>
  <c r="V94" i="25"/>
  <c r="S23" i="25"/>
  <c r="N23" i="25"/>
  <c r="K23" i="25"/>
  <c r="K94" i="25"/>
  <c r="I23" i="25"/>
  <c r="W22" i="25"/>
  <c r="Y22" i="25"/>
  <c r="V22" i="25"/>
  <c r="V93" i="25"/>
  <c r="S22" i="25"/>
  <c r="L22" i="25"/>
  <c r="K22" i="25"/>
  <c r="K93" i="25"/>
  <c r="I22" i="25"/>
  <c r="AA21" i="25"/>
  <c r="Y21" i="25"/>
  <c r="N21" i="25"/>
  <c r="AD21" i="25"/>
  <c r="I21" i="25"/>
  <c r="P21" i="25"/>
  <c r="AC21" i="25"/>
  <c r="W20" i="25"/>
  <c r="Y20" i="25"/>
  <c r="AD20" i="25"/>
  <c r="V20" i="25"/>
  <c r="AA20" i="25"/>
  <c r="N20" i="25"/>
  <c r="I20" i="25"/>
  <c r="P20" i="25"/>
  <c r="W19" i="25"/>
  <c r="Y19" i="25"/>
  <c r="V19" i="25"/>
  <c r="N19" i="25"/>
  <c r="H35" i="25"/>
  <c r="H37" i="25"/>
  <c r="I19" i="25"/>
  <c r="P19" i="25"/>
  <c r="C35" i="25"/>
  <c r="Z16" i="25"/>
  <c r="X16" i="25"/>
  <c r="W16" i="25"/>
  <c r="V16" i="25"/>
  <c r="S16" i="25"/>
  <c r="N16" i="25"/>
  <c r="I16" i="25"/>
  <c r="P16" i="25"/>
  <c r="C16" i="25"/>
  <c r="AA14" i="25"/>
  <c r="AC14" i="25"/>
  <c r="Y14" i="25"/>
  <c r="AD14" i="25"/>
  <c r="AA13" i="25"/>
  <c r="AA16" i="25"/>
  <c r="Y13" i="25"/>
  <c r="Y16" i="25"/>
  <c r="N13" i="25"/>
  <c r="I13" i="25"/>
  <c r="P13" i="25"/>
  <c r="P29" i="25"/>
  <c r="K35" i="25"/>
  <c r="K37" i="25"/>
  <c r="AC61" i="25"/>
  <c r="AD87" i="25"/>
  <c r="AD51" i="25"/>
  <c r="X37" i="25"/>
  <c r="AC13" i="25"/>
  <c r="AC16" i="25"/>
  <c r="P22" i="25"/>
  <c r="AD105" i="25"/>
  <c r="M106" i="25"/>
  <c r="M108" i="25"/>
  <c r="N104" i="25"/>
  <c r="AD104" i="25"/>
  <c r="AD13" i="25"/>
  <c r="AD16" i="25"/>
  <c r="AC48" i="25"/>
  <c r="Y51" i="25"/>
  <c r="AD56" i="25"/>
  <c r="G106" i="25"/>
  <c r="G108" i="25"/>
  <c r="AC92" i="25"/>
  <c r="P96" i="25"/>
  <c r="P104" i="25"/>
  <c r="AC104" i="25"/>
  <c r="AD62" i="25"/>
  <c r="Y87" i="25"/>
  <c r="X106" i="25"/>
  <c r="AA87" i="25"/>
  <c r="AD19" i="25"/>
  <c r="V35" i="25"/>
  <c r="V37" i="25"/>
  <c r="AA27" i="25"/>
  <c r="AA54" i="25"/>
  <c r="AA70" i="25"/>
  <c r="AA72" i="25"/>
  <c r="W35" i="25"/>
  <c r="W37" i="25"/>
  <c r="L35" i="25"/>
  <c r="AA24" i="25"/>
  <c r="AC24" i="25"/>
  <c r="AA28" i="25"/>
  <c r="AD30" i="25"/>
  <c r="AA22" i="25"/>
  <c r="AA25" i="25"/>
  <c r="AC25" i="25"/>
  <c r="P27" i="25"/>
  <c r="Y28" i="25"/>
  <c r="AD28" i="25"/>
  <c r="AA29" i="25"/>
  <c r="AC29" i="25"/>
  <c r="P30" i="25"/>
  <c r="AC30" i="25"/>
  <c r="P31" i="25"/>
  <c r="AA32" i="25"/>
  <c r="L98" i="25"/>
  <c r="N98" i="25"/>
  <c r="L102" i="25"/>
  <c r="N102" i="25"/>
  <c r="S95" i="25"/>
  <c r="AA95" i="25"/>
  <c r="AC95" i="25"/>
  <c r="S99" i="25"/>
  <c r="AA99" i="25"/>
  <c r="S103" i="25"/>
  <c r="AA103" i="25"/>
  <c r="AC103" i="25"/>
  <c r="W90" i="25"/>
  <c r="W94" i="25"/>
  <c r="Y94" i="25"/>
  <c r="AD94" i="25"/>
  <c r="W98" i="25"/>
  <c r="Y98" i="25"/>
  <c r="W102" i="25"/>
  <c r="Y102" i="25"/>
  <c r="AA19" i="25"/>
  <c r="L93" i="25"/>
  <c r="N93" i="25"/>
  <c r="L101" i="25"/>
  <c r="N101" i="25"/>
  <c r="S96" i="25"/>
  <c r="AA96" i="25"/>
  <c r="AC96" i="25"/>
  <c r="S100" i="25"/>
  <c r="AA100" i="25"/>
  <c r="W93" i="25"/>
  <c r="Y93" i="25"/>
  <c r="W101" i="25"/>
  <c r="Y101" i="25"/>
  <c r="AD101" i="25"/>
  <c r="AA23" i="25"/>
  <c r="AD27" i="25"/>
  <c r="AD31" i="25"/>
  <c r="AC32" i="25"/>
  <c r="W72" i="25"/>
  <c r="AC55" i="25"/>
  <c r="AC65" i="25"/>
  <c r="L100" i="25"/>
  <c r="N100" i="25"/>
  <c r="S93" i="25"/>
  <c r="AA93" i="25"/>
  <c r="S97" i="25"/>
  <c r="AA97" i="25"/>
  <c r="S101" i="25"/>
  <c r="AA101" i="25"/>
  <c r="S105" i="25"/>
  <c r="AA105" i="25"/>
  <c r="V91" i="25"/>
  <c r="AA91" i="25"/>
  <c r="AC91" i="25"/>
  <c r="W96" i="25"/>
  <c r="Y96" i="25"/>
  <c r="AD96" i="25"/>
  <c r="W100" i="25"/>
  <c r="AD29" i="25"/>
  <c r="AA31" i="25"/>
  <c r="AD55" i="25"/>
  <c r="AC63" i="25"/>
  <c r="P93" i="25"/>
  <c r="P100" i="25"/>
  <c r="AC100" i="25"/>
  <c r="P102" i="25"/>
  <c r="K98" i="25"/>
  <c r="P98" i="25"/>
  <c r="S94" i="25"/>
  <c r="AA94" i="25"/>
  <c r="S98" i="25"/>
  <c r="AA98" i="25"/>
  <c r="S102" i="25"/>
  <c r="AA102" i="25"/>
  <c r="V90" i="25"/>
  <c r="V106" i="25"/>
  <c r="V108" i="25"/>
  <c r="W91" i="25"/>
  <c r="Y91" i="25"/>
  <c r="AD91" i="25"/>
  <c r="W95" i="25"/>
  <c r="Y95" i="25"/>
  <c r="AD95" i="25"/>
  <c r="Y100" i="25"/>
  <c r="W103" i="25"/>
  <c r="Y103" i="25"/>
  <c r="AD99" i="25"/>
  <c r="AD92" i="25"/>
  <c r="AD103" i="25"/>
  <c r="X108" i="25"/>
  <c r="AC99" i="25"/>
  <c r="P101" i="25"/>
  <c r="AC101" i="25"/>
  <c r="P97" i="25"/>
  <c r="P105" i="25"/>
  <c r="AC105" i="25"/>
  <c r="P90" i="25"/>
  <c r="I94" i="25"/>
  <c r="P94" i="25"/>
  <c r="K106" i="25"/>
  <c r="K108" i="25"/>
  <c r="C108" i="25"/>
  <c r="AD64" i="25"/>
  <c r="AC66" i="25"/>
  <c r="AC69" i="25"/>
  <c r="AD63" i="25"/>
  <c r="AC56" i="25"/>
  <c r="AC57" i="25"/>
  <c r="AC60" i="25"/>
  <c r="AD66" i="25"/>
  <c r="AD69" i="25"/>
  <c r="AC68" i="25"/>
  <c r="AD68" i="25"/>
  <c r="C72" i="25"/>
  <c r="K70" i="25"/>
  <c r="K72" i="25"/>
  <c r="P58" i="25"/>
  <c r="AC58" i="25"/>
  <c r="AC93" i="25"/>
  <c r="I106" i="25"/>
  <c r="I108" i="25"/>
  <c r="AD58" i="25"/>
  <c r="AD60" i="25"/>
  <c r="AC64" i="25"/>
  <c r="AD65" i="25"/>
  <c r="AC67" i="25"/>
  <c r="AC51" i="25"/>
  <c r="AC59" i="25"/>
  <c r="AC62" i="25"/>
  <c r="AD67" i="25"/>
  <c r="L70" i="25"/>
  <c r="S70" i="25"/>
  <c r="S72" i="25"/>
  <c r="Y54" i="25"/>
  <c r="Y70" i="25"/>
  <c r="Y72" i="25"/>
  <c r="I70" i="25"/>
  <c r="I72" i="25"/>
  <c r="C37" i="25"/>
  <c r="P23" i="25"/>
  <c r="AC23" i="25"/>
  <c r="AD25" i="25"/>
  <c r="AC26" i="25"/>
  <c r="AC28" i="25"/>
  <c r="AD32" i="25"/>
  <c r="AC33" i="25"/>
  <c r="L37" i="25"/>
  <c r="N35" i="25"/>
  <c r="N37" i="25"/>
  <c r="AC20" i="25"/>
  <c r="AD23" i="25"/>
  <c r="AD24" i="25"/>
  <c r="Y35" i="25"/>
  <c r="Y37" i="25"/>
  <c r="AC34" i="25"/>
  <c r="N22" i="25"/>
  <c r="AD22" i="25"/>
  <c r="AD35" i="25"/>
  <c r="AD37" i="25"/>
  <c r="G35" i="25"/>
  <c r="S35" i="25"/>
  <c r="S37" i="25"/>
  <c r="AC22" i="25"/>
  <c r="AC102" i="25"/>
  <c r="AC98" i="25"/>
  <c r="AD100" i="25"/>
  <c r="AC94" i="25"/>
  <c r="AD93" i="25"/>
  <c r="AC27" i="25"/>
  <c r="AD54" i="25"/>
  <c r="AD70" i="25"/>
  <c r="AD72" i="25"/>
  <c r="AA35" i="25"/>
  <c r="AA37" i="25"/>
  <c r="AD102" i="25"/>
  <c r="AC54" i="25"/>
  <c r="AC70" i="25"/>
  <c r="AC72" i="25"/>
  <c r="L106" i="25"/>
  <c r="L108" i="25"/>
  <c r="AD98" i="25"/>
  <c r="S106" i="25"/>
  <c r="S108" i="25"/>
  <c r="P35" i="25"/>
  <c r="P37" i="25"/>
  <c r="AA90" i="25"/>
  <c r="AA106" i="25"/>
  <c r="AA108" i="25"/>
  <c r="AC19" i="25"/>
  <c r="Y90" i="25"/>
  <c r="W106" i="25"/>
  <c r="W108" i="25"/>
  <c r="AC97" i="25"/>
  <c r="AC31" i="25"/>
  <c r="P106" i="25"/>
  <c r="P108" i="25"/>
  <c r="P70" i="25"/>
  <c r="P72" i="25"/>
  <c r="L72" i="25"/>
  <c r="N70" i="25"/>
  <c r="N72" i="25"/>
  <c r="G37" i="25"/>
  <c r="I35" i="25"/>
  <c r="I37" i="25"/>
  <c r="N106" i="25"/>
  <c r="N108" i="25"/>
  <c r="AC35" i="25"/>
  <c r="AC37" i="25"/>
  <c r="AC90" i="25"/>
  <c r="AC106" i="25"/>
  <c r="AC108" i="25"/>
  <c r="AD90" i="25"/>
  <c r="AD106" i="25"/>
  <c r="AD108" i="25"/>
  <c r="Y106" i="25"/>
  <c r="Y108" i="25"/>
  <c r="C11" i="18"/>
  <c r="C10" i="18"/>
  <c r="C12" i="18"/>
  <c r="C13" i="18"/>
  <c r="C14" i="18"/>
  <c r="Q24" i="10"/>
  <c r="Z67" i="1"/>
  <c r="M25" i="19"/>
  <c r="M24" i="19"/>
  <c r="M23" i="19"/>
  <c r="M21" i="19"/>
  <c r="M38" i="20"/>
  <c r="J26" i="20"/>
  <c r="I21" i="20"/>
  <c r="K28" i="20"/>
  <c r="M27" i="20"/>
  <c r="M26" i="20"/>
  <c r="M25" i="20"/>
  <c r="M24" i="20"/>
  <c r="M23" i="20"/>
  <c r="M22" i="20"/>
  <c r="M21" i="20"/>
  <c r="M9" i="20"/>
  <c r="M34" i="20"/>
  <c r="J22" i="20"/>
  <c r="M10" i="20"/>
  <c r="M11" i="20"/>
  <c r="M12" i="20"/>
  <c r="M39" i="20"/>
  <c r="J27" i="20"/>
  <c r="M13" i="20"/>
  <c r="M14" i="20"/>
  <c r="M8" i="20"/>
  <c r="M16" i="20"/>
  <c r="K15" i="20"/>
  <c r="E1087" i="20"/>
  <c r="I15" i="20"/>
  <c r="N15" i="20"/>
  <c r="I14" i="20"/>
  <c r="N14" i="20"/>
  <c r="I13" i="20"/>
  <c r="J13" i="20"/>
  <c r="I12" i="20"/>
  <c r="J12" i="20"/>
  <c r="C27" i="19"/>
  <c r="F27" i="19"/>
  <c r="I11" i="20"/>
  <c r="N11" i="20"/>
  <c r="I10" i="20"/>
  <c r="N10" i="20"/>
  <c r="I9" i="20"/>
  <c r="J9" i="20"/>
  <c r="I8" i="20"/>
  <c r="N8" i="20"/>
  <c r="J14" i="20"/>
  <c r="C29" i="19"/>
  <c r="F29" i="19"/>
  <c r="J11" i="20"/>
  <c r="F26" i="18"/>
  <c r="C28" i="19"/>
  <c r="F28" i="19"/>
  <c r="C23" i="19"/>
  <c r="F23" i="19"/>
  <c r="N12" i="20"/>
  <c r="N16" i="20"/>
  <c r="M35" i="20"/>
  <c r="J23" i="20"/>
  <c r="J15" i="20"/>
  <c r="M37" i="20"/>
  <c r="J25" i="20"/>
  <c r="N13" i="20"/>
  <c r="M36" i="20"/>
  <c r="J24" i="20"/>
  <c r="J10" i="20"/>
  <c r="C25" i="19"/>
  <c r="F25" i="19"/>
  <c r="N9" i="20"/>
  <c r="N21" i="20"/>
  <c r="M29" i="20"/>
  <c r="I16" i="20"/>
  <c r="J8" i="20"/>
  <c r="J16" i="20"/>
  <c r="C21" i="19"/>
  <c r="C24" i="19"/>
  <c r="F24" i="19"/>
  <c r="P14" i="20"/>
  <c r="P12" i="20"/>
  <c r="P13" i="20"/>
  <c r="P9" i="20"/>
  <c r="P11" i="20"/>
  <c r="P10" i="20"/>
  <c r="F21" i="19"/>
  <c r="C30" i="19"/>
  <c r="P8" i="20"/>
  <c r="F30" i="19"/>
  <c r="G21" i="19"/>
  <c r="D21" i="19"/>
  <c r="D27" i="19"/>
  <c r="D25" i="19"/>
  <c r="D29" i="19"/>
  <c r="D23" i="19"/>
  <c r="D28" i="19"/>
  <c r="D24" i="19"/>
  <c r="C26" i="18"/>
  <c r="C25" i="18"/>
  <c r="C24" i="18"/>
  <c r="D30" i="19"/>
  <c r="G24" i="19"/>
  <c r="G23" i="19"/>
  <c r="G25" i="19"/>
  <c r="G28" i="19"/>
  <c r="G29" i="19"/>
  <c r="G27" i="19"/>
  <c r="C21" i="18"/>
  <c r="C15" i="18"/>
  <c r="E12" i="18"/>
  <c r="D14" i="18"/>
  <c r="B12" i="18"/>
  <c r="D12" i="18"/>
  <c r="D13" i="18"/>
  <c r="B11" i="18"/>
  <c r="B15" i="18"/>
  <c r="D10" i="18"/>
  <c r="G14" i="18"/>
  <c r="G13" i="18"/>
  <c r="E11" i="18"/>
  <c r="E25" i="18"/>
  <c r="E10" i="18"/>
  <c r="E24" i="18"/>
  <c r="D11" i="18"/>
  <c r="E14" i="18"/>
  <c r="E13" i="18"/>
  <c r="E26" i="18"/>
  <c r="E15" i="18"/>
  <c r="D15" i="18"/>
  <c r="Y85" i="1"/>
  <c r="N85" i="1"/>
  <c r="AD85" i="1" s="1"/>
  <c r="Y84" i="1"/>
  <c r="N84" i="1"/>
  <c r="Y83" i="1"/>
  <c r="N83" i="1"/>
  <c r="Y82" i="1"/>
  <c r="N82" i="1"/>
  <c r="Y81" i="1"/>
  <c r="N81" i="1"/>
  <c r="Y80" i="1"/>
  <c r="N80" i="1"/>
  <c r="Y79" i="1"/>
  <c r="N79" i="1"/>
  <c r="AD79" i="1" s="1"/>
  <c r="Y78" i="1"/>
  <c r="N78" i="1"/>
  <c r="AD78" i="1" s="1"/>
  <c r="Y77" i="1"/>
  <c r="N77" i="1"/>
  <c r="Y76" i="1"/>
  <c r="N76" i="1"/>
  <c r="Y75" i="1"/>
  <c r="N75" i="1"/>
  <c r="Y74" i="1"/>
  <c r="N74" i="1"/>
  <c r="AD74" i="1"/>
  <c r="I84" i="1"/>
  <c r="I74" i="1"/>
  <c r="AA74" i="1"/>
  <c r="I75" i="1"/>
  <c r="AA75" i="1"/>
  <c r="AA79" i="1"/>
  <c r="AA83" i="1"/>
  <c r="I79" i="1"/>
  <c r="I83" i="1"/>
  <c r="I81" i="1"/>
  <c r="AA81" i="1"/>
  <c r="I82" i="1"/>
  <c r="P82" i="1" s="1"/>
  <c r="AA82" i="1"/>
  <c r="I80" i="1"/>
  <c r="I76" i="1"/>
  <c r="AA76" i="1"/>
  <c r="I77" i="1"/>
  <c r="AA77" i="1"/>
  <c r="I78" i="1"/>
  <c r="AA78" i="1"/>
  <c r="I85" i="1"/>
  <c r="AA85" i="1"/>
  <c r="K11" i="6"/>
  <c r="K10" i="6"/>
  <c r="E10" i="9"/>
  <c r="D25" i="9"/>
  <c r="E25" i="9"/>
  <c r="B16" i="6"/>
  <c r="B5" i="14"/>
  <c r="C25" i="9"/>
  <c r="M19" i="6"/>
  <c r="N14" i="6"/>
  <c r="N15" i="6"/>
  <c r="N16" i="6"/>
  <c r="N17" i="6"/>
  <c r="N18" i="6"/>
  <c r="K19" i="6"/>
  <c r="N8" i="6"/>
  <c r="N7" i="6"/>
  <c r="N9" i="6"/>
  <c r="E9" i="9"/>
  <c r="E11" i="9"/>
  <c r="E12" i="9"/>
  <c r="E13" i="9"/>
  <c r="E14" i="9"/>
  <c r="E15" i="9"/>
  <c r="E16" i="9"/>
  <c r="E17" i="9"/>
  <c r="E18" i="9"/>
  <c r="E19" i="9"/>
  <c r="E20" i="9"/>
  <c r="E21" i="9"/>
  <c r="E22" i="9"/>
  <c r="E8" i="9"/>
  <c r="D17" i="10"/>
  <c r="Y26" i="1"/>
  <c r="Z26" i="1" s="1"/>
  <c r="AA26" i="1" s="1"/>
  <c r="AE26" i="1" s="1"/>
  <c r="T26" i="1"/>
  <c r="N26" i="1"/>
  <c r="O26" i="1" s="1"/>
  <c r="P26" i="1" s="1"/>
  <c r="I26" i="1"/>
  <c r="D26" i="1"/>
  <c r="Y72" i="1"/>
  <c r="N72" i="1"/>
  <c r="I72" i="1"/>
  <c r="Y37" i="1"/>
  <c r="Z37" i="1"/>
  <c r="T37" i="1"/>
  <c r="N37" i="1"/>
  <c r="O37" i="1"/>
  <c r="I37" i="1"/>
  <c r="Y33" i="1"/>
  <c r="Z33" i="1"/>
  <c r="T33" i="1"/>
  <c r="N33" i="1"/>
  <c r="O33" i="1"/>
  <c r="I33" i="1"/>
  <c r="D33" i="1"/>
  <c r="Y32" i="1"/>
  <c r="Z32" i="1"/>
  <c r="T32" i="1"/>
  <c r="N32" i="1"/>
  <c r="O32" i="1" s="1"/>
  <c r="P32" i="1" s="1"/>
  <c r="AC32" i="1" s="1"/>
  <c r="I32" i="1"/>
  <c r="D32" i="1"/>
  <c r="Y31" i="1"/>
  <c r="Z31" i="1" s="1"/>
  <c r="AA31" i="1" s="1"/>
  <c r="T31" i="1"/>
  <c r="N31" i="1"/>
  <c r="O31" i="1" s="1"/>
  <c r="P31" i="1" s="1"/>
  <c r="I31" i="1"/>
  <c r="D31" i="1"/>
  <c r="I17" i="10"/>
  <c r="C33" i="10"/>
  <c r="D33" i="10"/>
  <c r="D18" i="1"/>
  <c r="D21" i="1"/>
  <c r="I18" i="1"/>
  <c r="I21" i="1"/>
  <c r="N18" i="1"/>
  <c r="O18" i="1"/>
  <c r="T18" i="1"/>
  <c r="T21" i="1"/>
  <c r="Y18" i="1"/>
  <c r="Z18" i="1" s="1"/>
  <c r="D19" i="1"/>
  <c r="I19" i="1"/>
  <c r="N19" i="1"/>
  <c r="O19" i="1"/>
  <c r="T19" i="1"/>
  <c r="Y19" i="1"/>
  <c r="D24" i="1"/>
  <c r="I24" i="1"/>
  <c r="N24" i="1"/>
  <c r="O24" i="1" s="1"/>
  <c r="T24" i="1"/>
  <c r="Y24" i="1"/>
  <c r="Z24" i="1"/>
  <c r="D25" i="1"/>
  <c r="I25" i="1"/>
  <c r="N25" i="1"/>
  <c r="O25" i="1"/>
  <c r="T25" i="1"/>
  <c r="Y25" i="1"/>
  <c r="Z25" i="1"/>
  <c r="D27" i="1"/>
  <c r="I27" i="1"/>
  <c r="P27" i="1" s="1"/>
  <c r="AC27" i="1" s="1"/>
  <c r="N27" i="1"/>
  <c r="O27" i="1"/>
  <c r="T27" i="1"/>
  <c r="Y27" i="1"/>
  <c r="Z27" i="1"/>
  <c r="D28" i="1"/>
  <c r="N28" i="1"/>
  <c r="O28" i="1" s="1"/>
  <c r="P28" i="1" s="1"/>
  <c r="AC28" i="1" s="1"/>
  <c r="T28" i="1"/>
  <c r="Y28" i="1"/>
  <c r="Z28" i="1"/>
  <c r="D29" i="1"/>
  <c r="I29" i="1"/>
  <c r="N29" i="1"/>
  <c r="O29" i="1"/>
  <c r="T29" i="1"/>
  <c r="Y29" i="1"/>
  <c r="Z29" i="1"/>
  <c r="D30" i="1"/>
  <c r="I30" i="1"/>
  <c r="N30" i="1"/>
  <c r="O30" i="1" s="1"/>
  <c r="P30" i="1" s="1"/>
  <c r="T30" i="1"/>
  <c r="Y30" i="1"/>
  <c r="Z30" i="1"/>
  <c r="D34" i="1"/>
  <c r="I34" i="1"/>
  <c r="N34" i="1"/>
  <c r="O34" i="1"/>
  <c r="T34" i="1"/>
  <c r="Y34" i="1"/>
  <c r="Z34" i="1"/>
  <c r="AA34" i="1" s="1"/>
  <c r="AC34" i="1" s="1"/>
  <c r="D35" i="1"/>
  <c r="I35" i="1"/>
  <c r="N35" i="1"/>
  <c r="O35" i="1"/>
  <c r="T35" i="1"/>
  <c r="Y35" i="1"/>
  <c r="Z35" i="1" s="1"/>
  <c r="AA35" i="1" s="1"/>
  <c r="D36" i="1"/>
  <c r="I36" i="1"/>
  <c r="N36" i="1"/>
  <c r="O36" i="1"/>
  <c r="T36" i="1"/>
  <c r="Y36" i="1"/>
  <c r="Z36" i="1"/>
  <c r="D38" i="1"/>
  <c r="I38" i="1"/>
  <c r="N38" i="1"/>
  <c r="O38" i="1"/>
  <c r="T38" i="1"/>
  <c r="Y38" i="1"/>
  <c r="Z38" i="1"/>
  <c r="AA38" i="1" s="1"/>
  <c r="D39" i="1"/>
  <c r="I39" i="1"/>
  <c r="N39" i="1"/>
  <c r="O39" i="1"/>
  <c r="T39" i="1"/>
  <c r="Y39" i="1"/>
  <c r="Z39" i="1"/>
  <c r="J42" i="1"/>
  <c r="AB40" i="1"/>
  <c r="AB42" i="1"/>
  <c r="AD40" i="1"/>
  <c r="AD42" i="1"/>
  <c r="AB48" i="1"/>
  <c r="I64" i="1"/>
  <c r="P64" i="1"/>
  <c r="N64" i="1"/>
  <c r="Y64" i="1"/>
  <c r="Y65" i="1"/>
  <c r="AD65" i="1"/>
  <c r="AA64" i="1"/>
  <c r="AA65" i="1"/>
  <c r="C67" i="1"/>
  <c r="I67" i="1"/>
  <c r="P67" i="1"/>
  <c r="N67" i="1"/>
  <c r="S67" i="1"/>
  <c r="I70" i="1"/>
  <c r="N70" i="1"/>
  <c r="AD70" i="1" s="1"/>
  <c r="Y70" i="1"/>
  <c r="AA70" i="1"/>
  <c r="I71" i="1"/>
  <c r="N71" i="1"/>
  <c r="Y71" i="1"/>
  <c r="AA71" i="1"/>
  <c r="I73" i="1"/>
  <c r="N73" i="1"/>
  <c r="Y73" i="1"/>
  <c r="AA73" i="1"/>
  <c r="AB86" i="1"/>
  <c r="P93" i="1"/>
  <c r="AB95" i="1"/>
  <c r="C17" i="10"/>
  <c r="M12" i="6"/>
  <c r="M21" i="6"/>
  <c r="C13" i="19"/>
  <c r="S42" i="1"/>
  <c r="Z19" i="1"/>
  <c r="AA19" i="1"/>
  <c r="AB88" i="1"/>
  <c r="AB90" i="1"/>
  <c r="AB91" i="1"/>
  <c r="F33" i="10"/>
  <c r="G17" i="10"/>
  <c r="G18" i="10" s="1"/>
  <c r="I22" i="20"/>
  <c r="N22" i="20"/>
  <c r="I24" i="20"/>
  <c r="N24" i="20"/>
  <c r="I23" i="20"/>
  <c r="N23" i="20"/>
  <c r="I25" i="20"/>
  <c r="N25" i="20"/>
  <c r="I27" i="20"/>
  <c r="N27" i="20"/>
  <c r="I26" i="20"/>
  <c r="N26" i="20"/>
  <c r="N28" i="20"/>
  <c r="N29" i="20"/>
  <c r="J28" i="20"/>
  <c r="J29" i="20"/>
  <c r="I29" i="20"/>
  <c r="Q8" i="20"/>
  <c r="Q14" i="20"/>
  <c r="Q13" i="20"/>
  <c r="Q9" i="20"/>
  <c r="Q11" i="20"/>
  <c r="Q12" i="20"/>
  <c r="Q10" i="20"/>
  <c r="F10" i="18"/>
  <c r="F15" i="18"/>
  <c r="F24" i="18" s="1"/>
  <c r="P27" i="29"/>
  <c r="N31" i="29"/>
  <c r="N32" i="29"/>
  <c r="M31" i="29"/>
  <c r="M32" i="29"/>
  <c r="L31" i="29"/>
  <c r="L32" i="29"/>
  <c r="H31" i="29"/>
  <c r="H32" i="29"/>
  <c r="K31" i="29"/>
  <c r="K32" i="29"/>
  <c r="O31" i="29"/>
  <c r="O32" i="29"/>
  <c r="J31" i="29"/>
  <c r="J32" i="29"/>
  <c r="AD81" i="1"/>
  <c r="AD77" i="1"/>
  <c r="G19" i="10"/>
  <c r="AA33" i="1"/>
  <c r="D115" i="34"/>
  <c r="F115" i="34" s="1"/>
  <c r="B27" i="33" s="1"/>
  <c r="AJ81" i="1"/>
  <c r="D45" i="34"/>
  <c r="F45" i="34" s="1"/>
  <c r="AJ74" i="1"/>
  <c r="AL74" i="1" s="1"/>
  <c r="D135" i="34"/>
  <c r="F135" i="34" s="1"/>
  <c r="AJ83" i="1"/>
  <c r="AL83" i="1" s="1"/>
  <c r="D95" i="34"/>
  <c r="F95" i="34" s="1"/>
  <c r="B25" i="33" s="1"/>
  <c r="AJ79" i="1"/>
  <c r="D5" i="34"/>
  <c r="F5" i="34"/>
  <c r="G5" i="34" s="1"/>
  <c r="M5" i="34" s="1"/>
  <c r="AJ70" i="1"/>
  <c r="D65" i="34"/>
  <c r="F65" i="34" s="1"/>
  <c r="B22" i="33" s="1"/>
  <c r="AJ76" i="1"/>
  <c r="D55" i="34"/>
  <c r="F55" i="34" s="1"/>
  <c r="B21" i="33" s="1"/>
  <c r="AJ75" i="1"/>
  <c r="D85" i="34"/>
  <c r="F85" i="34" s="1"/>
  <c r="G85" i="34" s="1"/>
  <c r="M85" i="34" s="1"/>
  <c r="AJ78" i="1"/>
  <c r="AK78" i="1" s="1"/>
  <c r="AL77" i="1"/>
  <c r="P38" i="1"/>
  <c r="D105" i="34"/>
  <c r="F105" i="34" s="1"/>
  <c r="AJ80" i="1"/>
  <c r="D155" i="34"/>
  <c r="F155" i="34" s="1"/>
  <c r="G155" i="34" s="1"/>
  <c r="M155" i="34" s="1"/>
  <c r="AJ85" i="1"/>
  <c r="D25" i="34"/>
  <c r="F25" i="34" s="1"/>
  <c r="AJ72" i="1"/>
  <c r="D15" i="34"/>
  <c r="F15" i="34" s="1"/>
  <c r="K15" i="34" s="1"/>
  <c r="AJ71" i="1"/>
  <c r="E18" i="28"/>
  <c r="E21" i="28"/>
  <c r="D32" i="29"/>
  <c r="Y21" i="1"/>
  <c r="AT72" i="1"/>
  <c r="AS72" i="1"/>
  <c r="E15" i="19"/>
  <c r="E29" i="19" s="1"/>
  <c r="N10" i="6"/>
  <c r="L12" i="6"/>
  <c r="AD64" i="1"/>
  <c r="AD67" i="1"/>
  <c r="AD73" i="1"/>
  <c r="AA39" i="1"/>
  <c r="AD71" i="1"/>
  <c r="D27" i="34"/>
  <c r="F27" i="34" s="1"/>
  <c r="K27" i="34" s="1"/>
  <c r="L27" i="34" s="1"/>
  <c r="P76" i="1"/>
  <c r="AN76" i="1"/>
  <c r="AC64" i="1"/>
  <c r="P39" i="1"/>
  <c r="P72" i="1"/>
  <c r="AC72" i="1" s="1"/>
  <c r="AN72" i="1"/>
  <c r="P80" i="1"/>
  <c r="AC80" i="1"/>
  <c r="AF80" i="1" s="1"/>
  <c r="AN80" i="1"/>
  <c r="AP80" i="1" s="1"/>
  <c r="AD75" i="1"/>
  <c r="AD83" i="1"/>
  <c r="P71" i="1"/>
  <c r="AC71" i="1"/>
  <c r="AN71" i="1"/>
  <c r="P85" i="1"/>
  <c r="AC85" i="1"/>
  <c r="AN85" i="1"/>
  <c r="D37" i="1"/>
  <c r="AN82" i="1"/>
  <c r="AP82" i="1" s="1"/>
  <c r="P75" i="1"/>
  <c r="AN75" i="1"/>
  <c r="AD76" i="1"/>
  <c r="AD80" i="1"/>
  <c r="P73" i="1"/>
  <c r="AC73" i="1" s="1"/>
  <c r="AN73" i="1"/>
  <c r="P70" i="1"/>
  <c r="AC70" i="1"/>
  <c r="AF70" i="1" s="1"/>
  <c r="AN70" i="1"/>
  <c r="P77" i="1"/>
  <c r="AC77" i="1" s="1"/>
  <c r="AN77" i="1"/>
  <c r="P83" i="1"/>
  <c r="AC83" i="1"/>
  <c r="AF83" i="1" s="1"/>
  <c r="AN83" i="1"/>
  <c r="P84" i="1"/>
  <c r="AC84" i="1"/>
  <c r="AG84" i="1" s="1"/>
  <c r="AN84" i="1"/>
  <c r="AP84" i="1" s="1"/>
  <c r="P78" i="1"/>
  <c r="AC78" i="1"/>
  <c r="AN78" i="1"/>
  <c r="P81" i="1"/>
  <c r="AC81" i="1"/>
  <c r="AG81" i="1"/>
  <c r="AN81" i="1"/>
  <c r="P74" i="1"/>
  <c r="AC74" i="1" s="1"/>
  <c r="AF74" i="1" s="1"/>
  <c r="AN74" i="1"/>
  <c r="P79" i="1"/>
  <c r="AC79" i="1" s="1"/>
  <c r="AN79" i="1"/>
  <c r="AA25" i="1"/>
  <c r="AA32" i="1"/>
  <c r="P29" i="1"/>
  <c r="AC29" i="1" s="1"/>
  <c r="P33" i="1"/>
  <c r="P34" i="1"/>
  <c r="AA24" i="1"/>
  <c r="P19" i="1"/>
  <c r="AC19" i="1"/>
  <c r="N21" i="1"/>
  <c r="AA29" i="1"/>
  <c r="AA30" i="1"/>
  <c r="AA37" i="1"/>
  <c r="P35" i="1"/>
  <c r="Y67" i="1"/>
  <c r="AD72" i="1"/>
  <c r="AC76" i="1"/>
  <c r="AF76" i="1" s="1"/>
  <c r="P37" i="1"/>
  <c r="AA27" i="1"/>
  <c r="AC75" i="1"/>
  <c r="AG75" i="1" s="1"/>
  <c r="AA67" i="1"/>
  <c r="P25" i="1"/>
  <c r="T40" i="1"/>
  <c r="T42" i="1"/>
  <c r="AA28" i="1"/>
  <c r="O21" i="1"/>
  <c r="P18" i="1"/>
  <c r="BG81" i="1"/>
  <c r="W88" i="1"/>
  <c r="W90" i="1" s="1"/>
  <c r="W91" i="1" s="1"/>
  <c r="AC65" i="1"/>
  <c r="R42" i="1"/>
  <c r="AA36" i="1"/>
  <c r="Y40" i="1"/>
  <c r="Y42" i="1" s="1"/>
  <c r="B134" i="6" s="1"/>
  <c r="V96" i="1"/>
  <c r="K86" i="1"/>
  <c r="D23" i="32" s="1"/>
  <c r="P36" i="1"/>
  <c r="C81" i="6"/>
  <c r="B37" i="8" s="1"/>
  <c r="C86" i="1"/>
  <c r="E14" i="10" s="1"/>
  <c r="F11" i="28"/>
  <c r="G11" i="28"/>
  <c r="F18" i="28"/>
  <c r="F21" i="28"/>
  <c r="G10" i="28"/>
  <c r="N19" i="6"/>
  <c r="K12" i="6"/>
  <c r="K21" i="6"/>
  <c r="L21" i="6"/>
  <c r="N11" i="6"/>
  <c r="N12" i="6"/>
  <c r="N21" i="6"/>
  <c r="G10" i="18"/>
  <c r="G15" i="18"/>
  <c r="H14" i="18" s="1"/>
  <c r="B133" i="6"/>
  <c r="B46" i="8" s="1"/>
  <c r="F10" i="33"/>
  <c r="I10" i="33" s="1"/>
  <c r="K10" i="33" s="1"/>
  <c r="L10" i="33" s="1"/>
  <c r="AD82" i="1"/>
  <c r="E14" i="19"/>
  <c r="F14" i="19" s="1"/>
  <c r="V88" i="1"/>
  <c r="V90" i="1" s="1"/>
  <c r="V91" i="1" s="1"/>
  <c r="F23" i="32"/>
  <c r="C88" i="6"/>
  <c r="B45" i="8" s="1"/>
  <c r="C11" i="19"/>
  <c r="AC36" i="1"/>
  <c r="AL78" i="1"/>
  <c r="AL79" i="1"/>
  <c r="AK79" i="1"/>
  <c r="AK85" i="1"/>
  <c r="AL85" i="1"/>
  <c r="AL75" i="1"/>
  <c r="AK75" i="1"/>
  <c r="AL80" i="1"/>
  <c r="AK80" i="1"/>
  <c r="AK76" i="1"/>
  <c r="AL76" i="1"/>
  <c r="AK74" i="1"/>
  <c r="AL71" i="1"/>
  <c r="AK71" i="1"/>
  <c r="AK70" i="1"/>
  <c r="AL70" i="1"/>
  <c r="AK81" i="1"/>
  <c r="AL81" i="1"/>
  <c r="AL72" i="1"/>
  <c r="AK72" i="1"/>
  <c r="AC67" i="1"/>
  <c r="AC25" i="1"/>
  <c r="B2" i="14"/>
  <c r="AC39" i="1"/>
  <c r="AF71" i="1"/>
  <c r="AG71" i="1"/>
  <c r="AF85" i="1"/>
  <c r="AG85" i="1"/>
  <c r="AO74" i="1"/>
  <c r="AP74" i="1"/>
  <c r="AP83" i="1"/>
  <c r="AO83" i="1"/>
  <c r="AO80" i="1"/>
  <c r="AP85" i="1"/>
  <c r="AO85" i="1"/>
  <c r="AO81" i="1"/>
  <c r="AP81" i="1"/>
  <c r="AO77" i="1"/>
  <c r="AP77" i="1"/>
  <c r="AP75" i="1"/>
  <c r="AO75" i="1"/>
  <c r="AP72" i="1"/>
  <c r="AO72" i="1"/>
  <c r="AP71" i="1"/>
  <c r="AO71" i="1"/>
  <c r="AO70" i="1"/>
  <c r="AP70" i="1"/>
  <c r="AC37" i="1"/>
  <c r="AO79" i="1"/>
  <c r="AP79" i="1"/>
  <c r="AO84" i="1"/>
  <c r="AO73" i="1"/>
  <c r="AP73" i="1"/>
  <c r="AP76" i="1"/>
  <c r="AO76" i="1"/>
  <c r="AP78" i="1"/>
  <c r="AO78" i="1"/>
  <c r="AO82" i="1"/>
  <c r="AF75" i="1"/>
  <c r="K15" i="19"/>
  <c r="K29" i="19" s="1"/>
  <c r="AF81" i="1"/>
  <c r="AG83" i="1"/>
  <c r="AG78" i="1"/>
  <c r="AF78" i="1"/>
  <c r="P21" i="1"/>
  <c r="G18" i="28"/>
  <c r="AD7" i="10"/>
  <c r="G31" i="29"/>
  <c r="G32" i="29"/>
  <c r="AD20" i="10"/>
  <c r="G27" i="29"/>
  <c r="I28" i="29"/>
  <c r="P28" i="29"/>
  <c r="Q28" i="29"/>
  <c r="Q29" i="29"/>
  <c r="P34" i="29"/>
  <c r="P31" i="29"/>
  <c r="G20" i="10" l="1"/>
  <c r="H17" i="10"/>
  <c r="F14" i="10"/>
  <c r="V50" i="10"/>
  <c r="V51" i="10" s="1"/>
  <c r="AD48" i="10"/>
  <c r="U49" i="10" s="1"/>
  <c r="U74" i="10" s="1"/>
  <c r="E30" i="10"/>
  <c r="E31" i="10"/>
  <c r="E32" i="10"/>
  <c r="B23" i="14"/>
  <c r="B9" i="14" s="1"/>
  <c r="I11" i="14"/>
  <c r="I5" i="14"/>
  <c r="K5" i="14" s="1"/>
  <c r="B18" i="6"/>
  <c r="B19" i="6" s="1"/>
  <c r="I7" i="14"/>
  <c r="F57" i="32"/>
  <c r="C20" i="32"/>
  <c r="F20" i="32"/>
  <c r="E20" i="32"/>
  <c r="C57" i="32"/>
  <c r="J53" i="8" s="1"/>
  <c r="D57" i="32"/>
  <c r="I54" i="8" s="1"/>
  <c r="E57" i="32"/>
  <c r="E71" i="32" s="1"/>
  <c r="F52" i="8"/>
  <c r="K52" i="8" s="1"/>
  <c r="B82" i="32"/>
  <c r="B83" i="32" s="1"/>
  <c r="B71" i="32"/>
  <c r="J52" i="8"/>
  <c r="I52" i="8"/>
  <c r="F53" i="8"/>
  <c r="K53" i="8" s="1"/>
  <c r="C82" i="32"/>
  <c r="C83" i="32" s="1"/>
  <c r="C71" i="32"/>
  <c r="I53" i="8"/>
  <c r="E82" i="32"/>
  <c r="E83" i="32" s="1"/>
  <c r="I55" i="8"/>
  <c r="J55" i="8"/>
  <c r="F55" i="8"/>
  <c r="K55" i="8" s="1"/>
  <c r="F71" i="32"/>
  <c r="F82" i="32"/>
  <c r="F83" i="32" s="1"/>
  <c r="I56" i="8"/>
  <c r="J56" i="8"/>
  <c r="F56" i="8"/>
  <c r="K56" i="8" s="1"/>
  <c r="F54" i="8"/>
  <c r="K54" i="8" s="1"/>
  <c r="D82" i="32"/>
  <c r="D83" i="32" s="1"/>
  <c r="D71" i="32"/>
  <c r="J54" i="8"/>
  <c r="F24" i="32"/>
  <c r="M24" i="32" s="1"/>
  <c r="B20" i="32"/>
  <c r="H9" i="32" s="1"/>
  <c r="F27" i="32"/>
  <c r="C64" i="6"/>
  <c r="C65" i="6" s="1"/>
  <c r="BE86" i="1"/>
  <c r="Y86" i="1"/>
  <c r="Y88" i="1" s="1"/>
  <c r="Y90" i="1" s="1"/>
  <c r="Y91" i="1" s="1"/>
  <c r="AD84" i="1"/>
  <c r="BC84" i="1"/>
  <c r="BB86" i="1"/>
  <c r="BC86" i="1" s="1"/>
  <c r="E13" i="19"/>
  <c r="E23" i="32"/>
  <c r="E24" i="32" s="1"/>
  <c r="S88" i="1"/>
  <c r="S90" i="1" s="1"/>
  <c r="S91" i="1" s="1"/>
  <c r="B38" i="8"/>
  <c r="K38" i="8" s="1"/>
  <c r="BA86" i="1"/>
  <c r="G94" i="1"/>
  <c r="H88" i="1"/>
  <c r="H90" i="1" s="1"/>
  <c r="H91" i="1" s="1"/>
  <c r="AN86" i="1"/>
  <c r="F11" i="33"/>
  <c r="I11" i="33" s="1"/>
  <c r="K11" i="33" s="1"/>
  <c r="L11" i="33" s="1"/>
  <c r="M30" i="32"/>
  <c r="M35" i="32" s="1"/>
  <c r="M37" i="32" s="1"/>
  <c r="J38" i="8"/>
  <c r="I38" i="8"/>
  <c r="I49" i="8"/>
  <c r="J49" i="8"/>
  <c r="J37" i="8"/>
  <c r="I37" i="8"/>
  <c r="J45" i="8"/>
  <c r="I45" i="8"/>
  <c r="J46" i="8"/>
  <c r="I46" i="8"/>
  <c r="D19" i="39"/>
  <c r="D29" i="39"/>
  <c r="AD21" i="10"/>
  <c r="AD11" i="10"/>
  <c r="AD19" i="10"/>
  <c r="AD14" i="10"/>
  <c r="AD12" i="10"/>
  <c r="F15" i="30"/>
  <c r="G15" i="30"/>
  <c r="AE34" i="10"/>
  <c r="AE57" i="10" s="1"/>
  <c r="AE45" i="10"/>
  <c r="AE68" i="10" s="1"/>
  <c r="AB49" i="10"/>
  <c r="AB74" i="10" s="1"/>
  <c r="AC49" i="10"/>
  <c r="AC74" i="10" s="1"/>
  <c r="Z49" i="10"/>
  <c r="Z74" i="10" s="1"/>
  <c r="AE43" i="10"/>
  <c r="AE66" i="10" s="1"/>
  <c r="J17" i="10"/>
  <c r="B22" i="6" s="1"/>
  <c r="AE39" i="10"/>
  <c r="AE62" i="10" s="1"/>
  <c r="AC25" i="10"/>
  <c r="AE33" i="10"/>
  <c r="AE56" i="10" s="1"/>
  <c r="AD15" i="10"/>
  <c r="W25" i="10"/>
  <c r="F16" i="10"/>
  <c r="H10" i="33"/>
  <c r="AL82" i="1"/>
  <c r="AK83" i="1"/>
  <c r="AC35" i="1"/>
  <c r="C7" i="19"/>
  <c r="BJ86" i="1"/>
  <c r="AW80" i="1"/>
  <c r="AS80" i="1"/>
  <c r="AG80" i="1"/>
  <c r="C15" i="19"/>
  <c r="AW78" i="1"/>
  <c r="AC30" i="1"/>
  <c r="AS75" i="1"/>
  <c r="I86" i="1"/>
  <c r="C23" i="32" s="1"/>
  <c r="C24" i="32" s="1"/>
  <c r="B53" i="8" s="1"/>
  <c r="AG73" i="1"/>
  <c r="AF73" i="1"/>
  <c r="G8" i="34"/>
  <c r="M8" i="34" s="1"/>
  <c r="K8" i="34"/>
  <c r="L8" i="34" s="1"/>
  <c r="K6" i="34"/>
  <c r="L6" i="34" s="1"/>
  <c r="C16" i="33"/>
  <c r="G6" i="34"/>
  <c r="M6" i="34" s="1"/>
  <c r="G12" i="34"/>
  <c r="M12" i="34" s="1"/>
  <c r="K12" i="34"/>
  <c r="L12" i="34" s="1"/>
  <c r="AG70" i="1"/>
  <c r="E7" i="19"/>
  <c r="E21" i="19" s="1"/>
  <c r="P24" i="1"/>
  <c r="AC24" i="1" s="1"/>
  <c r="B16" i="33"/>
  <c r="K5" i="34"/>
  <c r="C88" i="1"/>
  <c r="C90" i="1" s="1"/>
  <c r="C91" i="1" s="1"/>
  <c r="F15" i="19"/>
  <c r="AF79" i="1"/>
  <c r="AG79" i="1"/>
  <c r="AW79" i="1"/>
  <c r="AC33" i="1"/>
  <c r="AW85" i="1"/>
  <c r="AT85" i="1"/>
  <c r="K46" i="8"/>
  <c r="AW77" i="1"/>
  <c r="AS77" i="1"/>
  <c r="AG77" i="1"/>
  <c r="AF77" i="1"/>
  <c r="AC31" i="1"/>
  <c r="AW82" i="1"/>
  <c r="AC82" i="1"/>
  <c r="AF82" i="1" s="1"/>
  <c r="P86" i="1"/>
  <c r="P88" i="1" s="1"/>
  <c r="P90" i="1" s="1"/>
  <c r="P91" i="1" s="1"/>
  <c r="AG74" i="1"/>
  <c r="Z21" i="1"/>
  <c r="AA18" i="1"/>
  <c r="B136" i="6"/>
  <c r="C134" i="6" s="1"/>
  <c r="Z40" i="1"/>
  <c r="AA40" i="1" s="1"/>
  <c r="AC26" i="1"/>
  <c r="C9" i="19"/>
  <c r="H44" i="1"/>
  <c r="H48" i="1" s="1"/>
  <c r="BG72" i="1"/>
  <c r="BF86" i="1"/>
  <c r="BG86" i="1" s="1"/>
  <c r="AV86" i="1"/>
  <c r="AW86" i="1" s="1"/>
  <c r="AD86" i="1"/>
  <c r="AD88" i="1" s="1"/>
  <c r="AD90" i="1" s="1"/>
  <c r="AD91" i="1" s="1"/>
  <c r="K88" i="1"/>
  <c r="K90" i="1" s="1"/>
  <c r="K91" i="1" s="1"/>
  <c r="K94" i="1"/>
  <c r="E10" i="19"/>
  <c r="E24" i="19" s="1"/>
  <c r="C82" i="6"/>
  <c r="B42" i="8" s="1"/>
  <c r="D20" i="32"/>
  <c r="D24" i="32" s="1"/>
  <c r="AF72" i="1"/>
  <c r="AG72" i="1"/>
  <c r="C77" i="6"/>
  <c r="C78" i="6" s="1"/>
  <c r="B36" i="8" s="1"/>
  <c r="K45" i="8"/>
  <c r="BK86" i="1"/>
  <c r="BL86" i="1" s="1"/>
  <c r="BL84" i="1"/>
  <c r="B56" i="8"/>
  <c r="E28" i="19"/>
  <c r="C89" i="6"/>
  <c r="C122" i="6" s="1"/>
  <c r="B130" i="6" s="1"/>
  <c r="C130" i="6" s="1"/>
  <c r="AA88" i="1"/>
  <c r="AW84" i="1"/>
  <c r="AT84" i="1"/>
  <c r="AR86" i="1"/>
  <c r="AS86" i="1" s="1"/>
  <c r="H13" i="18"/>
  <c r="H26" i="18" s="1"/>
  <c r="K115" i="34"/>
  <c r="L115" i="34" s="1"/>
  <c r="H95" i="1"/>
  <c r="AO86" i="1"/>
  <c r="AP86" i="1"/>
  <c r="G82" i="34"/>
  <c r="M82" i="34" s="1"/>
  <c r="G151" i="34"/>
  <c r="M151" i="34" s="1"/>
  <c r="AF84" i="1"/>
  <c r="D18" i="33"/>
  <c r="AJ86" i="1"/>
  <c r="B23" i="32"/>
  <c r="B24" i="32" s="1"/>
  <c r="AK84" i="1"/>
  <c r="G27" i="34"/>
  <c r="M27" i="34" s="1"/>
  <c r="G62" i="34"/>
  <c r="M62" i="34" s="1"/>
  <c r="G51" i="34"/>
  <c r="M51" i="34" s="1"/>
  <c r="B6" i="14"/>
  <c r="I6" i="14" s="1"/>
  <c r="K6" i="14" s="1"/>
  <c r="G162" i="34"/>
  <c r="M162" i="34" s="1"/>
  <c r="C14" i="19"/>
  <c r="C10" i="19"/>
  <c r="AC38" i="1"/>
  <c r="D40" i="1"/>
  <c r="E25" i="19"/>
  <c r="F11" i="19"/>
  <c r="D26" i="32"/>
  <c r="N86" i="1"/>
  <c r="N88" i="1" s="1"/>
  <c r="N90" i="1" s="1"/>
  <c r="N91" i="1" s="1"/>
  <c r="AS76" i="1"/>
  <c r="B116" i="6"/>
  <c r="G58" i="34"/>
  <c r="M58" i="34" s="1"/>
  <c r="L88" i="1"/>
  <c r="L90" i="1" s="1"/>
  <c r="L91" i="1" s="1"/>
  <c r="F7" i="33"/>
  <c r="E31" i="33"/>
  <c r="D31" i="33"/>
  <c r="G157" i="34"/>
  <c r="M157" i="34" s="1"/>
  <c r="G159" i="34"/>
  <c r="M159" i="34" s="1"/>
  <c r="C61" i="8"/>
  <c r="K37" i="8"/>
  <c r="K49" i="8"/>
  <c r="H10" i="18"/>
  <c r="C108" i="6"/>
  <c r="C22" i="33"/>
  <c r="G66" i="34"/>
  <c r="M66" i="34" s="1"/>
  <c r="K122" i="34"/>
  <c r="L122" i="34" s="1"/>
  <c r="G122" i="34"/>
  <c r="M122" i="34" s="1"/>
  <c r="G109" i="34"/>
  <c r="M109" i="34" s="1"/>
  <c r="K109" i="34"/>
  <c r="L109" i="34" s="1"/>
  <c r="E26" i="33"/>
  <c r="F22" i="33"/>
  <c r="G70" i="34"/>
  <c r="M70" i="34" s="1"/>
  <c r="K70" i="34"/>
  <c r="L70" i="34" s="1"/>
  <c r="C28" i="33"/>
  <c r="G126" i="34"/>
  <c r="M126" i="34" s="1"/>
  <c r="K126" i="34"/>
  <c r="L126" i="34" s="1"/>
  <c r="D26" i="33"/>
  <c r="G107" i="34"/>
  <c r="M107" i="34" s="1"/>
  <c r="K107" i="34"/>
  <c r="L107" i="34" s="1"/>
  <c r="E17" i="33"/>
  <c r="G19" i="34"/>
  <c r="M19" i="34" s="1"/>
  <c r="C24" i="33"/>
  <c r="G86" i="34"/>
  <c r="M86" i="34" s="1"/>
  <c r="K86" i="34"/>
  <c r="L86" i="34" s="1"/>
  <c r="AC86" i="1"/>
  <c r="K156" i="34"/>
  <c r="L156" i="34" s="1"/>
  <c r="G22" i="34"/>
  <c r="M22" i="34" s="1"/>
  <c r="AG76" i="1"/>
  <c r="C31" i="33"/>
  <c r="K66" i="34"/>
  <c r="L66" i="34" s="1"/>
  <c r="G78" i="34"/>
  <c r="M78" i="34" s="1"/>
  <c r="G28" i="34"/>
  <c r="M28" i="34" s="1"/>
  <c r="K28" i="34"/>
  <c r="L28" i="34" s="1"/>
  <c r="E24" i="33"/>
  <c r="K89" i="34"/>
  <c r="L89" i="34" s="1"/>
  <c r="G89" i="34"/>
  <c r="M89" i="34" s="1"/>
  <c r="G101" i="34"/>
  <c r="M101" i="34" s="1"/>
  <c r="K101" i="34"/>
  <c r="L101" i="34" s="1"/>
  <c r="G127" i="34"/>
  <c r="M127" i="34" s="1"/>
  <c r="K127" i="34"/>
  <c r="L127" i="34" s="1"/>
  <c r="D28" i="33"/>
  <c r="G152" i="34"/>
  <c r="M152" i="34" s="1"/>
  <c r="K152" i="34"/>
  <c r="L152" i="34" s="1"/>
  <c r="E20" i="33"/>
  <c r="K49" i="34"/>
  <c r="L49" i="34" s="1"/>
  <c r="G49" i="34"/>
  <c r="M49" i="34" s="1"/>
  <c r="G41" i="34"/>
  <c r="M41" i="34" s="1"/>
  <c r="K41" i="34"/>
  <c r="L41" i="34" s="1"/>
  <c r="K81" i="34"/>
  <c r="L81" i="34" s="1"/>
  <c r="G81" i="34"/>
  <c r="M81" i="34" s="1"/>
  <c r="K110" i="34"/>
  <c r="L110" i="34" s="1"/>
  <c r="F26" i="33"/>
  <c r="G110" i="34"/>
  <c r="M110" i="34" s="1"/>
  <c r="G69" i="34"/>
  <c r="M69" i="34" s="1"/>
  <c r="K69" i="34"/>
  <c r="L69" i="34" s="1"/>
  <c r="E22" i="33"/>
  <c r="G106" i="34"/>
  <c r="M106" i="34" s="1"/>
  <c r="K106" i="34"/>
  <c r="L106" i="34" s="1"/>
  <c r="C26" i="33"/>
  <c r="E28" i="33"/>
  <c r="K129" i="34"/>
  <c r="L129" i="34" s="1"/>
  <c r="G129" i="34"/>
  <c r="M129" i="34" s="1"/>
  <c r="C20" i="33"/>
  <c r="K46" i="34"/>
  <c r="L46" i="34" s="1"/>
  <c r="G46" i="34"/>
  <c r="M46" i="34" s="1"/>
  <c r="F28" i="33"/>
  <c r="G130" i="34"/>
  <c r="M130" i="34" s="1"/>
  <c r="K130" i="34"/>
  <c r="L130" i="34" s="1"/>
  <c r="H10" i="32"/>
  <c r="H12" i="32"/>
  <c r="H13" i="32" s="1"/>
  <c r="K75" i="34"/>
  <c r="L75" i="34" s="1"/>
  <c r="G75" i="34"/>
  <c r="M75" i="34" s="1"/>
  <c r="B23" i="33"/>
  <c r="C17" i="33"/>
  <c r="G16" i="34"/>
  <c r="M16" i="34" s="1"/>
  <c r="K16" i="34"/>
  <c r="L16" i="34" s="1"/>
  <c r="G98" i="34"/>
  <c r="M98" i="34" s="1"/>
  <c r="K98" i="34"/>
  <c r="L98" i="34" s="1"/>
  <c r="K19" i="34"/>
  <c r="L19" i="34" s="1"/>
  <c r="L145" i="34"/>
  <c r="E21" i="33"/>
  <c r="K59" i="34"/>
  <c r="L59" i="34" s="1"/>
  <c r="E23" i="33"/>
  <c r="K79" i="34"/>
  <c r="L79" i="34" s="1"/>
  <c r="K87" i="34"/>
  <c r="L87" i="34" s="1"/>
  <c r="D24" i="33"/>
  <c r="G87" i="34"/>
  <c r="M87" i="34" s="1"/>
  <c r="K92" i="34"/>
  <c r="L92" i="34" s="1"/>
  <c r="G92" i="34"/>
  <c r="M92" i="34" s="1"/>
  <c r="K108" i="34"/>
  <c r="L108" i="34" s="1"/>
  <c r="G108" i="34"/>
  <c r="M108" i="34" s="1"/>
  <c r="K112" i="34"/>
  <c r="L112" i="34" s="1"/>
  <c r="G112" i="34"/>
  <c r="M112" i="34" s="1"/>
  <c r="D180" i="34"/>
  <c r="R21" i="33" s="1"/>
  <c r="F176" i="34"/>
  <c r="J19" i="33" s="1"/>
  <c r="F20" i="33"/>
  <c r="K50" i="34"/>
  <c r="L50" i="34" s="1"/>
  <c r="F96" i="34"/>
  <c r="F175" i="34" s="1"/>
  <c r="D175" i="34"/>
  <c r="G105" i="34"/>
  <c r="M105" i="34" s="1"/>
  <c r="B26" i="33"/>
  <c r="K105" i="34"/>
  <c r="G45" i="34"/>
  <c r="M45" i="34" s="1"/>
  <c r="K45" i="34"/>
  <c r="B20" i="33"/>
  <c r="G71" i="34"/>
  <c r="M71" i="34" s="1"/>
  <c r="G59" i="34"/>
  <c r="M59" i="34" s="1"/>
  <c r="K38" i="34"/>
  <c r="L38" i="34" s="1"/>
  <c r="G38" i="34"/>
  <c r="M38" i="34" s="1"/>
  <c r="K61" i="34"/>
  <c r="L61" i="34" s="1"/>
  <c r="G61" i="34"/>
  <c r="M61" i="34" s="1"/>
  <c r="K80" i="34"/>
  <c r="L80" i="34" s="1"/>
  <c r="F23" i="33"/>
  <c r="G80" i="34"/>
  <c r="M80" i="34" s="1"/>
  <c r="K88" i="34"/>
  <c r="L88" i="34" s="1"/>
  <c r="G88" i="34"/>
  <c r="M88" i="34" s="1"/>
  <c r="D25" i="33"/>
  <c r="K97" i="34"/>
  <c r="L97" i="34" s="1"/>
  <c r="C27" i="33"/>
  <c r="G116" i="34"/>
  <c r="M116" i="34" s="1"/>
  <c r="K116" i="34"/>
  <c r="K131" i="34"/>
  <c r="L131" i="34" s="1"/>
  <c r="G131" i="34"/>
  <c r="M131" i="34" s="1"/>
  <c r="E29" i="33"/>
  <c r="K139" i="34"/>
  <c r="L139" i="34" s="1"/>
  <c r="K147" i="34"/>
  <c r="L147" i="34" s="1"/>
  <c r="D30" i="33"/>
  <c r="G147" i="34"/>
  <c r="M147" i="34" s="1"/>
  <c r="K67" i="34"/>
  <c r="L67" i="34" s="1"/>
  <c r="G67" i="34"/>
  <c r="M67" i="34" s="1"/>
  <c r="K121" i="34"/>
  <c r="L121" i="34" s="1"/>
  <c r="G121" i="34"/>
  <c r="M121" i="34" s="1"/>
  <c r="K37" i="34"/>
  <c r="L37" i="34" s="1"/>
  <c r="D19" i="33"/>
  <c r="G60" i="34"/>
  <c r="M60" i="34" s="1"/>
  <c r="F21" i="33"/>
  <c r="K68" i="34"/>
  <c r="L68" i="34" s="1"/>
  <c r="G68" i="34"/>
  <c r="M68" i="34" s="1"/>
  <c r="K72" i="34"/>
  <c r="L72" i="34" s="1"/>
  <c r="G72" i="34"/>
  <c r="M72" i="34" s="1"/>
  <c r="K120" i="34"/>
  <c r="L120" i="34" s="1"/>
  <c r="F27" i="33"/>
  <c r="K146" i="34"/>
  <c r="L146" i="34" s="1"/>
  <c r="C30" i="33"/>
  <c r="F174" i="34"/>
  <c r="D174" i="34"/>
  <c r="B24" i="33"/>
  <c r="G115" i="34"/>
  <c r="M115" i="34" s="1"/>
  <c r="B17" i="33"/>
  <c r="G15" i="34"/>
  <c r="M15" i="34" s="1"/>
  <c r="G55" i="34"/>
  <c r="M55" i="34" s="1"/>
  <c r="K55" i="34"/>
  <c r="G30" i="34"/>
  <c r="M30" i="34" s="1"/>
  <c r="F18" i="33"/>
  <c r="F17" i="33"/>
  <c r="K20" i="34"/>
  <c r="L20" i="34" s="1"/>
  <c r="K29" i="34"/>
  <c r="L29" i="34" s="1"/>
  <c r="G29" i="34"/>
  <c r="M29" i="34" s="1"/>
  <c r="C23" i="33"/>
  <c r="G76" i="34"/>
  <c r="M76" i="34" s="1"/>
  <c r="K76" i="34"/>
  <c r="L76" i="34" s="1"/>
  <c r="K128" i="34"/>
  <c r="L128" i="34" s="1"/>
  <c r="G128" i="34"/>
  <c r="M128" i="34" s="1"/>
  <c r="L15" i="34"/>
  <c r="B31" i="33"/>
  <c r="D176" i="34"/>
  <c r="J21" i="33" s="1"/>
  <c r="G42" i="34"/>
  <c r="M42" i="34" s="1"/>
  <c r="G138" i="34"/>
  <c r="M138" i="34" s="1"/>
  <c r="D177" i="34"/>
  <c r="K21" i="33" s="1"/>
  <c r="K31" i="34"/>
  <c r="L31" i="34" s="1"/>
  <c r="G31" i="34"/>
  <c r="M31" i="34" s="1"/>
  <c r="E19" i="33"/>
  <c r="K39" i="34"/>
  <c r="L39" i="34" s="1"/>
  <c r="K47" i="34"/>
  <c r="L47" i="34" s="1"/>
  <c r="D20" i="33"/>
  <c r="G47" i="34"/>
  <c r="M47" i="34" s="1"/>
  <c r="K52" i="34"/>
  <c r="L52" i="34" s="1"/>
  <c r="G52" i="34"/>
  <c r="M52" i="34" s="1"/>
  <c r="K117" i="34"/>
  <c r="L117" i="34" s="1"/>
  <c r="D27" i="33"/>
  <c r="B28" i="33"/>
  <c r="G125" i="34"/>
  <c r="M125" i="34" s="1"/>
  <c r="K125" i="34"/>
  <c r="K132" i="34"/>
  <c r="L132" i="34" s="1"/>
  <c r="G132" i="34"/>
  <c r="M132" i="34" s="1"/>
  <c r="F29" i="33"/>
  <c r="K140" i="34"/>
  <c r="L140" i="34" s="1"/>
  <c r="K148" i="34"/>
  <c r="L148" i="34" s="1"/>
  <c r="G148" i="34"/>
  <c r="M148" i="34" s="1"/>
  <c r="B29" i="33"/>
  <c r="K135" i="34"/>
  <c r="F31" i="33"/>
  <c r="G160" i="34"/>
  <c r="M160" i="34" s="1"/>
  <c r="G145" i="34"/>
  <c r="M145" i="34" s="1"/>
  <c r="B30" i="33"/>
  <c r="K155" i="34"/>
  <c r="G25" i="34"/>
  <c r="M25" i="34" s="1"/>
  <c r="B18" i="33"/>
  <c r="K25" i="34"/>
  <c r="K160" i="34"/>
  <c r="L160" i="34" s="1"/>
  <c r="G79" i="34"/>
  <c r="M79" i="34" s="1"/>
  <c r="G120" i="34"/>
  <c r="M120" i="34" s="1"/>
  <c r="F177" i="34"/>
  <c r="K19" i="33" s="1"/>
  <c r="K158" i="34"/>
  <c r="L158" i="34" s="1"/>
  <c r="D181" i="34"/>
  <c r="G21" i="34"/>
  <c r="M21" i="34" s="1"/>
  <c r="K21" i="34"/>
  <c r="L21" i="34" s="1"/>
  <c r="K32" i="34"/>
  <c r="L32" i="34" s="1"/>
  <c r="G32" i="34"/>
  <c r="M32" i="34" s="1"/>
  <c r="G56" i="34"/>
  <c r="M56" i="34" s="1"/>
  <c r="C21" i="33"/>
  <c r="K56" i="34"/>
  <c r="L56" i="34" s="1"/>
  <c r="K77" i="34"/>
  <c r="L77" i="34" s="1"/>
  <c r="D23" i="33"/>
  <c r="F24" i="33"/>
  <c r="G90" i="34"/>
  <c r="M90" i="34" s="1"/>
  <c r="K90" i="34"/>
  <c r="L90" i="34" s="1"/>
  <c r="F99" i="34"/>
  <c r="D178" i="34"/>
  <c r="C29" i="33"/>
  <c r="G136" i="34"/>
  <c r="M136" i="34" s="1"/>
  <c r="K136" i="34"/>
  <c r="L136" i="34" s="1"/>
  <c r="K149" i="34"/>
  <c r="L149" i="34" s="1"/>
  <c r="E30" i="33"/>
  <c r="G149" i="34"/>
  <c r="M149" i="34" s="1"/>
  <c r="K85" i="34"/>
  <c r="K95" i="34"/>
  <c r="G95" i="34"/>
  <c r="M95" i="34" s="1"/>
  <c r="G102" i="34"/>
  <c r="M102" i="34" s="1"/>
  <c r="G118" i="34"/>
  <c r="M118" i="34" s="1"/>
  <c r="G50" i="34"/>
  <c r="M50" i="34" s="1"/>
  <c r="K17" i="34"/>
  <c r="L17" i="34" s="1"/>
  <c r="D17" i="33"/>
  <c r="G17" i="34"/>
  <c r="M17" i="34" s="1"/>
  <c r="K40" i="34"/>
  <c r="L40" i="34" s="1"/>
  <c r="F19" i="33"/>
  <c r="K48" i="34"/>
  <c r="L48" i="34" s="1"/>
  <c r="G48" i="34"/>
  <c r="M48" i="34" s="1"/>
  <c r="D21" i="33"/>
  <c r="K57" i="34"/>
  <c r="L57" i="34" s="1"/>
  <c r="F100" i="34"/>
  <c r="F179" i="34" s="1"/>
  <c r="Q19" i="33" s="1"/>
  <c r="D179" i="34"/>
  <c r="Q21" i="33" s="1"/>
  <c r="T21" i="33" s="1"/>
  <c r="K141" i="34"/>
  <c r="L141" i="34" s="1"/>
  <c r="G141" i="34"/>
  <c r="M141" i="34" s="1"/>
  <c r="F30" i="33"/>
  <c r="G150" i="34"/>
  <c r="M150" i="34" s="1"/>
  <c r="K150" i="34"/>
  <c r="L150" i="34" s="1"/>
  <c r="B19" i="33"/>
  <c r="K35" i="34"/>
  <c r="G35" i="34"/>
  <c r="M35" i="34" s="1"/>
  <c r="G135" i="34"/>
  <c r="M135" i="34" s="1"/>
  <c r="K65" i="34"/>
  <c r="G65" i="34"/>
  <c r="M65" i="34" s="1"/>
  <c r="G18" i="34"/>
  <c r="M18" i="34" s="1"/>
  <c r="G146" i="34"/>
  <c r="M146" i="34" s="1"/>
  <c r="K60" i="34"/>
  <c r="L60" i="34" s="1"/>
  <c r="K26" i="34"/>
  <c r="L26" i="34" s="1"/>
  <c r="C18" i="33"/>
  <c r="C19" i="33"/>
  <c r="G36" i="34"/>
  <c r="M36" i="34" s="1"/>
  <c r="K36" i="34"/>
  <c r="L36" i="34" s="1"/>
  <c r="D22" i="33"/>
  <c r="G91" i="34"/>
  <c r="M91" i="34" s="1"/>
  <c r="K91" i="34"/>
  <c r="L91" i="34" s="1"/>
  <c r="K111" i="34"/>
  <c r="L111" i="34" s="1"/>
  <c r="G111" i="34"/>
  <c r="M111" i="34" s="1"/>
  <c r="E27" i="33"/>
  <c r="K119" i="34"/>
  <c r="L119" i="34" s="1"/>
  <c r="D29" i="33"/>
  <c r="K137" i="34"/>
  <c r="L137" i="34" s="1"/>
  <c r="F181" i="34"/>
  <c r="K142" i="34"/>
  <c r="L142" i="34" s="1"/>
  <c r="F161" i="34"/>
  <c r="N40" i="1"/>
  <c r="I40" i="1"/>
  <c r="T49" i="10" l="1"/>
  <c r="T74" i="10" s="1"/>
  <c r="R49" i="10"/>
  <c r="R74" i="10" s="1"/>
  <c r="S49" i="10"/>
  <c r="S74" i="10" s="1"/>
  <c r="AE35" i="10"/>
  <c r="AE58" i="10" s="1"/>
  <c r="AE47" i="10"/>
  <c r="AE70" i="10" s="1"/>
  <c r="AE49" i="10"/>
  <c r="AE44" i="10"/>
  <c r="AE67" i="10" s="1"/>
  <c r="X49" i="10"/>
  <c r="X74" i="10" s="1"/>
  <c r="W49" i="10"/>
  <c r="W74" i="10" s="1"/>
  <c r="Y49" i="10"/>
  <c r="Y74" i="10" s="1"/>
  <c r="AE37" i="10"/>
  <c r="AE60" i="10" s="1"/>
  <c r="AE42" i="10"/>
  <c r="AE65" i="10" s="1"/>
  <c r="AE32" i="10"/>
  <c r="AE55" i="10" s="1"/>
  <c r="AE41" i="10"/>
  <c r="AE64" i="10" s="1"/>
  <c r="AE40" i="10"/>
  <c r="AE63" i="10" s="1"/>
  <c r="AE38" i="10"/>
  <c r="AE61" i="10" s="1"/>
  <c r="AE36" i="10"/>
  <c r="AE59" i="10" s="1"/>
  <c r="AE46" i="10"/>
  <c r="AE69" i="10" s="1"/>
  <c r="AA49" i="10"/>
  <c r="AA74" i="10" s="1"/>
  <c r="V49" i="10"/>
  <c r="V74" i="10" s="1"/>
  <c r="J7" i="14"/>
  <c r="K7" i="14"/>
  <c r="J11" i="14"/>
  <c r="K11" i="14"/>
  <c r="D27" i="32"/>
  <c r="M59" i="32"/>
  <c r="E18" i="39" s="1"/>
  <c r="G83" i="32"/>
  <c r="G60" i="32"/>
  <c r="C62" i="8"/>
  <c r="L24" i="32"/>
  <c r="L30" i="32" s="1"/>
  <c r="L35" i="32" s="1"/>
  <c r="B55" i="8"/>
  <c r="E27" i="19"/>
  <c r="F13" i="19"/>
  <c r="H11" i="33"/>
  <c r="J36" i="8"/>
  <c r="I72" i="8" s="1"/>
  <c r="I36" i="8"/>
  <c r="K42" i="8"/>
  <c r="I42" i="8"/>
  <c r="J42" i="8"/>
  <c r="AD24" i="10"/>
  <c r="AE18" i="10" s="1"/>
  <c r="AD25" i="10"/>
  <c r="AF86" i="1"/>
  <c r="I88" i="1"/>
  <c r="I90" i="1" s="1"/>
  <c r="I91" i="1" s="1"/>
  <c r="F7" i="19"/>
  <c r="F16" i="19" s="1"/>
  <c r="E9" i="19"/>
  <c r="E23" i="19" s="1"/>
  <c r="F11" i="18"/>
  <c r="F12" i="18" s="1"/>
  <c r="G12" i="18" s="1"/>
  <c r="H12" i="18" s="1"/>
  <c r="K13" i="34"/>
  <c r="L5" i="34"/>
  <c r="L13" i="34" s="1"/>
  <c r="M13" i="34" s="1"/>
  <c r="AC40" i="1"/>
  <c r="AC42" i="1" s="1"/>
  <c r="K14" i="19"/>
  <c r="K28" i="19" s="1"/>
  <c r="P95" i="1"/>
  <c r="C84" i="6"/>
  <c r="C105" i="6" s="1"/>
  <c r="B113" i="6" s="1"/>
  <c r="K10" i="19" s="1"/>
  <c r="K24" i="19" s="1"/>
  <c r="E15" i="10"/>
  <c r="E17" i="10" s="1"/>
  <c r="Z42" i="1"/>
  <c r="AG82" i="1"/>
  <c r="F10" i="19"/>
  <c r="C60" i="8"/>
  <c r="K36" i="8"/>
  <c r="AC18" i="1"/>
  <c r="AC21" i="1" s="1"/>
  <c r="AA21" i="1"/>
  <c r="AA44" i="1" s="1"/>
  <c r="AA48" i="1" s="1"/>
  <c r="C16" i="19"/>
  <c r="D14" i="19" s="1"/>
  <c r="C131" i="6"/>
  <c r="C136" i="6" s="1"/>
  <c r="AX86" i="1"/>
  <c r="K7" i="19"/>
  <c r="K21" i="19" s="1"/>
  <c r="I74" i="8"/>
  <c r="I81" i="8"/>
  <c r="AA95" i="1"/>
  <c r="AA90" i="1"/>
  <c r="AA91" i="1" s="1"/>
  <c r="E28" i="39"/>
  <c r="F28" i="39" s="1"/>
  <c r="F18" i="39"/>
  <c r="AR88" i="1"/>
  <c r="AT86" i="1"/>
  <c r="J24" i="32"/>
  <c r="J30" i="32" s="1"/>
  <c r="J35" i="32" s="1"/>
  <c r="J37" i="32" s="1"/>
  <c r="B52" i="8"/>
  <c r="I24" i="32"/>
  <c r="I30" i="32" s="1"/>
  <c r="I35" i="32" s="1"/>
  <c r="AK86" i="1"/>
  <c r="AL86" i="1"/>
  <c r="AA42" i="1"/>
  <c r="K63" i="6" s="1"/>
  <c r="D44" i="1"/>
  <c r="D48" i="1" s="1"/>
  <c r="D42" i="1"/>
  <c r="K61" i="6" s="1"/>
  <c r="K11" i="19"/>
  <c r="K25" i="19" s="1"/>
  <c r="K32" i="19" s="1"/>
  <c r="B43" i="8"/>
  <c r="I7" i="33"/>
  <c r="K7" i="33" s="1"/>
  <c r="L7" i="33" s="1"/>
  <c r="H7" i="33"/>
  <c r="K24" i="32"/>
  <c r="K30" i="32" s="1"/>
  <c r="K35" i="32" s="1"/>
  <c r="B54" i="8"/>
  <c r="H15" i="18"/>
  <c r="H24" i="18"/>
  <c r="K9" i="19"/>
  <c r="K23" i="19" s="1"/>
  <c r="AC88" i="1"/>
  <c r="AG86" i="1"/>
  <c r="H14" i="32"/>
  <c r="H15" i="32" s="1"/>
  <c r="T20" i="33"/>
  <c r="T19" i="33"/>
  <c r="L25" i="34"/>
  <c r="L33" i="34" s="1"/>
  <c r="M33" i="34" s="1"/>
  <c r="K33" i="34"/>
  <c r="K83" i="34"/>
  <c r="D184" i="34"/>
  <c r="W21" i="33"/>
  <c r="X21" i="33" s="1"/>
  <c r="I21" i="33"/>
  <c r="L21" i="33" s="1"/>
  <c r="D189" i="34"/>
  <c r="D185" i="34"/>
  <c r="L135" i="34"/>
  <c r="L143" i="34" s="1"/>
  <c r="M143" i="34" s="1"/>
  <c r="K143" i="34"/>
  <c r="L125" i="34"/>
  <c r="L133" i="34" s="1"/>
  <c r="M133" i="34" s="1"/>
  <c r="K133" i="34"/>
  <c r="L83" i="34"/>
  <c r="M83" i="34" s="1"/>
  <c r="F184" i="34"/>
  <c r="G184" i="34" s="1"/>
  <c r="W19" i="33"/>
  <c r="G96" i="34"/>
  <c r="M96" i="34" s="1"/>
  <c r="C25" i="33"/>
  <c r="C32" i="33" s="1"/>
  <c r="F5" i="33" s="1"/>
  <c r="K96" i="34"/>
  <c r="L96" i="34" s="1"/>
  <c r="L65" i="34"/>
  <c r="L73" i="34" s="1"/>
  <c r="M73" i="34" s="1"/>
  <c r="K73" i="34"/>
  <c r="M21" i="33"/>
  <c r="K63" i="34"/>
  <c r="L55" i="34"/>
  <c r="L63" i="34" s="1"/>
  <c r="M63" i="34" s="1"/>
  <c r="F189" i="34"/>
  <c r="I19" i="33"/>
  <c r="L19" i="33" s="1"/>
  <c r="F185" i="34"/>
  <c r="G185" i="34" s="1"/>
  <c r="L116" i="34"/>
  <c r="L123" i="34" s="1"/>
  <c r="M123" i="34" s="1"/>
  <c r="K123" i="34"/>
  <c r="L95" i="34"/>
  <c r="L155" i="34"/>
  <c r="L45" i="34"/>
  <c r="L53" i="34" s="1"/>
  <c r="M53" i="34" s="1"/>
  <c r="K53" i="34"/>
  <c r="K23" i="34"/>
  <c r="D186" i="34"/>
  <c r="P21" i="33"/>
  <c r="L23" i="34"/>
  <c r="M23" i="34" s="1"/>
  <c r="M20" i="33"/>
  <c r="M19" i="33"/>
  <c r="L153" i="34"/>
  <c r="M153" i="34" s="1"/>
  <c r="K161" i="34"/>
  <c r="L161" i="34" s="1"/>
  <c r="G161" i="34"/>
  <c r="M161" i="34" s="1"/>
  <c r="F180" i="34"/>
  <c r="R19" i="33" s="1"/>
  <c r="L35" i="34"/>
  <c r="L43" i="34" s="1"/>
  <c r="M43" i="34" s="1"/>
  <c r="K43" i="34"/>
  <c r="K100" i="34"/>
  <c r="L100" i="34" s="1"/>
  <c r="F25" i="33"/>
  <c r="F32" i="33" s="1"/>
  <c r="F9" i="33" s="1"/>
  <c r="G100" i="34"/>
  <c r="M100" i="34" s="1"/>
  <c r="D32" i="33"/>
  <c r="F6" i="33" s="1"/>
  <c r="K93" i="34"/>
  <c r="L85" i="34"/>
  <c r="L93" i="34" s="1"/>
  <c r="M93" i="34" s="1"/>
  <c r="E25" i="33"/>
  <c r="E32" i="33" s="1"/>
  <c r="F8" i="33" s="1"/>
  <c r="K99" i="34"/>
  <c r="L99" i="34" s="1"/>
  <c r="F178" i="34"/>
  <c r="G99" i="34"/>
  <c r="M99" i="34" s="1"/>
  <c r="B32" i="33"/>
  <c r="F4" i="33" s="1"/>
  <c r="L105" i="34"/>
  <c r="L113" i="34" s="1"/>
  <c r="M113" i="34" s="1"/>
  <c r="K113" i="34"/>
  <c r="K153" i="34"/>
  <c r="N42" i="1"/>
  <c r="B117" i="6" s="1"/>
  <c r="O40" i="1"/>
  <c r="O42" i="1" s="1"/>
  <c r="I42" i="1"/>
  <c r="AD74" i="10" l="1"/>
  <c r="AD49" i="10"/>
  <c r="AE21" i="10"/>
  <c r="AE10" i="10"/>
  <c r="AE7" i="10"/>
  <c r="AE13" i="10"/>
  <c r="AE14" i="10"/>
  <c r="AE22" i="10"/>
  <c r="AE11" i="10"/>
  <c r="AE9" i="10"/>
  <c r="AE8" i="10"/>
  <c r="AE15" i="10"/>
  <c r="AE19" i="10"/>
  <c r="AE12" i="10"/>
  <c r="AE25" i="10"/>
  <c r="AE16" i="10"/>
  <c r="AE20" i="10"/>
  <c r="AE17" i="10"/>
  <c r="I79" i="8"/>
  <c r="L37" i="32"/>
  <c r="L59" i="32"/>
  <c r="I43" i="8"/>
  <c r="J43" i="8"/>
  <c r="H31" i="10"/>
  <c r="I31" i="10" s="1"/>
  <c r="H32" i="10"/>
  <c r="I32" i="10" s="1"/>
  <c r="F9" i="19"/>
  <c r="C51" i="29"/>
  <c r="I30" i="10"/>
  <c r="C50" i="29"/>
  <c r="C52" i="29"/>
  <c r="G11" i="18"/>
  <c r="H11" i="18" s="1"/>
  <c r="H25" i="18" s="1"/>
  <c r="AC44" i="1"/>
  <c r="AC48" i="1" s="1"/>
  <c r="D10" i="19"/>
  <c r="F15" i="10"/>
  <c r="F17" i="10" s="1"/>
  <c r="C91" i="6"/>
  <c r="B84" i="6" s="1"/>
  <c r="D7" i="19"/>
  <c r="D15" i="19"/>
  <c r="D13" i="19"/>
  <c r="D11" i="19"/>
  <c r="D9" i="19"/>
  <c r="K31" i="19"/>
  <c r="J59" i="32"/>
  <c r="E16" i="39" s="1"/>
  <c r="E26" i="39" s="1"/>
  <c r="F26" i="39" s="1"/>
  <c r="AT88" i="1"/>
  <c r="AS88" i="1"/>
  <c r="I59" i="32"/>
  <c r="E15" i="39" s="1"/>
  <c r="I37" i="32"/>
  <c r="P40" i="1"/>
  <c r="P42" i="1" s="1"/>
  <c r="K62" i="6" s="1"/>
  <c r="F25" i="18"/>
  <c r="K43" i="8"/>
  <c r="K37" i="32"/>
  <c r="K59" i="32"/>
  <c r="E17" i="39" s="1"/>
  <c r="C112" i="6"/>
  <c r="AC90" i="1"/>
  <c r="AC91" i="1" s="1"/>
  <c r="AC95" i="1"/>
  <c r="L103" i="34"/>
  <c r="M103" i="34" s="1"/>
  <c r="I8" i="33"/>
  <c r="K8" i="33" s="1"/>
  <c r="L8" i="33" s="1"/>
  <c r="H8" i="33"/>
  <c r="H9" i="33"/>
  <c r="I9" i="33"/>
  <c r="K9" i="33" s="1"/>
  <c r="L9" i="33" s="1"/>
  <c r="I4" i="33"/>
  <c r="K4" i="33" s="1"/>
  <c r="H4" i="33"/>
  <c r="F13" i="33"/>
  <c r="I5" i="33"/>
  <c r="K5" i="33" s="1"/>
  <c r="L5" i="33" s="1"/>
  <c r="H5" i="33"/>
  <c r="P19" i="33"/>
  <c r="F186" i="34"/>
  <c r="G186" i="34" s="1"/>
  <c r="H6" i="33"/>
  <c r="I6" i="33"/>
  <c r="K6" i="33" s="1"/>
  <c r="L6" i="33" s="1"/>
  <c r="K163" i="34"/>
  <c r="L163" i="34"/>
  <c r="K103" i="34"/>
  <c r="X19" i="33"/>
  <c r="X20" i="33"/>
  <c r="B119" i="6"/>
  <c r="C114" i="6" s="1"/>
  <c r="K31" i="10" l="1"/>
  <c r="K42" i="40"/>
  <c r="K32" i="10"/>
  <c r="K43" i="40"/>
  <c r="K30" i="10"/>
  <c r="K41" i="40"/>
  <c r="J32" i="10"/>
  <c r="C53" i="29"/>
  <c r="D50" i="29" s="1"/>
  <c r="I33" i="10"/>
  <c r="I35" i="10" s="1"/>
  <c r="J30" i="10"/>
  <c r="J31" i="10"/>
  <c r="B78" i="6"/>
  <c r="B89" i="6"/>
  <c r="P44" i="1"/>
  <c r="P48" i="1" s="1"/>
  <c r="D16" i="19"/>
  <c r="F16" i="39"/>
  <c r="E25" i="39"/>
  <c r="F25" i="39" s="1"/>
  <c r="F15" i="39"/>
  <c r="I73" i="8"/>
  <c r="I80" i="8"/>
  <c r="I82" i="8" s="1"/>
  <c r="J58" i="8"/>
  <c r="J65" i="8" s="1"/>
  <c r="K58" i="8"/>
  <c r="K65" i="8" s="1"/>
  <c r="E27" i="39"/>
  <c r="F27" i="39" s="1"/>
  <c r="F17" i="39"/>
  <c r="E19" i="39"/>
  <c r="D20" i="39"/>
  <c r="K165" i="34"/>
  <c r="H12" i="33"/>
  <c r="M163" i="34"/>
  <c r="L165" i="34"/>
  <c r="K12" i="33"/>
  <c r="L4" i="33"/>
  <c r="C117" i="6"/>
  <c r="C119" i="6" s="1"/>
  <c r="L61" i="6"/>
  <c r="L63" i="6"/>
  <c r="L62" i="6"/>
  <c r="K64" i="6"/>
  <c r="L43" i="40" l="1"/>
  <c r="K44" i="40"/>
  <c r="L44" i="40" s="1"/>
  <c r="L41" i="40"/>
  <c r="D52" i="29"/>
  <c r="E52" i="29" s="1"/>
  <c r="G52" i="29" s="1"/>
  <c r="L42" i="40"/>
  <c r="M42" i="40"/>
  <c r="D51" i="29"/>
  <c r="E51" i="29" s="1"/>
  <c r="G51" i="29" s="1"/>
  <c r="J90" i="8"/>
  <c r="G84" i="32"/>
  <c r="I75" i="8"/>
  <c r="L73" i="8" s="1"/>
  <c r="I34" i="10"/>
  <c r="J33" i="10"/>
  <c r="B29" i="6" s="1"/>
  <c r="B8" i="14" s="1"/>
  <c r="I9" i="14" s="1"/>
  <c r="J9" i="14" s="1"/>
  <c r="K9" i="14" s="1"/>
  <c r="E50" i="29"/>
  <c r="I36" i="10"/>
  <c r="B91" i="6"/>
  <c r="F19" i="39"/>
  <c r="G15" i="39" s="1"/>
  <c r="F29" i="39"/>
  <c r="G26" i="39" s="1"/>
  <c r="J88" i="8"/>
  <c r="J89" i="8"/>
  <c r="E29" i="39"/>
  <c r="I84" i="8"/>
  <c r="D30" i="39"/>
  <c r="H62" i="6"/>
  <c r="H63" i="6"/>
  <c r="H61" i="6"/>
  <c r="I85" i="8" l="1"/>
  <c r="M41" i="40"/>
  <c r="D53" i="29"/>
  <c r="M43" i="40"/>
  <c r="L72" i="8"/>
  <c r="L74" i="8"/>
  <c r="B31" i="6"/>
  <c r="E62" i="6" s="1"/>
  <c r="B38" i="6"/>
  <c r="F62" i="6" s="1"/>
  <c r="B24" i="6"/>
  <c r="B37" i="6"/>
  <c r="F61" i="6" s="1"/>
  <c r="B30" i="6"/>
  <c r="B23" i="6"/>
  <c r="B39" i="6"/>
  <c r="F63" i="6" s="1"/>
  <c r="B32" i="6"/>
  <c r="E63" i="6" s="1"/>
  <c r="B25" i="6"/>
  <c r="G50" i="29"/>
  <c r="G53" i="29" s="1"/>
  <c r="E53" i="29"/>
  <c r="G27" i="39"/>
  <c r="G28" i="39"/>
  <c r="G16" i="39"/>
  <c r="G17" i="39"/>
  <c r="G25" i="39"/>
  <c r="G18" i="39"/>
  <c r="H88" i="8"/>
  <c r="G61" i="6"/>
  <c r="H65" i="6"/>
  <c r="H90" i="8"/>
  <c r="G63" i="6"/>
  <c r="H64" i="6"/>
  <c r="G62" i="6"/>
  <c r="H89" i="8"/>
  <c r="D24" i="6" l="1"/>
  <c r="D25" i="6"/>
  <c r="F64" i="6"/>
  <c r="D23" i="6"/>
  <c r="E61" i="6"/>
  <c r="F65" i="6"/>
  <c r="B40" i="6"/>
  <c r="B33" i="6"/>
  <c r="E32" i="6"/>
  <c r="D63" i="6"/>
  <c r="B63" i="6" s="1"/>
  <c r="E31" i="6"/>
  <c r="D62" i="6"/>
  <c r="D61" i="6"/>
  <c r="B26" i="6"/>
  <c r="B7" i="14" s="1"/>
  <c r="B46" i="6"/>
  <c r="E64" i="6"/>
  <c r="G29" i="39"/>
  <c r="G19" i="39"/>
  <c r="G64" i="6"/>
  <c r="G65" i="6"/>
  <c r="I8" i="14" l="1"/>
  <c r="D26" i="6"/>
  <c r="B62" i="6"/>
  <c r="D84" i="6" s="1"/>
  <c r="E84" i="6" s="1"/>
  <c r="B96" i="6" s="1"/>
  <c r="D96" i="6" s="1"/>
  <c r="E105" i="6" s="1"/>
  <c r="C106" i="6" s="1"/>
  <c r="D64" i="6"/>
  <c r="B64" i="6" s="1"/>
  <c r="B48" i="6"/>
  <c r="E65" i="6"/>
  <c r="B61" i="6"/>
  <c r="D78" i="6" s="1"/>
  <c r="B10" i="14"/>
  <c r="B12" i="14" s="1"/>
  <c r="B13" i="14" s="1"/>
  <c r="B14" i="14" s="1"/>
  <c r="D65" i="6"/>
  <c r="E30" i="6"/>
  <c r="D33" i="6"/>
  <c r="D38" i="6" s="1"/>
  <c r="D89" i="6"/>
  <c r="E89" i="6" s="1"/>
  <c r="B97" i="6" s="1"/>
  <c r="D97" i="6" s="1"/>
  <c r="E122" i="6" s="1"/>
  <c r="J8" i="14" l="1"/>
  <c r="J13" i="14" s="1"/>
  <c r="I13" i="14"/>
  <c r="D34" i="6"/>
  <c r="B65" i="6"/>
  <c r="D123" i="6"/>
  <c r="C10" i="8"/>
  <c r="D125" i="6"/>
  <c r="E125" i="6" s="1"/>
  <c r="B66" i="6"/>
  <c r="B49" i="6"/>
  <c r="AE71" i="10"/>
  <c r="D106" i="6"/>
  <c r="C9" i="8"/>
  <c r="F9" i="8" s="1"/>
  <c r="D108" i="6"/>
  <c r="E108" i="6" s="1"/>
  <c r="E78" i="6"/>
  <c r="B95" i="6" s="1"/>
  <c r="D95" i="6" s="1"/>
  <c r="C8" i="8" s="1"/>
  <c r="D91" i="6"/>
  <c r="E91" i="6" s="1"/>
  <c r="B98" i="6" s="1"/>
  <c r="D98" i="6" s="1"/>
  <c r="X75" i="10" l="1"/>
  <c r="Y75" i="10"/>
  <c r="Z75" i="10"/>
  <c r="AB75" i="10"/>
  <c r="R75" i="10"/>
  <c r="R55" i="10" s="1"/>
  <c r="AC75" i="10"/>
  <c r="T75" i="10"/>
  <c r="V75" i="10"/>
  <c r="U75" i="10"/>
  <c r="S75" i="10"/>
  <c r="W75" i="10"/>
  <c r="AA75" i="10"/>
  <c r="K13" i="14"/>
  <c r="K8" i="14"/>
  <c r="F10" i="8"/>
  <c r="E29" i="32"/>
  <c r="E30" i="32" s="1"/>
  <c r="E35" i="32" s="1"/>
  <c r="E37" i="32" s="1"/>
  <c r="E67" i="32" s="1"/>
  <c r="E68" i="32" s="1"/>
  <c r="D38" i="8"/>
  <c r="E38" i="8" s="1"/>
  <c r="D126" i="6"/>
  <c r="D131" i="6" s="1"/>
  <c r="E130" i="6" s="1"/>
  <c r="C16" i="8" s="1"/>
  <c r="P13" i="19"/>
  <c r="P27" i="19" s="1"/>
  <c r="G20" i="28"/>
  <c r="G21" i="28" s="1"/>
  <c r="B50" i="6"/>
  <c r="D109" i="6"/>
  <c r="D117" i="6" s="1"/>
  <c r="E116" i="6" s="1"/>
  <c r="C14" i="8" s="1"/>
  <c r="P11" i="19" s="1"/>
  <c r="I66" i="8"/>
  <c r="D37" i="8"/>
  <c r="I168" i="34"/>
  <c r="C19" i="8"/>
  <c r="D6" i="39"/>
  <c r="C29" i="32"/>
  <c r="C30" i="32" s="1"/>
  <c r="C35" i="32" s="1"/>
  <c r="P9" i="19"/>
  <c r="P23" i="19" s="1"/>
  <c r="K66" i="8"/>
  <c r="K67" i="8" s="1"/>
  <c r="K68" i="8" s="1"/>
  <c r="K61" i="8"/>
  <c r="J61" i="8"/>
  <c r="J66" i="8"/>
  <c r="J67" i="8" s="1"/>
  <c r="J68" i="8" s="1"/>
  <c r="I167" i="34"/>
  <c r="D5" i="39"/>
  <c r="B29" i="32"/>
  <c r="B30" i="32" s="1"/>
  <c r="B35" i="32" s="1"/>
  <c r="F8" i="8"/>
  <c r="D36" i="8"/>
  <c r="P7" i="19"/>
  <c r="E69" i="32" l="1"/>
  <c r="E72" i="32" s="1"/>
  <c r="E70" i="32"/>
  <c r="E59" i="32"/>
  <c r="D134" i="6"/>
  <c r="E133" i="6" s="1"/>
  <c r="C17" i="8" s="1"/>
  <c r="P15" i="19" s="1"/>
  <c r="P29" i="19" s="1"/>
  <c r="D32" i="32"/>
  <c r="D33" i="32" s="1"/>
  <c r="D114" i="6"/>
  <c r="D119" i="6" s="1"/>
  <c r="V61" i="10"/>
  <c r="V64" i="10"/>
  <c r="V59" i="10"/>
  <c r="V56" i="10"/>
  <c r="V55" i="10"/>
  <c r="V67" i="10"/>
  <c r="V70" i="10"/>
  <c r="V63" i="10"/>
  <c r="V68" i="10"/>
  <c r="V58" i="10"/>
  <c r="V66" i="10"/>
  <c r="V60" i="10"/>
  <c r="V62" i="10"/>
  <c r="V65" i="10"/>
  <c r="V69" i="10"/>
  <c r="V57" i="10"/>
  <c r="B52" i="6"/>
  <c r="D11" i="39" s="1"/>
  <c r="D21" i="39" s="1"/>
  <c r="I7" i="19"/>
  <c r="C28" i="8"/>
  <c r="F28" i="8" s="1"/>
  <c r="X58" i="10"/>
  <c r="X67" i="10"/>
  <c r="X64" i="10"/>
  <c r="X63" i="10"/>
  <c r="X56" i="10"/>
  <c r="X66" i="10"/>
  <c r="X65" i="10"/>
  <c r="X62" i="10"/>
  <c r="X70" i="10"/>
  <c r="X57" i="10"/>
  <c r="X69" i="10"/>
  <c r="X68" i="10"/>
  <c r="X59" i="10"/>
  <c r="X60" i="10"/>
  <c r="X61" i="10"/>
  <c r="X55" i="10"/>
  <c r="U65" i="10"/>
  <c r="U62" i="10"/>
  <c r="U63" i="10"/>
  <c r="U64" i="10"/>
  <c r="U68" i="10"/>
  <c r="U66" i="10"/>
  <c r="U55" i="10"/>
  <c r="U57" i="10"/>
  <c r="U56" i="10"/>
  <c r="U60" i="10"/>
  <c r="U58" i="10"/>
  <c r="U67" i="10"/>
  <c r="U61" i="10"/>
  <c r="U70" i="10"/>
  <c r="U69" i="10"/>
  <c r="U59" i="10"/>
  <c r="AA61" i="10"/>
  <c r="AA62" i="10"/>
  <c r="AA55" i="10"/>
  <c r="AA70" i="10"/>
  <c r="AA60" i="10"/>
  <c r="AA56" i="10"/>
  <c r="AA65" i="10"/>
  <c r="AA57" i="10"/>
  <c r="AA68" i="10"/>
  <c r="AA58" i="10"/>
  <c r="AA63" i="10"/>
  <c r="AA59" i="10"/>
  <c r="AA67" i="10"/>
  <c r="AA66" i="10"/>
  <c r="AA64" i="10"/>
  <c r="AA69" i="10"/>
  <c r="Y61" i="10"/>
  <c r="Y66" i="10"/>
  <c r="Y58" i="10"/>
  <c r="Y67" i="10"/>
  <c r="Y57" i="10"/>
  <c r="Y63" i="10"/>
  <c r="Y59" i="10"/>
  <c r="Y62" i="10"/>
  <c r="Y68" i="10"/>
  <c r="Y65" i="10"/>
  <c r="Y60" i="10"/>
  <c r="Y69" i="10"/>
  <c r="Y64" i="10"/>
  <c r="Y55" i="10"/>
  <c r="Y70" i="10"/>
  <c r="Y56" i="10"/>
  <c r="Z70" i="10"/>
  <c r="Z65" i="10"/>
  <c r="Z56" i="10"/>
  <c r="Z55" i="10"/>
  <c r="Z59" i="10"/>
  <c r="Z61" i="10"/>
  <c r="Z67" i="10"/>
  <c r="Z60" i="10"/>
  <c r="Z64" i="10"/>
  <c r="Z69" i="10"/>
  <c r="Z68" i="10"/>
  <c r="Z57" i="10"/>
  <c r="Z62" i="10"/>
  <c r="Z58" i="10"/>
  <c r="Z63" i="10"/>
  <c r="Z66" i="10"/>
  <c r="T65" i="10"/>
  <c r="T57" i="10"/>
  <c r="T70" i="10"/>
  <c r="T67" i="10"/>
  <c r="T62" i="10"/>
  <c r="T58" i="10"/>
  <c r="T59" i="10"/>
  <c r="T60" i="10"/>
  <c r="T55" i="10"/>
  <c r="T69" i="10"/>
  <c r="T56" i="10"/>
  <c r="T61" i="10"/>
  <c r="T63" i="10"/>
  <c r="T64" i="10"/>
  <c r="T68" i="10"/>
  <c r="T66" i="10"/>
  <c r="W64" i="10"/>
  <c r="W57" i="10"/>
  <c r="W70" i="10"/>
  <c r="W68" i="10"/>
  <c r="W55" i="10"/>
  <c r="W58" i="10"/>
  <c r="W67" i="10"/>
  <c r="W63" i="10"/>
  <c r="W65" i="10"/>
  <c r="W66" i="10"/>
  <c r="W60" i="10"/>
  <c r="W56" i="10"/>
  <c r="W59" i="10"/>
  <c r="W61" i="10"/>
  <c r="W62" i="10"/>
  <c r="W69" i="10"/>
  <c r="S63" i="10"/>
  <c r="S68" i="10"/>
  <c r="S64" i="10"/>
  <c r="S62" i="10"/>
  <c r="S70" i="10"/>
  <c r="S60" i="10"/>
  <c r="S65" i="10"/>
  <c r="S58" i="10"/>
  <c r="S57" i="10"/>
  <c r="S55" i="10"/>
  <c r="S56" i="10"/>
  <c r="S61" i="10"/>
  <c r="S66" i="10"/>
  <c r="S59" i="10"/>
  <c r="S69" i="10"/>
  <c r="S67" i="10"/>
  <c r="R59" i="10"/>
  <c r="R62" i="10"/>
  <c r="R57" i="10"/>
  <c r="R58" i="10"/>
  <c r="R63" i="10"/>
  <c r="R69" i="10"/>
  <c r="R61" i="10"/>
  <c r="R68" i="10"/>
  <c r="R67" i="10"/>
  <c r="R66" i="10"/>
  <c r="R56" i="10"/>
  <c r="R65" i="10"/>
  <c r="R70" i="10"/>
  <c r="R64" i="10"/>
  <c r="R60" i="10"/>
  <c r="AB67" i="10"/>
  <c r="AB61" i="10"/>
  <c r="AB66" i="10"/>
  <c r="AB64" i="10"/>
  <c r="AB55" i="10"/>
  <c r="AB65" i="10"/>
  <c r="AB56" i="10"/>
  <c r="AB63" i="10"/>
  <c r="AB59" i="10"/>
  <c r="AB58" i="10"/>
  <c r="AB60" i="10"/>
  <c r="AB57" i="10"/>
  <c r="AB70" i="10"/>
  <c r="AB62" i="10"/>
  <c r="AB69" i="10"/>
  <c r="AB68" i="10"/>
  <c r="AC58" i="10"/>
  <c r="AC57" i="10"/>
  <c r="AC59" i="10"/>
  <c r="AC70" i="10"/>
  <c r="AC60" i="10"/>
  <c r="AC66" i="10"/>
  <c r="AC64" i="10"/>
  <c r="AC61" i="10"/>
  <c r="AC69" i="10"/>
  <c r="AC68" i="10"/>
  <c r="AC62" i="10"/>
  <c r="AC67" i="10"/>
  <c r="AC56" i="10"/>
  <c r="AC63" i="10"/>
  <c r="AC65" i="10"/>
  <c r="AC55" i="10"/>
  <c r="D43" i="8"/>
  <c r="F14" i="8"/>
  <c r="P25" i="19"/>
  <c r="C37" i="32"/>
  <c r="C67" i="32" s="1"/>
  <c r="C68" i="32" s="1"/>
  <c r="C59" i="32"/>
  <c r="E37" i="8"/>
  <c r="D49" i="8"/>
  <c r="F19" i="8"/>
  <c r="K62" i="8"/>
  <c r="B59" i="32"/>
  <c r="B37" i="32"/>
  <c r="B67" i="32" s="1"/>
  <c r="B68" i="32" s="1"/>
  <c r="D45" i="8"/>
  <c r="D8" i="39"/>
  <c r="F29" i="32"/>
  <c r="F30" i="32" s="1"/>
  <c r="F35" i="32" s="1"/>
  <c r="F16" i="8"/>
  <c r="P14" i="19"/>
  <c r="P21" i="19"/>
  <c r="C25" i="8"/>
  <c r="D55" i="8" s="1"/>
  <c r="E55" i="8" s="1"/>
  <c r="E36" i="8"/>
  <c r="E113" i="6" l="1"/>
  <c r="C13" i="8" s="1"/>
  <c r="D7" i="39" s="1"/>
  <c r="D9" i="39" s="1"/>
  <c r="C69" i="32"/>
  <c r="C72" i="32" s="1"/>
  <c r="C70" i="32"/>
  <c r="B69" i="32"/>
  <c r="B72" i="32" s="1"/>
  <c r="B70" i="32"/>
  <c r="F17" i="8"/>
  <c r="D46" i="8"/>
  <c r="E46" i="8" s="1"/>
  <c r="F32" i="32"/>
  <c r="F33" i="32" s="1"/>
  <c r="D136" i="6"/>
  <c r="AD68" i="10"/>
  <c r="Y71" i="10"/>
  <c r="AB71" i="10"/>
  <c r="AD65" i="10"/>
  <c r="AD58" i="10"/>
  <c r="AD56" i="10"/>
  <c r="AD57" i="10"/>
  <c r="Z71" i="10"/>
  <c r="W71" i="10"/>
  <c r="D31" i="39"/>
  <c r="D32" i="39" s="1"/>
  <c r="D22" i="39"/>
  <c r="AD66" i="10"/>
  <c r="R71" i="10"/>
  <c r="AD55" i="10"/>
  <c r="AD67" i="10"/>
  <c r="AD62" i="10"/>
  <c r="S71" i="10"/>
  <c r="AA71" i="10"/>
  <c r="T71" i="10"/>
  <c r="AC71" i="10"/>
  <c r="AD60" i="10"/>
  <c r="AD61" i="10"/>
  <c r="V71" i="10"/>
  <c r="AD64" i="10"/>
  <c r="AD69" i="10"/>
  <c r="X71" i="10"/>
  <c r="AD59" i="10"/>
  <c r="AD70" i="10"/>
  <c r="AD63" i="10"/>
  <c r="U71" i="10"/>
  <c r="J7" i="19"/>
  <c r="J9" i="19"/>
  <c r="L9" i="19" s="1"/>
  <c r="Q9" i="19" s="1"/>
  <c r="J15" i="19"/>
  <c r="L15" i="19" s="1"/>
  <c r="Q15" i="19" s="1"/>
  <c r="J14" i="19"/>
  <c r="L14" i="19" s="1"/>
  <c r="Q14" i="19" s="1"/>
  <c r="I21" i="19"/>
  <c r="J13" i="19"/>
  <c r="L13" i="19" s="1"/>
  <c r="Q13" i="19" s="1"/>
  <c r="J11" i="19"/>
  <c r="L11" i="19" s="1"/>
  <c r="Q11" i="19" s="1"/>
  <c r="J10" i="19"/>
  <c r="L10" i="19" s="1"/>
  <c r="E43" i="8"/>
  <c r="E49" i="8"/>
  <c r="E6" i="39"/>
  <c r="F6" i="39" s="1"/>
  <c r="C23" i="8"/>
  <c r="D53" i="8" s="1"/>
  <c r="E53" i="8" s="1"/>
  <c r="E45" i="8"/>
  <c r="C22" i="8"/>
  <c r="D52" i="8" s="1"/>
  <c r="E52" i="8" s="1"/>
  <c r="E5" i="39"/>
  <c r="H72" i="8"/>
  <c r="P28" i="19"/>
  <c r="F25" i="8"/>
  <c r="F59" i="32"/>
  <c r="F37" i="32"/>
  <c r="F67" i="32" s="1"/>
  <c r="F68" i="32" s="1"/>
  <c r="F13" i="8" l="1"/>
  <c r="P10" i="19"/>
  <c r="P24" i="19" s="1"/>
  <c r="D42" i="8"/>
  <c r="E42" i="8" s="1"/>
  <c r="D29" i="32"/>
  <c r="D30" i="32" s="1"/>
  <c r="D35" i="32" s="1"/>
  <c r="D37" i="32" s="1"/>
  <c r="C24" i="8" s="1"/>
  <c r="AD75" i="10"/>
  <c r="F69" i="32"/>
  <c r="F72" i="32" s="1"/>
  <c r="F70" i="32"/>
  <c r="J21" i="19"/>
  <c r="J27" i="19"/>
  <c r="J25" i="19"/>
  <c r="J24" i="19"/>
  <c r="J23" i="19"/>
  <c r="J28" i="19"/>
  <c r="J29" i="19"/>
  <c r="L7" i="19"/>
  <c r="Q7" i="19" s="1"/>
  <c r="J16" i="19"/>
  <c r="AD71" i="10"/>
  <c r="F23" i="8"/>
  <c r="H80" i="8"/>
  <c r="J72" i="8"/>
  <c r="F5" i="39"/>
  <c r="F22" i="8"/>
  <c r="C26" i="8"/>
  <c r="D56" i="8" s="1"/>
  <c r="E56" i="8" s="1"/>
  <c r="E8" i="39"/>
  <c r="F8" i="39" s="1"/>
  <c r="H79" i="8"/>
  <c r="D67" i="32" l="1"/>
  <c r="D68" i="32" s="1"/>
  <c r="D54" i="8"/>
  <c r="E54" i="8" s="1"/>
  <c r="F24" i="8"/>
  <c r="Q10" i="19"/>
  <c r="D59" i="32"/>
  <c r="E7" i="39" s="1"/>
  <c r="F7" i="39" s="1"/>
  <c r="F9" i="39" s="1"/>
  <c r="G5" i="39" s="1"/>
  <c r="D69" i="32"/>
  <c r="D72" i="32" s="1"/>
  <c r="G72" i="32" s="1"/>
  <c r="G73" i="32" s="1"/>
  <c r="D70" i="32"/>
  <c r="G59" i="32"/>
  <c r="J80" i="8"/>
  <c r="L29" i="19"/>
  <c r="Q29" i="19" s="1"/>
  <c r="S29" i="19"/>
  <c r="S28" i="19"/>
  <c r="L28" i="19"/>
  <c r="Q28" i="19" s="1"/>
  <c r="L23" i="19"/>
  <c r="Q23" i="19" s="1"/>
  <c r="S23" i="19"/>
  <c r="L24" i="19"/>
  <c r="Q24" i="19" s="1"/>
  <c r="S24" i="19"/>
  <c r="S25" i="19"/>
  <c r="L25" i="19"/>
  <c r="Q25" i="19" s="1"/>
  <c r="S27" i="19"/>
  <c r="L27" i="19"/>
  <c r="Q27" i="19" s="1"/>
  <c r="J30" i="19"/>
  <c r="L21" i="19"/>
  <c r="H73" i="8"/>
  <c r="I58" i="8"/>
  <c r="I65" i="8" s="1"/>
  <c r="H74" i="8"/>
  <c r="H81" i="8"/>
  <c r="F26" i="8"/>
  <c r="J79" i="8"/>
  <c r="D10" i="39" l="1"/>
  <c r="D12" i="39" s="1"/>
  <c r="E9" i="39"/>
  <c r="G61" i="32"/>
  <c r="S21" i="19"/>
  <c r="T21" i="19" s="1"/>
  <c r="Q21" i="19"/>
  <c r="J73" i="8"/>
  <c r="I61" i="8"/>
  <c r="J81" i="8"/>
  <c r="J82" i="8" s="1"/>
  <c r="H75" i="8"/>
  <c r="J74" i="8"/>
  <c r="G8" i="39"/>
  <c r="H82" i="8"/>
  <c r="I90" i="8" s="1"/>
  <c r="B53" i="6"/>
  <c r="I67" i="8"/>
  <c r="I68" i="8" s="1"/>
  <c r="G7" i="39"/>
  <c r="G6" i="39"/>
  <c r="H85" i="8" l="1"/>
  <c r="K72" i="8"/>
  <c r="K74" i="8"/>
  <c r="K73" i="8"/>
  <c r="T25" i="19"/>
  <c r="V25" i="19" s="1"/>
  <c r="W25" i="19" s="1"/>
  <c r="T23" i="19"/>
  <c r="V23" i="19" s="1"/>
  <c r="W23" i="19" s="1"/>
  <c r="T27" i="19"/>
  <c r="V27" i="19" s="1"/>
  <c r="W27" i="19" s="1"/>
  <c r="T29" i="19"/>
  <c r="V29" i="19" s="1"/>
  <c r="W29" i="19" s="1"/>
  <c r="T28" i="19"/>
  <c r="V28" i="19" s="1"/>
  <c r="W28" i="19" s="1"/>
  <c r="T24" i="19"/>
  <c r="V24" i="19" s="1"/>
  <c r="W24" i="19" s="1"/>
  <c r="V21" i="19"/>
  <c r="W21" i="19" s="1"/>
  <c r="J75" i="8"/>
  <c r="I89" i="8"/>
  <c r="H84" i="8"/>
  <c r="I88" i="8"/>
  <c r="G9" i="3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tc={868A9134-91CA-4557-8B61-E80A7705F4BF}</author>
    <author>tc={26F91F11-45C1-4611-8CFC-339B058E0202}</author>
  </authors>
  <commentList>
    <comment ref="C307" authorId="0" shapeId="0" xr:uid="{868A9134-91CA-4557-8B61-E80A7705F4BF}">
      <text>
        <t>[Threaded comment]
Your version of Excel allows you to read this threaded comment; however, any edits to it will get removed if the file is opened in a newer version of Excel. Learn more: https://go.microsoft.com/fwlink/?linkid=870924
Comment:
    used avg for Jan-Aug of 314 kWh per kW</t>
      </text>
    </comment>
    <comment ref="C462" authorId="1" shapeId="0" xr:uid="{26F91F11-45C1-4611-8CFC-339B058E0202}">
      <text>
        <t>[Threaded comment]
Your version of Excel allows you to read this threaded comment; however, any edits to it will get removed if the file is opened in a newer version of Excel. Learn more: https://go.microsoft.com/fwlink/?linkid=870924
Comment:
    used avg for year of 414-was 43,179</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AB21" authorId="0" shapeId="0" xr:uid="{E262159C-C0FB-4E02-9B2C-F4205EC9AF33}">
      <text>
        <r>
          <rPr>
            <b/>
            <sz val="9"/>
            <color indexed="81"/>
            <rFont val="Tahoma"/>
            <family val="2"/>
          </rPr>
          <t>Jim Massie:</t>
        </r>
        <r>
          <rPr>
            <sz val="9"/>
            <color indexed="81"/>
            <rFont val="Tahoma"/>
            <family val="2"/>
          </rPr>
          <t xml:space="preserve">
don't know what this is</t>
        </r>
      </text>
    </comment>
    <comment ref="AB92" authorId="0" shapeId="0" xr:uid="{D5321175-BA41-47CD-8E02-547B40C2BAAA}">
      <text>
        <r>
          <rPr>
            <b/>
            <sz val="9"/>
            <color indexed="81"/>
            <rFont val="Tahoma"/>
            <family val="2"/>
          </rPr>
          <t>Jim Massie:</t>
        </r>
        <r>
          <rPr>
            <sz val="9"/>
            <color indexed="81"/>
            <rFont val="Tahoma"/>
            <family val="2"/>
          </rPr>
          <t xml:space="preserve">
don't know what this is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tc={07AA3CDE-CB2F-437B-8421-C5FAFF525D64}</author>
    <author>tc={26EC4265-FBA1-4E70-9232-E156E12E32CE}</author>
    <author>tc={663756CD-0A18-472F-86CD-F5FE52054AAD}</author>
    <author>tc={DA6114A6-5E8F-492D-AC33-C3583266B590}</author>
    <author>tc={AED677AC-7D3D-4DB5-8B1C-DF9D741B05B9}</author>
    <author>tc={BD4D1D35-8998-49E1-B622-F5602FDD0FBE}</author>
    <author>tc={33862F5D-8FAD-4EC8-AE90-950568F307AC}</author>
    <author>tc={D18E1813-7897-42FB-B839-6D78B9373FF0}</author>
    <author>tc={5141933A-1AB7-4CE6-AEA0-01D6286E99BE}</author>
    <author>tc={7CA308B6-9D89-4E3F-BD7D-B09AE46DFC5B}</author>
    <author>tc={90A6E416-52C7-4570-8A72-665F59C1DCC8}</author>
    <author>tc={BC0BBC28-99E6-4CB8-8A80-87136F0FEB44}</author>
    <author>tc={C7FDAA8E-8B05-4C21-91D6-D553076F1406}</author>
    <author>tc={01C5C1D9-8864-4FA4-AE4B-3F93B399192A}</author>
    <author>tc={C75564B9-CD00-4F32-8125-E221AF780965}</author>
    <author>tc={3822F3EF-DA15-4243-A66A-6FA0D8F94D0B}</author>
    <author>tc={D62E2E5E-1B44-4BF2-B6F1-728E5B926BC3}</author>
    <author>tc={98FC8D9B-FCCE-4D65-86B3-524F39FDF764}</author>
    <author>tc={0E5B8539-2491-4F06-A3C9-61B96D6CC512}</author>
    <author>tc={057F44B8-0028-470E-BD35-FACF6BE497F5}</author>
    <author>Jim Massie</author>
    <author>tc={4538DF33-B21A-4E47-8040-D3E7D2BB75EE}</author>
    <author>tc={D4B9D00E-6D5C-4C17-AEFA-7F5A822DB61D}</author>
    <author>tc={0499CB0F-A7C9-40FC-B4CB-8531084A45CB}</author>
    <author>tc={67C50C4E-AF8B-403C-ADB8-427643B6FF3E}</author>
    <author>tc={36A54696-79E8-49AD-85DB-47FCA16696CD}</author>
    <author>tc={09CD6754-8A8A-49A3-9BA5-C218C1E3F450}</author>
    <author>tc={F90185D3-2FD1-493D-8A08-767A752C18A6}</author>
    <author>tc={82C2BD71-4C3B-40C7-8619-4A04B6EEF03E}</author>
    <author>tc={41A9BEE9-5407-4117-9BF1-5C079C65457E}</author>
    <author>tc={B30C901A-5DA1-4646-852D-E26BA3A8FBFB}</author>
    <author>tc={5A7FF280-D3C7-440D-B95A-8977E7BD1E4C}</author>
    <author>tc={A53EECAC-24B9-4A17-A1D2-3EE3300F6E3D}</author>
    <author>tc={7B237E95-277E-4F50-BBB1-8AC0A37E2692}</author>
    <author>tc={EDED3CEE-6E4B-4B1E-8926-5905E111F6DA}</author>
    <author>tc={405FAA49-BA95-46B7-B0F6-80F424668779}</author>
    <author>tc={5033FF4B-EA94-477C-BF8D-D690D1A6E1CA}</author>
    <author>tc={664D300B-D350-4BC6-8CD6-EC22319DE769}</author>
    <author>tc={13910550-23F8-41C6-A868-80318993B607}</author>
  </authors>
  <commentList>
    <comment ref="A24" authorId="0" shapeId="0" xr:uid="{07AA3CDE-CB2F-437B-8421-C5FAFF525D64}">
      <text>
        <t>[Threaded comment]
Your version of Excel allows you to read this threaded comment; however, any edits to it will get removed if the file is opened in a newer version of Excel. Learn more: https://go.microsoft.com/fwlink/?linkid=870924
Comment:
    per 8/1 filing</t>
      </text>
    </comment>
    <comment ref="A25" authorId="1" shapeId="0" xr:uid="{26EC4265-FBA1-4E70-9232-E156E12E32CE}">
      <text>
        <t>[Threaded comment]
Your version of Excel allows you to read this threaded comment; however, any edits to it will get removed if the file is opened in a newer version of Excel. Learn more: https://go.microsoft.com/fwlink/?linkid=870924
Comment:
    per 8/1 filing</t>
      </text>
    </comment>
    <comment ref="A26" authorId="2" shapeId="0" xr:uid="{663756CD-0A18-472F-86CD-F5FE52054AAD}">
      <text>
        <t>[Threaded comment]
Your version of Excel allows you to read this threaded comment; however, any edits to it will get removed if the file is opened in a newer version of Excel. Learn more: https://go.microsoft.com/fwlink/?linkid=870924
Comment:
    per 8/1 filing</t>
      </text>
    </comment>
    <comment ref="A27" authorId="3" shapeId="0" xr:uid="{DA6114A6-5E8F-492D-AC33-C3583266B590}">
      <text>
        <t>[Threaded comment]
Your version of Excel allows you to read this threaded comment; however, any edits to it will get removed if the file is opened in a newer version of Excel. Learn more: https://go.microsoft.com/fwlink/?linkid=870924
Comment:
    per 8/1 filing</t>
      </text>
    </comment>
    <comment ref="A28" authorId="4" shapeId="0" xr:uid="{AED677AC-7D3D-4DB5-8B1C-DF9D741B05B9}">
      <text>
        <t>[Threaded comment]
Your version of Excel allows you to read this threaded comment; however, any edits to it will get removed if the file is opened in a newer version of Excel. Learn more: https://go.microsoft.com/fwlink/?linkid=870924
Comment:
    per 8/01 filing</t>
      </text>
    </comment>
    <comment ref="A29" authorId="5" shapeId="0" xr:uid="{BD4D1D35-8998-49E1-B622-F5602FDD0FBE}">
      <text>
        <t>[Threaded comment]
Your version of Excel allows you to read this threaded comment; however, any edits to it will get removed if the file is opened in a newer version of Excel. Learn more: https://go.microsoft.com/fwlink/?linkid=870924
Comment:
    per 8/1 filing</t>
      </text>
    </comment>
    <comment ref="A30" authorId="6" shapeId="0" xr:uid="{33862F5D-8FAD-4EC8-AE90-950568F307AC}">
      <text>
        <t>[Threaded comment]
Your version of Excel allows you to read this threaded comment; however, any edits to it will get removed if the file is opened in a newer version of Excel. Learn more: https://go.microsoft.com/fwlink/?linkid=870924
Comment:
    per 8/1 filing</t>
      </text>
    </comment>
    <comment ref="A31" authorId="7" shapeId="0" xr:uid="{D18E1813-7897-42FB-B839-6D78B9373FF0}">
      <text>
        <t>[Threaded comment]
Your version of Excel allows you to read this threaded comment; however, any edits to it will get removed if the file is opened in a newer version of Excel. Learn more: https://go.microsoft.com/fwlink/?linkid=870924
Comment:
    per 8/1 filing</t>
      </text>
    </comment>
    <comment ref="A32" authorId="8" shapeId="0" xr:uid="{5141933A-1AB7-4CE6-AEA0-01D6286E99BE}">
      <text>
        <t>[Threaded comment]
Your version of Excel allows you to read this threaded comment; however, any edits to it will get removed if the file is opened in a newer version of Excel. Learn more: https://go.microsoft.com/fwlink/?linkid=870924
Comment:
    per 8/1 filing</t>
      </text>
    </comment>
    <comment ref="A33" authorId="9" shapeId="0" xr:uid="{7CA308B6-9D89-4E3F-BD7D-B09AE46DFC5B}">
      <text>
        <t>[Threaded comment]
Your version of Excel allows you to read this threaded comment; however, any edits to it will get removed if the file is opened in a newer version of Excel. Learn more: https://go.microsoft.com/fwlink/?linkid=870924
Comment:
    per 8/1 filing</t>
      </text>
    </comment>
    <comment ref="A34" authorId="10" shapeId="0" xr:uid="{90A6E416-52C7-4570-8A72-665F59C1DCC8}">
      <text>
        <t>[Threaded comment]
Your version of Excel allows you to read this threaded comment; however, any edits to it will get removed if the file is opened in a newer version of Excel. Learn more: https://go.microsoft.com/fwlink/?linkid=870924
Comment:
    per 8/1 filing</t>
      </text>
    </comment>
    <comment ref="A35" authorId="11" shapeId="0" xr:uid="{BC0BBC28-99E6-4CB8-8A80-87136F0FEB44}">
      <text>
        <t>[Threaded comment]
Your version of Excel allows you to read this threaded comment; however, any edits to it will get removed if the file is opened in a newer version of Excel. Learn more: https://go.microsoft.com/fwlink/?linkid=870924
Comment:
    per 8/1 filing</t>
      </text>
    </comment>
    <comment ref="A36" authorId="12" shapeId="0" xr:uid="{C7FDAA8E-8B05-4C21-91D6-D553076F1406}">
      <text>
        <t>[Threaded comment]
Your version of Excel allows you to read this threaded comment; however, any edits to it will get removed if the file is opened in a newer version of Excel. Learn more: https://go.microsoft.com/fwlink/?linkid=870924
Comment:
    per 8/1 filing</t>
      </text>
    </comment>
    <comment ref="A37" authorId="13" shapeId="0" xr:uid="{01C5C1D9-8864-4FA4-AE4B-3F93B399192A}">
      <text>
        <t>[Threaded comment]
Your version of Excel allows you to read this threaded comment; however, any edits to it will get removed if the file is opened in a newer version of Excel. Learn more: https://go.microsoft.com/fwlink/?linkid=870924
Comment:
    per 8/1 filing</t>
      </text>
    </comment>
    <comment ref="A38" authorId="14" shapeId="0" xr:uid="{C75564B9-CD00-4F32-8125-E221AF780965}">
      <text>
        <t>[Threaded comment]
Your version of Excel allows you to read this threaded comment; however, any edits to it will get removed if the file is opened in a newer version of Excel. Learn more: https://go.microsoft.com/fwlink/?linkid=870924
Comment:
    filed on 8/1</t>
      </text>
    </comment>
    <comment ref="A39" authorId="15" shapeId="0" xr:uid="{3822F3EF-DA15-4243-A66A-6FA0D8F94D0B}">
      <text>
        <t>[Threaded comment]
Your version of Excel allows you to read this threaded comment; however, any edits to it will get removed if the file is opened in a newer version of Excel. Learn more: https://go.microsoft.com/fwlink/?linkid=870924
Comment:
    per 8/1 filing</t>
      </text>
    </comment>
    <comment ref="AE69" authorId="16" shapeId="0" xr:uid="{D62E2E5E-1B44-4BF2-B6F1-728E5B926BC3}">
      <text>
        <t>[Threaded comment]
Your version of Excel allows you to read this threaded comment; however, any edits to it will get removed if the file is opened in a newer version of Excel. Learn more: https://go.microsoft.com/fwlink/?linkid=870924
Comment:
    includes an estimate of net metering data</t>
      </text>
    </comment>
    <comment ref="A70" authorId="17" shapeId="0" xr:uid="{98FC8D9B-FCCE-4D65-86B3-524F39FDF764}">
      <text>
        <t>[Threaded comment]
Your version of Excel allows you to read this threaded comment; however, any edits to it will get removed if the file is opened in a newer version of Excel. Learn more: https://go.microsoft.com/fwlink/?linkid=870924
Comment:
    per 8/1 filing</t>
      </text>
    </comment>
    <comment ref="A71" authorId="18" shapeId="0" xr:uid="{0E5B8539-2491-4F06-A3C9-61B96D6CC512}">
      <text>
        <t>[Threaded comment]
Your version of Excel allows you to read this threaded comment; however, any edits to it will get removed if the file is opened in a newer version of Excel. Learn more: https://go.microsoft.com/fwlink/?linkid=870924
Comment:
    per 8/1 filing</t>
      </text>
    </comment>
    <comment ref="A72" authorId="19" shapeId="0" xr:uid="{057F44B8-0028-470E-BD35-FACF6BE497F5}">
      <text>
        <t>[Threaded comment]
Your version of Excel allows you to read this threaded comment; however, any edits to it will get removed if the file is opened in a newer version of Excel. Learn more: https://go.microsoft.com/fwlink/?linkid=870924
Comment:
    per 8/1 filing</t>
      </text>
    </comment>
    <comment ref="AB72" authorId="20" shapeId="0" xr:uid="{00000000-0006-0000-0100-000001000000}">
      <text>
        <r>
          <rPr>
            <b/>
            <sz val="9"/>
            <color indexed="81"/>
            <rFont val="Tahoma"/>
            <family val="2"/>
          </rPr>
          <t>Jim Massie:</t>
        </r>
        <r>
          <rPr>
            <sz val="9"/>
            <color indexed="81"/>
            <rFont val="Tahoma"/>
            <family val="2"/>
          </rPr>
          <t xml:space="preserve">
don't know what this is</t>
        </r>
      </text>
    </comment>
    <comment ref="A73" authorId="21" shapeId="0" xr:uid="{4538DF33-B21A-4E47-8040-D3E7D2BB75EE}">
      <text>
        <t>[Threaded comment]
Your version of Excel allows you to read this threaded comment; however, any edits to it will get removed if the file is opened in a newer version of Excel. Learn more: https://go.microsoft.com/fwlink/?linkid=870924
Comment:
    per 8/1 filing</t>
      </text>
    </comment>
    <comment ref="A74" authorId="22" shapeId="0" xr:uid="{D4B9D00E-6D5C-4C17-AEFA-7F5A822DB61D}">
      <text>
        <t>[Threaded comment]
Your version of Excel allows you to read this threaded comment; however, any edits to it will get removed if the file is opened in a newer version of Excel. Learn more: https://go.microsoft.com/fwlink/?linkid=870924
Comment:
    per 8/01 filing</t>
      </text>
    </comment>
    <comment ref="A75" authorId="23" shapeId="0" xr:uid="{0499CB0F-A7C9-40FC-B4CB-8531084A45CB}">
      <text>
        <t>[Threaded comment]
Your version of Excel allows you to read this threaded comment; however, any edits to it will get removed if the file is opened in a newer version of Excel. Learn more: https://go.microsoft.com/fwlink/?linkid=870924
Comment:
    per 8/1 filing</t>
      </text>
    </comment>
    <comment ref="A76" authorId="24" shapeId="0" xr:uid="{67C50C4E-AF8B-403C-ADB8-427643B6FF3E}">
      <text>
        <t>[Threaded comment]
Your version of Excel allows you to read this threaded comment; however, any edits to it will get removed if the file is opened in a newer version of Excel. Learn more: https://go.microsoft.com/fwlink/?linkid=870924
Comment:
    per 8/1 filing</t>
      </text>
    </comment>
    <comment ref="A77" authorId="25" shapeId="0" xr:uid="{36A54696-79E8-49AD-85DB-47FCA16696CD}">
      <text>
        <t>[Threaded comment]
Your version of Excel allows you to read this threaded comment; however, any edits to it will get removed if the file is opened in a newer version of Excel. Learn more: https://go.microsoft.com/fwlink/?linkid=870924
Comment:
    per 8/1 filing</t>
      </text>
    </comment>
    <comment ref="AM77" authorId="26" shapeId="0" xr:uid="{09CD6754-8A8A-49A3-9BA5-C218C1E3F450}">
      <text>
        <t>[Threaded comment]
Your version of Excel allows you to read this threaded comment; however, any edits to it will get removed if the file is opened in a newer version of Excel. Learn more: https://go.microsoft.com/fwlink/?linkid=870924
Comment:
    this matches the monthly reported total</t>
      </text>
    </comment>
    <comment ref="A78" authorId="27" shapeId="0" xr:uid="{F90185D3-2FD1-493D-8A08-767A752C18A6}">
      <text>
        <t>[Threaded comment]
Your version of Excel allows you to read this threaded comment; however, any edits to it will get removed if the file is opened in a newer version of Excel. Learn more: https://go.microsoft.com/fwlink/?linkid=870924
Comment:
    per 8/1 filing</t>
      </text>
    </comment>
    <comment ref="A79" authorId="28" shapeId="0" xr:uid="{82C2BD71-4C3B-40C7-8619-4A04B6EEF03E}">
      <text>
        <t>[Threaded comment]
Your version of Excel allows you to read this threaded comment; however, any edits to it will get removed if the file is opened in a newer version of Excel. Learn more: https://go.microsoft.com/fwlink/?linkid=870924
Comment:
    per 8/1 filing</t>
      </text>
    </comment>
    <comment ref="A80" authorId="29" shapeId="0" xr:uid="{41A9BEE9-5407-4117-9BF1-5C079C65457E}">
      <text>
        <t>[Threaded comment]
Your version of Excel allows you to read this threaded comment; however, any edits to it will get removed if the file is opened in a newer version of Excel. Learn more: https://go.microsoft.com/fwlink/?linkid=870924
Comment:
    per 8/1 filing</t>
      </text>
    </comment>
    <comment ref="A81" authorId="30" shapeId="0" xr:uid="{B30C901A-5DA1-4646-852D-E26BA3A8FBFB}">
      <text>
        <t>[Threaded comment]
Your version of Excel allows you to read this threaded comment; however, any edits to it will get removed if the file is opened in a newer version of Excel. Learn more: https://go.microsoft.com/fwlink/?linkid=870924
Comment:
    per 8/1 filing</t>
      </text>
    </comment>
    <comment ref="BF81" authorId="31" shapeId="0" xr:uid="{5A7FF280-D3C7-440D-B95A-8977E7BD1E4C}">
      <text>
        <t>[Threaded comment]
Your version of Excel allows you to read this threaded comment; however, any edits to it will get removed if the file is opened in a newer version of Excel. Learn more: https://go.microsoft.com/fwlink/?linkid=870924
Comment:
    Ethan Allen</t>
      </text>
    </comment>
    <comment ref="A82" authorId="32" shapeId="0" xr:uid="{A53EECAC-24B9-4A17-A1D2-3EE3300F6E3D}">
      <text>
        <t>[Threaded comment]
Your version of Excel allows you to read this threaded comment; however, any edits to it will get removed if the file is opened in a newer version of Excel. Learn more: https://go.microsoft.com/fwlink/?linkid=870924
Comment:
    per 8/1 filing</t>
      </text>
    </comment>
    <comment ref="A83" authorId="33" shapeId="0" xr:uid="{7B237E95-277E-4F50-BBB1-8AC0A37E2692}">
      <text>
        <t>[Threaded comment]
Your version of Excel allows you to read this threaded comment; however, any edits to it will get removed if the file is opened in a newer version of Excel. Learn more: https://go.microsoft.com/fwlink/?linkid=870924
Comment:
    per 8/1 filing</t>
      </text>
    </comment>
    <comment ref="A84" authorId="34" shapeId="0" xr:uid="{EDED3CEE-6E4B-4B1E-8926-5905E111F6DA}">
      <text>
        <t>[Threaded comment]
Your version of Excel allows you to read this threaded comment; however, any edits to it will get removed if the file is opened in a newer version of Excel. Learn more: https://go.microsoft.com/fwlink/?linkid=870924
Comment:
    filed on 8/1</t>
      </text>
    </comment>
    <comment ref="AQ84" authorId="35" shapeId="0" xr:uid="{405FAA49-BA95-46B7-B0F6-80F424668779}">
      <text>
        <t>[Threaded comment]
Your version of Excel allows you to read this threaded comment; however, any edits to it will get removed if the file is opened in a newer version of Excel. Learn more: https://go.microsoft.com/fwlink/?linkid=870924
Comment:
    the reported monthly total to Scott C was 66,428,473</t>
      </text>
    </comment>
    <comment ref="AU84" authorId="36" shapeId="0" xr:uid="{5033FF4B-EA94-477C-BF8D-D690D1A6E1CA}">
      <text>
        <t>[Threaded comment]
Your version of Excel allows you to read this threaded comment; however, any edits to it will get removed if the file is opened in a newer version of Excel. Learn more: https://go.microsoft.com/fwlink/?linkid=870924
Comment:
    was reported as 378,299 but is obviously incorrect as the monthlies total 22,442</t>
      </text>
    </comment>
    <comment ref="A85" authorId="37" shapeId="0" xr:uid="{664D300B-D350-4BC6-8CD6-EC22319DE769}">
      <text>
        <t>[Threaded comment]
Your version of Excel allows you to read this threaded comment; however, any edits to it will get removed if the file is opened in a newer version of Excel. Learn more: https://go.microsoft.com/fwlink/?linkid=870924
Comment:
    per 8/1 filing</t>
      </text>
    </comment>
    <comment ref="AF85" authorId="38" shapeId="0" xr:uid="{13910550-23F8-41C6-A868-80318993B607}">
      <text>
        <t>[Threaded comment]
Your version of Excel allows you to read this threaded comment; however, any edits to it will get removed if the file is opened in a newer version of Excel. Learn more: https://go.microsoft.com/fwlink/?linkid=870924
Comment:
    apparent error in 2021 reported EEC data</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tc={EBB011EA-B7DF-40EE-8D97-8E3DBF1BDF6A}</author>
  </authors>
  <commentList>
    <comment ref="B17" authorId="0" shapeId="0" xr:uid="{EBB011EA-B7DF-40EE-8D97-8E3DBF1BDF6A}">
      <text>
        <t>[Threaded comment]
Your version of Excel allows you to read this threaded comment; however, any edits to it will get removed if the file is opened in a newer version of Excel. Learn more: https://go.microsoft.com/fwlink/?linkid=870924
Comment:
    Approved 2021 rates times 2021 estimated consumption plus fixed fee revenue estimates</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tc={72802E3F-DB68-4DD1-AD30-AB00B46116AA}</author>
    <author>tc={34690021-1A6C-44EF-BFE5-CC4BE5C6BC1B}</author>
    <author>tc={45980CC5-34A8-4886-BD5A-215EC596C3F3}</author>
    <author>tc={219688A7-E9A3-43A0-A72D-67E67F43D011}</author>
    <author>tc={4147774A-8BA4-488B-9386-E6AFFC09B4B8}</author>
    <author>tc={7F128001-D352-4953-AD0B-45851CE52D9D}</author>
    <author>tc={7CF34249-5DAC-46D4-9FFB-EE3EFB7A5AFC}</author>
    <author>tc={2FED3B0D-1303-40A5-8FAD-A525D8B1332E}</author>
    <author>tc={103875FB-42E0-4FFC-BA73-67FA8DE186BF}</author>
    <author>tc={3C2F6486-B545-4320-992E-FA35EDD3B09E}</author>
    <author>tc={26057C47-F03C-44E8-9244-6A226F05F238}</author>
    <author>tc={621F4E3C-8332-4A76-9BE4-6F8545E20315}</author>
    <author>tc={4043620B-6E5A-466B-844E-C3D051FF3B17}</author>
    <author>tc={F970BA66-57C6-44BF-A19A-8598A672A4BF}</author>
    <author>tc={03348873-34B7-4A4E-A599-CEEE4EC09F9E}</author>
    <author>tc={799A1106-73EF-4C3B-A1E0-13062B313572}</author>
    <author>tc={C51E8133-C930-4EC1-9F9B-9D18D1FDDE9E}</author>
    <author>tc={6DAA7BC9-009D-4EFC-997C-5A8974921BE1}</author>
    <author>tc={FBAF7ACB-51E2-403C-B17B-10CFC6C23BF3}</author>
  </authors>
  <commentList>
    <comment ref="H16" authorId="0" shapeId="0" xr:uid="{72802E3F-DB68-4DD1-AD30-AB00B46116AA}">
      <text>
        <t>[Threaded comment]
Your version of Excel allows you to read this threaded comment; however, any edits to it will get removed if the file is opened in a newer version of Excel. Learn more: https://go.microsoft.com/fwlink/?linkid=870924
Comment:
    2019 Rate Calcs as reported by DUs</t>
      </text>
    </comment>
    <comment ref="O16" authorId="1" shapeId="0" xr:uid="{34690021-1A6C-44EF-BFE5-CC4BE5C6BC1B}">
      <text>
        <t>[Threaded comment]
Your version of Excel allows you to read this threaded comment; however, any edits to it will get removed if the file is opened in a newer version of Excel. Learn more: https://go.microsoft.com/fwlink/?linkid=870924
Comment:
    2019 Rate Calcs as reported by DUs</t>
      </text>
    </comment>
    <comment ref="V16" authorId="2" shapeId="0" xr:uid="{45980CC5-34A8-4886-BD5A-215EC596C3F3}">
      <text>
        <t>[Threaded comment]
Your version of Excel allows you to read this threaded comment; however, any edits to it will get removed if the file is opened in a newer version of Excel. Learn more: https://go.microsoft.com/fwlink/?linkid=870924
Comment:
    2019 Rate Calcs as reported by DUs</t>
      </text>
    </comment>
    <comment ref="H17" authorId="3" shapeId="0" xr:uid="{219688A7-E9A3-43A0-A72D-67E67F43D011}">
      <text>
        <t>[Threaded comment]
Your version of Excel allows you to read this threaded comment; however, any edits to it will get removed if the file is opened in a newer version of Excel. Learn more: https://go.microsoft.com/fwlink/?linkid=870924
Comment:
    2020 Rate Cales as reported by DUs</t>
      </text>
    </comment>
    <comment ref="O17" authorId="4" shapeId="0" xr:uid="{4147774A-8BA4-488B-9386-E6AFFC09B4B8}">
      <text>
        <t>[Threaded comment]
Your version of Excel allows you to read this threaded comment; however, any edits to it will get removed if the file is opened in a newer version of Excel. Learn more: https://go.microsoft.com/fwlink/?linkid=870924
Comment:
    2020 Rate Cales as reported by DUs</t>
      </text>
    </comment>
    <comment ref="V17" authorId="5" shapeId="0" xr:uid="{7F128001-D352-4953-AD0B-45851CE52D9D}">
      <text>
        <t>[Threaded comment]
Your version of Excel allows you to read this threaded comment; however, any edits to it will get removed if the file is opened in a newer version of Excel. Learn more: https://go.microsoft.com/fwlink/?linkid=870924
Comment:
    2020 Rate Cales as reported by DUs</t>
      </text>
    </comment>
    <comment ref="H18" authorId="6" shapeId="0" xr:uid="{7CF34249-5DAC-46D4-9FFB-EE3EFB7A5AFC}">
      <text>
        <t>[Threaded comment]
Your version of Excel allows you to read this threaded comment; however, any edits to it will get removed if the file is opened in a newer version of Excel. Learn more: https://go.microsoft.com/fwlink/?linkid=870924
Comment:
    2021 Rate Calcs w/o NM - filing April 2021</t>
      </text>
    </comment>
    <comment ref="O18" authorId="7" shapeId="0" xr:uid="{2FED3B0D-1303-40A5-8FAD-A525D8B1332E}">
      <text>
        <t>[Threaded comment]
Your version of Excel allows you to read this threaded comment; however, any edits to it will get removed if the file is opened in a newer version of Excel. Learn more: https://go.microsoft.com/fwlink/?linkid=870924
Comment:
    2021 Rate Calcs w/o NM - filing April 2021</t>
      </text>
    </comment>
    <comment ref="V18" authorId="8" shapeId="0" xr:uid="{103875FB-42E0-4FFC-BA73-67FA8DE186BF}">
      <text>
        <t>[Threaded comment]
Your version of Excel allows you to read this threaded comment; however, any edits to it will get removed if the file is opened in a newer version of Excel. Learn more: https://go.microsoft.com/fwlink/?linkid=870924
Comment:
    2021 Rate Calcs w/o NM - filing April 2021</t>
      </text>
    </comment>
    <comment ref="H19" authorId="9" shapeId="0" xr:uid="{3C2F6486-B545-4320-992E-FA35EDD3B09E}">
      <text>
        <t>[Threaded comment]
Your version of Excel allows you to read this threaded comment; however, any edits to it will get removed if the file is opened in a newer version of Excel. Learn more: https://go.microsoft.com/fwlink/?linkid=870924
Comment:
    from DUs for 2022 rates w/o NM, but includes a shift of CVPS rate 06 from CD to CND-estimated at about 82,000,000 kWh</t>
      </text>
    </comment>
    <comment ref="O19" authorId="10" shapeId="0" xr:uid="{26057C47-F03C-44E8-9244-6A226F05F238}">
      <text>
        <t>[Threaded comment]
Your version of Excel allows you to read this threaded comment; however, any edits to it will get removed if the file is opened in a newer version of Excel. Learn more: https://go.microsoft.com/fwlink/?linkid=870924
Comment:
    from DUs for 2022 rates w/o NM</t>
      </text>
    </comment>
    <comment ref="V19" authorId="11" shapeId="0" xr:uid="{621F4E3C-8332-4A76-9BE4-6F8545E20315}">
      <text>
        <t>[Threaded comment]
Your version of Excel allows you to read this threaded comment; however, any edits to it will get removed if the file is opened in a newer version of Excel. Learn more: https://go.microsoft.com/fwlink/?linkid=870924
Comment:
    from DUs for 2022 rates w/o NM</t>
      </text>
    </comment>
    <comment ref="H20" authorId="12" shapeId="0" xr:uid="{4043620B-6E5A-466B-844E-C3D051FF3B17}">
      <text>
        <t>[Threaded comment]
Your version of Excel allows you to read this threaded comment; however, any edits to it will get removed if the file is opened in a newer version of Excel. Learn more: https://go.microsoft.com/fwlink/?linkid=870924
Comment:
    from April 2021 NM filing with six months of NM-excludes the CVPS Rate 06 shift</t>
      </text>
    </comment>
    <comment ref="O20" authorId="13" shapeId="0" xr:uid="{F970BA66-57C6-44BF-A19A-8598A672A4BF}">
      <text>
        <t>[Threaded comment]
Your version of Excel allows you to read this threaded comment; however, any edits to it will get removed if the file is opened in a newer version of Excel. Learn more: https://go.microsoft.com/fwlink/?linkid=870924
Comment:
    from April 2021 NM filing with six months of NM</t>
      </text>
    </comment>
    <comment ref="V20" authorId="14" shapeId="0" xr:uid="{03348873-34B7-4A4E-A599-CEEE4EC09F9E}">
      <text>
        <t>[Threaded comment]
Your version of Excel allows you to read this threaded comment; however, any edits to it will get removed if the file is opened in a newer version of Excel. Learn more: https://go.microsoft.com/fwlink/?linkid=870924
Comment:
    from April 2021 NM filing with six months of NM</t>
      </text>
    </comment>
    <comment ref="H21" authorId="15" shapeId="0" xr:uid="{799A1106-73EF-4C3B-A1E0-13062B313572}">
      <text>
        <t>[Threaded comment]
Your version of Excel allows you to read this threaded comment; however, any edits to it will get removed if the file is opened in a newer version of Excel. Learn more: https://go.microsoft.com/fwlink/?linkid=870924
Comment:
    2020 actuals plus estimated 2022 NM sales</t>
      </text>
    </comment>
    <comment ref="O21" authorId="16" shapeId="0" xr:uid="{C51E8133-C930-4EC1-9F9B-9D18D1FDDE9E}">
      <text>
        <t>[Threaded comment]
Your version of Excel allows you to read this threaded comment; however, any edits to it will get removed if the file is opened in a newer version of Excel. Learn more: https://go.microsoft.com/fwlink/?linkid=870924
Comment:
    2020 actuals plus estimated 2022 NM sales</t>
      </text>
    </comment>
    <comment ref="V21" authorId="17" shapeId="0" xr:uid="{6DAA7BC9-009D-4EFC-997C-5A8974921BE1}">
      <text>
        <t>[Threaded comment]
Your version of Excel allows you to read this threaded comment; however, any edits to it will get removed if the file is opened in a newer version of Excel. Learn more: https://go.microsoft.com/fwlink/?linkid=870924
Comment:
    2020 actuals plus estimated 2022 NM sales</t>
      </text>
    </comment>
    <comment ref="K24" authorId="18" shapeId="0" xr:uid="{FBAF7ACB-51E2-403C-B17B-10CFC6C23BF3}">
      <text>
        <t>[Threaded comment]
Your version of Excel allows you to read this threaded comment; however, any edits to it will get removed if the file is opened in a newer version of Excel. Learn more: https://go.microsoft.com/fwlink/?linkid=870924
Comment:
    estimated to be the change from CVPS rate 06 in Com Demand to Com non-demand</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tc={54137C83-E391-481E-A290-98CCAFB0CD4E}</author>
    <author>tc={60B836AE-4E5B-4DCE-BF43-7CDBA141068D}</author>
  </authors>
  <commentList>
    <comment ref="E166" authorId="0" shapeId="0" xr:uid="{54137C83-E391-481E-A290-98CCAFB0CD4E}">
      <text>
        <t>[Threaded comment]
Your version of Excel allows you to read this threaded comment; however, any edits to it will get removed if the file is opened in a newer version of Excel. Learn more: https://go.microsoft.com/fwlink/?linkid=870924
Comment:
    from DU reported 2020 values for 2022 rate year filing</t>
      </text>
    </comment>
    <comment ref="F166" authorId="1" shapeId="0" xr:uid="{60B836AE-4E5B-4DCE-BF43-7CDBA141068D}">
      <text>
        <t>[Threaded comment]
Your version of Excel allows you to read this threaded comment; however, any edits to it will get removed if the file is opened in a newer version of Excel. Learn more: https://go.microsoft.com/fwlink/?linkid=870924
Comment:
    from "Revised without C&amp;I Forecast" sheet in Attachment A of EVT Fixed Monthly Fee filing on April 29, 2021</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Jim Massie</author>
    <author>tc={FAEC7334-56FE-409A-9319-F51A43075DE9}</author>
    <author>tc={95A3084E-2591-4313-9D23-E35FCC5E8A2F}</author>
    <author>tc={7B39EAC0-D920-4475-9AFB-062D8E331BB1}</author>
    <author>tc={4CAEE8E6-DAB0-4080-830C-B38B9607DAB0}</author>
    <author>tc={3BA2329A-A12F-46F8-868D-5A01F69A28A6}</author>
    <author>tc={7789BF7B-406B-4C81-8EFF-2C22DBE50436}</author>
    <author>tc={F9C9B858-F1BA-4913-B752-1A7F682CA8E7}</author>
    <author>tc={0348B178-631A-4F3E-97CF-771E4B26E7FB}</author>
    <author>tc={788A9BDB-26B7-4BE7-9CB2-7DDA89CA8F93}</author>
    <author>tc={BAAD10E5-7C82-4A48-8CC8-7CD5EA2E26EC}</author>
    <author>tc={1AE524D1-F475-4BAA-A4E3-9521177EC76C}</author>
    <author>tc={7FD27578-A8C3-4193-8D2D-50F62816FA27}</author>
    <author>tc={C3B73D98-E3B4-449F-A7A9-4703F4CB68F2}</author>
    <author>tc={6CEBB2B7-DF7C-445D-A6C1-5D9233849B18}</author>
    <author>tc={A58FFEEA-ED1A-46A7-9277-98ABCCCCBE93}</author>
  </authors>
  <commentList>
    <comment ref="C5" authorId="0" shapeId="0" xr:uid="{00000000-0006-0000-0200-000001000000}">
      <text>
        <r>
          <rPr>
            <b/>
            <sz val="9"/>
            <color indexed="81"/>
            <rFont val="Tahoma"/>
            <family val="2"/>
          </rPr>
          <t>Jim Massie:</t>
        </r>
        <r>
          <rPr>
            <sz val="9"/>
            <color indexed="81"/>
            <rFont val="Tahoma"/>
            <family val="2"/>
          </rPr>
          <t xml:space="preserve">
updated values to 2020
from 2020 Rate calcs
from 2020 EEC Rate Calculations</t>
        </r>
      </text>
    </comment>
    <comment ref="D5" authorId="0" shapeId="0" xr:uid="{93940035-544A-4F32-8B10-C056DDFCC77F}">
      <text>
        <r>
          <rPr>
            <b/>
            <sz val="9"/>
            <color indexed="81"/>
            <rFont val="Tahoma"/>
            <family val="2"/>
          </rPr>
          <t>Jim Massie:</t>
        </r>
        <r>
          <rPr>
            <sz val="9"/>
            <color indexed="81"/>
            <rFont val="Tahoma"/>
            <family val="2"/>
          </rPr>
          <t xml:space="preserve">
updated values to 2020
these are for the 2020 rate year, typically requested in early year for prior year uncollectibles
As reported by Barb Adams (EVT FA) 06/21/21</t>
        </r>
      </text>
    </comment>
    <comment ref="E5" authorId="0" shapeId="0" xr:uid="{2071188C-CF7D-4FF1-BBCF-BB42212D25B4}">
      <text>
        <r>
          <rPr>
            <b/>
            <sz val="9"/>
            <color indexed="81"/>
            <rFont val="Tahoma"/>
            <family val="2"/>
          </rPr>
          <t>Jim Massie:</t>
        </r>
        <r>
          <rPr>
            <sz val="9"/>
            <color indexed="81"/>
            <rFont val="Tahoma"/>
            <family val="2"/>
          </rPr>
          <t xml:space="preserve">
updated values to 2020
</t>
        </r>
      </text>
    </comment>
    <comment ref="F8" authorId="1" shapeId="0" xr:uid="{FAEC7334-56FE-409A-9319-F51A43075DE9}">
      <text>
        <t>[Threaded comment]
Your version of Excel allows you to read this threaded comment; however, any edits to it will get removed if the file is opened in a newer version of Excel. Learn more: https://go.microsoft.com/fwlink/?linkid=870924
Comment:
    per 8/1/22 filing</t>
      </text>
    </comment>
    <comment ref="F9" authorId="2" shapeId="0" xr:uid="{95A3084E-2591-4313-9D23-E35FCC5E8A2F}">
      <text>
        <t>[Threaded comment]
Your version of Excel allows you to read this threaded comment; however, any edits to it will get removed if the file is opened in a newer version of Excel. Learn more: https://go.microsoft.com/fwlink/?linkid=870924
Comment:
    per 8/1 filing</t>
      </text>
    </comment>
    <comment ref="F10" authorId="3" shapeId="0" xr:uid="{7B39EAC0-D920-4475-9AFB-062D8E331BB1}">
      <text>
        <t>[Threaded comment]
Your version of Excel allows you to read this threaded comment; however, any edits to it will get removed if the file is opened in a newer version of Excel. Learn more: https://go.microsoft.com/fwlink/?linkid=870924
Comment:
    per 8/1/22 filing</t>
      </text>
    </comment>
    <comment ref="F11" authorId="4" shapeId="0" xr:uid="{4CAEE8E6-DAB0-4080-830C-B38B9607DAB0}">
      <text>
        <t>[Threaded comment]
Your version of Excel allows you to read this threaded comment; however, any edits to it will get removed if the file is opened in a newer version of Excel. Learn more: https://go.microsoft.com/fwlink/?linkid=870924
Comment:
    per 8/1/22 filing</t>
      </text>
    </comment>
    <comment ref="F12" authorId="5" shapeId="0" xr:uid="{3BA2329A-A12F-46F8-868D-5A01F69A28A6}">
      <text>
        <t>[Threaded comment]
Your version of Excel allows you to read this threaded comment; however, any edits to it will get removed if the file is opened in a newer version of Excel. Learn more: https://go.microsoft.com/fwlink/?linkid=870924
Comment:
    per 8/1/22 filing</t>
      </text>
    </comment>
    <comment ref="F13" authorId="6" shapeId="0" xr:uid="{7789BF7B-406B-4C81-8EFF-2C22DBE50436}">
      <text>
        <t>[Threaded comment]
Your version of Excel allows you to read this threaded comment; however, any edits to it will get removed if the file is opened in a newer version of Excel. Learn more: https://go.microsoft.com/fwlink/?linkid=870924
Comment:
    per 8/1/22 filing</t>
      </text>
    </comment>
    <comment ref="F14" authorId="7" shapeId="0" xr:uid="{F9C9B858-F1BA-4913-B752-1A7F682CA8E7}">
      <text>
        <t>[Threaded comment]
Your version of Excel allows you to read this threaded comment; however, any edits to it will get removed if the file is opened in a newer version of Excel. Learn more: https://go.microsoft.com/fwlink/?linkid=870924
Comment:
    per 8/1/22 filing</t>
      </text>
    </comment>
    <comment ref="F15" authorId="8" shapeId="0" xr:uid="{0348B178-631A-4F3E-97CF-771E4B26E7FB}">
      <text>
        <t>[Threaded comment]
Your version of Excel allows you to read this threaded comment; however, any edits to it will get removed if the file is opened in a newer version of Excel. Learn more: https://go.microsoft.com/fwlink/?linkid=870924
Comment:
    per 8/1 filing</t>
      </text>
    </comment>
    <comment ref="F17" authorId="9" shapeId="0" xr:uid="{788A9BDB-26B7-4BE7-9CB2-7DDA89CA8F93}">
      <text>
        <t>[Threaded comment]
Your version of Excel allows you to read this threaded comment; however, any edits to it will get removed if the file is opened in a newer version of Excel. Learn more: https://go.microsoft.com/fwlink/?linkid=870924
Comment:
    per 8/1 filing</t>
      </text>
    </comment>
    <comment ref="F18" authorId="10" shapeId="0" xr:uid="{BAAD10E5-7C82-4A48-8CC8-7CD5EA2E26EC}">
      <text>
        <t>[Threaded comment]
Your version of Excel allows you to read this threaded comment; however, any edits to it will get removed if the file is opened in a newer version of Excel. Learn more: https://go.microsoft.com/fwlink/?linkid=870924
Comment:
    per 8/1/22 filing</t>
      </text>
    </comment>
    <comment ref="F19" authorId="11" shapeId="0" xr:uid="{1AE524D1-F475-4BAA-A4E3-9521177EC76C}">
      <text>
        <t>[Threaded comment]
Your version of Excel allows you to read this threaded comment; however, any edits to it will get removed if the file is opened in a newer version of Excel. Learn more: https://go.microsoft.com/fwlink/?linkid=870924
Comment:
    per 8/1/22 filing</t>
      </text>
    </comment>
    <comment ref="F20" authorId="12" shapeId="0" xr:uid="{7FD27578-A8C3-4193-8D2D-50F62816FA27}">
      <text>
        <t>[Threaded comment]
Your version of Excel allows you to read this threaded comment; however, any edits to it will get removed if the file is opened in a newer version of Excel. Learn more: https://go.microsoft.com/fwlink/?linkid=870924
Comment:
    per 8/1/22 filing</t>
      </text>
    </comment>
    <comment ref="F21" authorId="13" shapeId="0" xr:uid="{C3B73D98-E3B4-449F-A7A9-4703F4CB68F2}">
      <text>
        <t>[Threaded comment]
Your version of Excel allows you to read this threaded comment; however, any edits to it will get removed if the file is opened in a newer version of Excel. Learn more: https://go.microsoft.com/fwlink/?linkid=870924
Comment:
    per 8/1 filing</t>
      </text>
    </comment>
    <comment ref="F22" authorId="14" shapeId="0" xr:uid="{6CEBB2B7-DF7C-445D-A6C1-5D9233849B18}">
      <text>
        <t>[Threaded comment]
Your version of Excel allows you to read this threaded comment; however, any edits to it will get removed if the file is opened in a newer version of Excel. Learn more: https://go.microsoft.com/fwlink/?linkid=870924
Comment:
    per 8/1/22 filing</t>
      </text>
    </comment>
    <comment ref="F23" authorId="15" shapeId="0" xr:uid="{A58FFEEA-ED1A-46A7-9277-98ABCCCCBE93}">
      <text>
        <t>[Threaded comment]
Your version of Excel allows you to read this threaded comment; however, any edits to it will get removed if the file is opened in a newer version of Excel. Learn more: https://go.microsoft.com/fwlink/?linkid=870924
Comment:
    per WEC "Trued up to 2021 y/e over estimated"</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tc={297590B8-99FC-4E66-80D4-624051554D0D}</author>
    <author>Jim Massie</author>
  </authors>
  <commentList>
    <comment ref="C9" authorId="0" shapeId="0" xr:uid="{297590B8-99FC-4E66-80D4-624051554D0D}">
      <text>
        <t>[Threaded comment]
Your version of Excel allows you to read this threaded comment; however, any edits to it will get removed if the file is opened in a newer version of Excel. Learn more: https://go.microsoft.com/fwlink/?linkid=870924
Comment:
    waiting on data back from GMP to update the allocations</t>
      </text>
    </comment>
    <comment ref="C15" authorId="1" shapeId="0" xr:uid="{E5E319AC-7321-4EBA-99E1-405F8FD21C07}">
      <text>
        <r>
          <rPr>
            <b/>
            <sz val="9"/>
            <color indexed="81"/>
            <rFont val="Tahoma"/>
            <family val="2"/>
          </rPr>
          <t>Jim Massie:</t>
        </r>
        <r>
          <rPr>
            <sz val="9"/>
            <color indexed="81"/>
            <rFont val="Tahoma"/>
            <family val="2"/>
          </rPr>
          <t xml:space="preserve">
I used only half of what EAN dashboard reports (243,000 MW) at the end of 2017. NM customers had to pay EEC after that  https://www.vtenergydashboard.org/statistics
The 243 MW matches the Itron values provided  in JP presentation to regulatory team on 6/22/20. 
Then only used 6 months for 2021 since being implemented July 1, 2021</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tc={2D1D2AEE-A480-4CA1-A649-B01F839B2D42}</author>
    <author>tc={2DE529A7-0EC0-4DB4-9F6C-C6217B625E00}</author>
    <author>Jim Massie</author>
    <author>tc={A5D653F5-E6CD-4780-8A11-6D927A869469}</author>
    <author>tc={A32901F3-0FC8-407F-B0AB-C813399B6273}</author>
    <author>tc={028F640B-F26E-4DDC-9545-9FCDF1991E25}</author>
    <author>tc={1B06494F-2451-4D80-A6D5-226141B190F1}</author>
    <author>tc={83F39BAD-A497-418B-A121-AC473ED76E67}</author>
    <author>tc={7D418683-FF09-48A2-A658-105494F76413}</author>
    <author>tc={12013F9F-65C1-48DE-83AB-C6F396258AA6}</author>
    <author>tc={D57050DA-5D1D-4E04-80BB-24501E89E659}</author>
    <author>tc={7C7C5E5A-128B-4269-8CC3-FEA34788D66B}</author>
    <author>tc={148D8AB7-24C9-4FF3-AF4A-5BFA37444ABD}</author>
    <author>tc={35CCC802-1B29-41A4-BB66-4648427AB584}</author>
    <author>tc={EF4C50C9-0931-490A-8291-8729C0B7C841}</author>
    <author>tc={6E03ABA0-6814-480D-AC28-AEFD5D747D95}</author>
    <author>tc={D154BF49-D008-4742-A743-6B3FF232BE21}</author>
    <author>tc={868D19A4-C0FC-4BA0-B66A-2192EDADE39F}</author>
    <author>tc={1F153F46-D07C-44DC-840B-B9D3939E9143}</author>
  </authors>
  <commentList>
    <comment ref="B9" authorId="0" shapeId="0" xr:uid="{2D1D2AEE-A480-4CA1-A649-B01F839B2D42}">
      <text>
        <t>[Threaded comment]
Your version of Excel allows you to read this threaded comment; however, any edits to it will get removed if the file is opened in a newer version of Excel. Learn more: https://go.microsoft.com/fwlink/?linkid=870924
Comment:
    The methodologies for calculating the Energy Efficiency Charge rates shall use information regarding previous over- and under-collections of the Energy Efficiency Charge as reported by the distribution utilities. The specific information to be provided by the EEUs shall be:
• Year 2: The difference between the prior year’s estimate of the over or under-collections for the prior calendar year and the actual over- or under-collections for that period for each rate class. This difference shall be calculated by subtracting the prior year’s estimate for each rate class from the actual amount for each rate class. In these calculations, over-collections shall be positive numbers and undercollections shall be negative numbers. The result of the calculations may be positive or negative numbers.</t>
      </text>
    </comment>
    <comment ref="E11" authorId="1" shapeId="0" xr:uid="{2DE529A7-0EC0-4DB4-9F6C-C6217B625E00}">
      <text>
        <t>[Threaded comment]
Your version of Excel allows you to read this threaded comment; however, any edits to it will get removed if the file is opened in a newer version of Excel. Learn more: https://go.microsoft.com/fwlink/?linkid=870924
Comment:
    excludes utility reported gross NM consumption that is not billed electric retail charges</t>
      </text>
    </comment>
    <comment ref="K11" authorId="2" shapeId="0" xr:uid="{00000000-0006-0000-0300-000005000000}">
      <text>
        <r>
          <rPr>
            <b/>
            <sz val="9"/>
            <color indexed="81"/>
            <rFont val="Tahoma"/>
            <family val="2"/>
          </rPr>
          <t>Jim Massie:</t>
        </r>
        <r>
          <rPr>
            <sz val="9"/>
            <color indexed="81"/>
            <rFont val="Tahoma"/>
            <family val="2"/>
          </rPr>
          <t xml:space="preserve">
2020 EEC Rates approved by the PUC -summed all estimated 2021 revenue (incl kW $) and divided by estimated 2021 kWh (not kW)</t>
        </r>
      </text>
    </comment>
    <comment ref="C14" authorId="2" shapeId="0" xr:uid="{00000000-0006-0000-0300-00000A000000}">
      <text>
        <r>
          <rPr>
            <b/>
            <sz val="9"/>
            <color indexed="81"/>
            <rFont val="Tahoma"/>
            <family val="2"/>
          </rPr>
          <t>Jim Massie:</t>
        </r>
        <r>
          <rPr>
            <sz val="9"/>
            <color indexed="81"/>
            <rFont val="Tahoma"/>
            <family val="2"/>
          </rPr>
          <t xml:space="preserve">
2022 Efficiency Vermont EEC Charge Calculation "EEC Collection True-up" cell C30 
</t>
        </r>
      </text>
    </comment>
    <comment ref="D14" authorId="2" shapeId="0" xr:uid="{00000000-0006-0000-0300-00000B000000}">
      <text>
        <r>
          <rPr>
            <b/>
            <sz val="9"/>
            <color indexed="81"/>
            <rFont val="Tahoma"/>
            <family val="2"/>
          </rPr>
          <t>Jim Massie:</t>
        </r>
        <r>
          <rPr>
            <sz val="9"/>
            <color indexed="81"/>
            <rFont val="Tahoma"/>
            <family val="2"/>
          </rPr>
          <t xml:space="preserve">
from 2021 Efficiency Vermont EEC Charge Calculation "EEC Collection True-up" cell D30</t>
        </r>
      </text>
    </comment>
    <comment ref="E14" authorId="3" shapeId="0" xr:uid="{A5D653F5-E6CD-4780-8A11-6D927A869469}">
      <text>
        <t>[Threaded comment]
Your version of Excel allows you to read this threaded comment; however, any edits to it will get removed if the file is opened in a newer version of Excel. Learn more: https://go.microsoft.com/fwlink/?linkid=870924
Comment:
    ='Util Rev and Load Data'!C86</t>
      </text>
    </comment>
    <comment ref="G14" authorId="4" shapeId="0" xr:uid="{A32901F3-0FC8-407F-B0AB-C813399B6273}">
      <text>
        <t>[Threaded comment]
Your version of Excel allows you to read this threaded comment; however, any edits to it will get removed if the file is opened in a newer version of Excel. Learn more: https://go.microsoft.com/fwlink/?linkid=870924
Comment:
    values taken from DU Collections database</t>
      </text>
    </comment>
    <comment ref="I14" authorId="2" shapeId="0" xr:uid="{00000000-0006-0000-0300-00000C000000}">
      <text>
        <r>
          <rPr>
            <b/>
            <sz val="9"/>
            <color indexed="81"/>
            <rFont val="Tahoma"/>
            <family val="2"/>
          </rPr>
          <t>Jim Massie:</t>
        </r>
        <r>
          <rPr>
            <sz val="9"/>
            <color indexed="81"/>
            <rFont val="Tahoma"/>
            <family val="2"/>
          </rPr>
          <t xml:space="preserve">
from cell J30 of 2022 Efficiency Vermont EEC Calculation_with approved rates  "EEC Collection True-up"</t>
        </r>
      </text>
    </comment>
    <comment ref="K14" authorId="2" shapeId="0" xr:uid="{00000000-0006-0000-0300-00000D000000}">
      <text>
        <r>
          <rPr>
            <b/>
            <sz val="9"/>
            <color indexed="81"/>
            <rFont val="Tahoma"/>
            <family val="2"/>
          </rPr>
          <t>Jim Massie:</t>
        </r>
        <r>
          <rPr>
            <sz val="9"/>
            <color indexed="81"/>
            <rFont val="Tahoma"/>
            <family val="2"/>
          </rPr>
          <t xml:space="preserve">
2021
 EEC Rates approved by the PUC</t>
        </r>
      </text>
    </comment>
    <comment ref="B15" authorId="5" shapeId="0" xr:uid="{028F640B-F26E-4DDC-9545-9FCDF1991E25}">
      <text>
        <t>[Threaded comment]
Your version of Excel allows you to read this threaded comment; however, any edits to it will get removed if the file is opened in a newer version of Excel. Learn more: https://go.microsoft.com/fwlink/?linkid=870924
Comment:
    Demand and Non-Demand Customers</t>
      </text>
    </comment>
    <comment ref="C15" authorId="2" shapeId="0" xr:uid="{D8B73602-6B58-4074-A98A-165AFDF5CAF1}">
      <text>
        <r>
          <rPr>
            <b/>
            <sz val="9"/>
            <color indexed="81"/>
            <rFont val="Tahoma"/>
            <family val="2"/>
          </rPr>
          <t>Jim Massie:</t>
        </r>
        <r>
          <rPr>
            <sz val="9"/>
            <color indexed="81"/>
            <rFont val="Tahoma"/>
            <family val="2"/>
          </rPr>
          <t xml:space="preserve">
2022 Efficiency Vermont EEC Charge Calculation "EEC Collection True-up" cell C31 </t>
        </r>
      </text>
    </comment>
    <comment ref="D15" authorId="2" shapeId="0" xr:uid="{00000000-0006-0000-0300-00000F000000}">
      <text>
        <r>
          <rPr>
            <b/>
            <sz val="9"/>
            <color indexed="81"/>
            <rFont val="Tahoma"/>
            <family val="2"/>
          </rPr>
          <t>Jim Massie:</t>
        </r>
        <r>
          <rPr>
            <sz val="9"/>
            <color indexed="81"/>
            <rFont val="Tahoma"/>
            <family val="2"/>
          </rPr>
          <t xml:space="preserve">
from 2021 Efficiency Vermont EEC Charge Calculation "EEC Collection True-up" cell D31 </t>
        </r>
      </text>
    </comment>
    <comment ref="E15" authorId="6" shapeId="0" xr:uid="{1B06494F-2451-4D80-A6D5-226141B190F1}">
      <text>
        <t>[Threaded comment]
Your version of Excel allows you to read this threaded comment; however, any edits to it will get removed if the file is opened in a newer version of Excel. Learn more: https://go.microsoft.com/fwlink/?linkid=870924
Comment:
    ='Util Rev and Load Data'!P86</t>
      </text>
    </comment>
    <comment ref="G15" authorId="7" shapeId="0" xr:uid="{83F39BAD-A497-418B-A121-AC473ED76E67}">
      <text>
        <t>[Threaded comment]
Your version of Excel allows you to read this threaded comment; however, any edits to it will get removed if the file is opened in a newer version of Excel. Learn more: https://go.microsoft.com/fwlink/?linkid=870924
Comment:
    values taken from DU Collections database</t>
      </text>
    </comment>
    <comment ref="I15" authorId="2" shapeId="0" xr:uid="{8A7178A1-9E70-4B42-BA7C-543ED867BB8E}">
      <text>
        <r>
          <rPr>
            <b/>
            <sz val="9"/>
            <color indexed="81"/>
            <rFont val="Tahoma"/>
            <family val="2"/>
          </rPr>
          <t>Jim Massie:</t>
        </r>
        <r>
          <rPr>
            <sz val="9"/>
            <color indexed="81"/>
            <rFont val="Tahoma"/>
            <family val="2"/>
          </rPr>
          <t xml:space="preserve">
from cell J31 of 2022 Efficiency Vermont EEC Calculation_with approved rates  "EEC Collection True-up"</t>
        </r>
      </text>
    </comment>
    <comment ref="K15" authorId="2" shapeId="0" xr:uid="{1D428C5E-2F47-4E84-A88F-181830237F91}">
      <text>
        <r>
          <rPr>
            <b/>
            <sz val="9"/>
            <color indexed="81"/>
            <rFont val="Tahoma"/>
            <family val="2"/>
          </rPr>
          <t>Jim Massie:</t>
        </r>
        <r>
          <rPr>
            <sz val="9"/>
            <color indexed="81"/>
            <rFont val="Tahoma"/>
            <family val="2"/>
          </rPr>
          <t xml:space="preserve">
2021
 EEC Rates approved by the PUC</t>
        </r>
      </text>
    </comment>
    <comment ref="B16" authorId="8" shapeId="0" xr:uid="{7D418683-FF09-48A2-A658-105494F76413}">
      <text>
        <t>[Threaded comment]
Your version of Excel allows you to read this threaded comment; however, any edits to it will get removed if the file is opened in a newer version of Excel. Learn more: https://go.microsoft.com/fwlink/?linkid=870924
Comment:
    Demand and Non-Demand Customers</t>
      </text>
    </comment>
    <comment ref="C16" authorId="2" shapeId="0" xr:uid="{07946B1C-2A90-4924-97DE-8BCB1D381638}">
      <text>
        <r>
          <rPr>
            <b/>
            <sz val="9"/>
            <color indexed="81"/>
            <rFont val="Tahoma"/>
            <family val="2"/>
          </rPr>
          <t>Jim Massie:</t>
        </r>
        <r>
          <rPr>
            <sz val="9"/>
            <color indexed="81"/>
            <rFont val="Tahoma"/>
            <family val="2"/>
          </rPr>
          <t xml:space="preserve">
2022 Efficiency Vermont EEC Charge Calculation "EEC Collection True-up" cell C32 </t>
        </r>
      </text>
    </comment>
    <comment ref="D16" authorId="2" shapeId="0" xr:uid="{00000000-0006-0000-0300-000014000000}">
      <text>
        <r>
          <rPr>
            <b/>
            <sz val="9"/>
            <color indexed="81"/>
            <rFont val="Tahoma"/>
            <family val="2"/>
          </rPr>
          <t>Jim Massie:</t>
        </r>
        <r>
          <rPr>
            <sz val="9"/>
            <color indexed="81"/>
            <rFont val="Tahoma"/>
            <family val="2"/>
          </rPr>
          <t xml:space="preserve">
from 2021 Efficiency Vermont EEC Charge Calculation "EEC Collection True-up" cell D32</t>
        </r>
      </text>
    </comment>
    <comment ref="E16" authorId="9" shapeId="0" xr:uid="{12013F9F-65C1-48DE-83AB-C6F396258AA6}">
      <text>
        <t>[Threaded comment]
Your version of Excel allows you to read this threaded comment; however, any edits to it will get removed if the file is opened in a newer version of Excel. Learn more: https://go.microsoft.com/fwlink/?linkid=870924
Comment:
    ='Util Rev and Load Data'!AA86</t>
      </text>
    </comment>
    <comment ref="G16" authorId="10" shapeId="0" xr:uid="{D57050DA-5D1D-4E04-80BB-24501E89E659}">
      <text>
        <t>[Threaded comment]
Your version of Excel allows you to read this threaded comment; however, any edits to it will get removed if the file is opened in a newer version of Excel. Learn more: https://go.microsoft.com/fwlink/?linkid=870924
Comment:
    values taken from DU Collections database</t>
      </text>
    </comment>
    <comment ref="I16" authorId="2" shapeId="0" xr:uid="{1918FBA5-E9CA-4BD6-9027-DF758777FA1A}">
      <text>
        <r>
          <rPr>
            <b/>
            <sz val="9"/>
            <color indexed="81"/>
            <rFont val="Tahoma"/>
            <family val="2"/>
          </rPr>
          <t>Jim Massie:</t>
        </r>
        <r>
          <rPr>
            <sz val="9"/>
            <color indexed="81"/>
            <rFont val="Tahoma"/>
            <family val="2"/>
          </rPr>
          <t xml:space="preserve">
from cell J30 of 2022 Efficiency Vermont EEC Calculation_with approved rates  "EEC Collection True-up"</t>
        </r>
      </text>
    </comment>
    <comment ref="K16" authorId="2" shapeId="0" xr:uid="{7CBC663D-E33C-424A-A9E7-564F7A9698F1}">
      <text>
        <r>
          <rPr>
            <b/>
            <sz val="9"/>
            <color indexed="81"/>
            <rFont val="Tahoma"/>
            <family val="2"/>
          </rPr>
          <t>Jim Massie:</t>
        </r>
        <r>
          <rPr>
            <sz val="9"/>
            <color indexed="81"/>
            <rFont val="Tahoma"/>
            <family val="2"/>
          </rPr>
          <t xml:space="preserve">
2021
 EEC Rates approved by the PUC</t>
        </r>
      </text>
    </comment>
    <comment ref="B25" authorId="11" shapeId="0" xr:uid="{7C7C5E5A-128B-4269-8CC3-FEA34788D66B}">
      <text>
        <t>[Threaded comment]
Your version of Excel allows you to read this threaded comment; however, any edits to it will get removed if the file is opened in a newer version of Excel. Learn more: https://go.microsoft.com/fwlink/?linkid=870924
Comment:
    The methodologies for calculating the Energy Efficiency Charge rates shall use information regarding previous over- and under-collections of the Energy Efficiency Charge as reported by the distribution utilities. The specific information to be provided by the EEUs shall be:
• Year 1: A reasonable estimate of over- or under-collections for the current calendar year for each rate class. Because of the lag between when the Energy Efficiency Charge is applied to billing determinants for distribution utilities and when the funds are received, collections for the current calendar year will actually occur from March of the
current calendar year through February of the following calendar year. The estimate of over- or under-collections shall be  determined based upon comparison of:
a) the sum of the actual collections for March through June of the current calendar year plus the EEU’s estimates of the collections
for July of the current calendar year through February of the following calendar year; and
b) the amount authorized to be collected via the Energy Efficiency Charge over the time period described in item (a) above.
Over-collections occur when the estimate in item (a) above exceeds the amount authorized to be collected in item (b) above. Undercollections occur when the amount authorized to be collected in item
(b) above exceeds the estimate in item (a).
• Year 2: The difference between the prior year’s estimate of the over or under-collections for the prior calendar year and the actual over- or under-collections for that period for each rate class. This difference
shall be calculated by subtracting the prior year’s estimate for each rate class from the actual amount for each rate class. In these
calculations, over-collections shall be positive numbers and undercollections
shall be negative numbers. The result of the calculations may be positive or negative numbers.</t>
      </text>
    </comment>
    <comment ref="F27" authorId="12" shapeId="0" xr:uid="{148D8AB7-24C9-4FF3-AF4A-5BFA37444ABD}">
      <text>
        <t>[Threaded comment]
Your version of Excel allows you to read this threaded comment; however, any edits to it will get removed if the file is opened in a newer version of Excel. Learn more: https://go.microsoft.com/fwlink/?linkid=870924
Comment:
    from DU Collections database "EEC Collections" Jan-Jun   cells (AP82:AU82)</t>
      </text>
    </comment>
    <comment ref="G27" authorId="13" shapeId="0" xr:uid="{35CCC802-1B29-41A4-BB66-4648427AB584}">
      <text>
        <t>[Threaded comment]
Your version of Excel allows you to read this threaded comment; however, any edits to it will get removed if the file is opened in a newer version of Excel. Learn more: https://go.microsoft.com/fwlink/?linkid=870924
Comment:
    5.304D says to use March-June but the March report is Jan data and we have data through May so used Jan-May</t>
      </text>
    </comment>
    <comment ref="H27" authorId="14" shapeId="0" xr:uid="{EF4C50C9-0931-490A-8291-8729C0B7C841}">
      <text>
        <t>[Threaded comment]
Your version of Excel allows you to read this threaded comment; however, any edits to it will get removed if the file is opened in a newer version of Excel. Learn more: https://go.microsoft.com/fwlink/?linkid=870924
Comment:
    5.304D says to use Jul-Feb</t>
      </text>
    </comment>
    <comment ref="C30" authorId="2" shapeId="0" xr:uid="{00000000-0006-0000-0300-000018000000}">
      <text>
        <r>
          <rPr>
            <b/>
            <sz val="9"/>
            <color indexed="81"/>
            <rFont val="Tahoma"/>
            <family val="2"/>
          </rPr>
          <t>Jim Massie:</t>
        </r>
        <r>
          <rPr>
            <sz val="9"/>
            <color indexed="81"/>
            <rFont val="Tahoma"/>
            <family val="2"/>
          </rPr>
          <t xml:space="preserve">
from 2022 Efficiency Vermont EEC Charge Calculation using projected loads with gross consumption (kWh and kW) and PUC approved 2022 rates </t>
        </r>
      </text>
    </comment>
    <comment ref="D30" authorId="2" shapeId="0" xr:uid="{7EE0496A-DA88-4C72-B1A7-333D3F0610AB}">
      <text>
        <r>
          <rPr>
            <b/>
            <sz val="9"/>
            <color indexed="81"/>
            <rFont val="Tahoma"/>
            <family val="2"/>
          </rPr>
          <t>Jim Massie:</t>
        </r>
        <r>
          <rPr>
            <sz val="9"/>
            <color indexed="81"/>
            <rFont val="Tahoma"/>
            <family val="2"/>
          </rPr>
          <t xml:space="preserve">
from 2022 Efficiency Vermont EEC Charge Calculation using projected loads with gross consumption (kWh and kW)</t>
        </r>
      </text>
    </comment>
    <comment ref="C31" authorId="2" shapeId="0" xr:uid="{96C4B8B6-DEF7-4CBE-82C8-4B62C527388E}">
      <text>
        <r>
          <rPr>
            <b/>
            <sz val="9"/>
            <color indexed="81"/>
            <rFont val="Tahoma"/>
            <family val="2"/>
          </rPr>
          <t>Jim Massie:</t>
        </r>
        <r>
          <rPr>
            <sz val="9"/>
            <color indexed="81"/>
            <rFont val="Tahoma"/>
            <family val="2"/>
          </rPr>
          <t xml:space="preserve">
from cell O74 of 2022 Efficiency Vermont EEC Charge Calculation "EEC Rates Report". Used PUC approved rates </t>
        </r>
      </text>
    </comment>
    <comment ref="D31" authorId="2" shapeId="0" xr:uid="{C8FE6C40-3E4F-4D22-84D2-A695806F318E}">
      <text>
        <r>
          <rPr>
            <b/>
            <sz val="9"/>
            <color indexed="81"/>
            <rFont val="Tahoma"/>
            <family val="2"/>
          </rPr>
          <t>Jim Massie:</t>
        </r>
        <r>
          <rPr>
            <sz val="9"/>
            <color indexed="81"/>
            <rFont val="Tahoma"/>
            <family val="2"/>
          </rPr>
          <t xml:space="preserve">
from 2022 Efficiency Vermont EEC Charge Calculation using projected loads with gross consumption (kWh and kW)</t>
        </r>
      </text>
    </comment>
    <comment ref="C32" authorId="2" shapeId="0" xr:uid="{3CB6711C-9FF0-4BF4-8F4C-4B8E2CE749D3}">
      <text>
        <r>
          <rPr>
            <b/>
            <sz val="9"/>
            <color indexed="81"/>
            <rFont val="Tahoma"/>
            <family val="2"/>
          </rPr>
          <t>Jim Massie:</t>
        </r>
        <r>
          <rPr>
            <sz val="9"/>
            <color indexed="81"/>
            <rFont val="Tahoma"/>
            <family val="2"/>
          </rPr>
          <t xml:space="preserve">
from cell O75 of 2022 Efficiency Vermont EEC Charge Calculation "EEC Rates Report". Used PUC approved rates </t>
        </r>
      </text>
    </comment>
    <comment ref="D32" authorId="2" shapeId="0" xr:uid="{ED4B0E43-E06E-4651-81C3-EDD57C250F3A}">
      <text>
        <r>
          <rPr>
            <b/>
            <sz val="9"/>
            <color indexed="81"/>
            <rFont val="Tahoma"/>
            <family val="2"/>
          </rPr>
          <t>Jim Massie:</t>
        </r>
        <r>
          <rPr>
            <sz val="9"/>
            <color indexed="81"/>
            <rFont val="Tahoma"/>
            <family val="2"/>
          </rPr>
          <t xml:space="preserve">
from 2022 Efficiency Vermont EEC Charge Calculation using projected loads with gross consumption (kWh and kW)</t>
        </r>
      </text>
    </comment>
    <comment ref="J33" authorId="15" shapeId="0" xr:uid="{6E03ABA0-6814-480D-AC28-AEFD5D747D95}">
      <text>
        <t>[Threaded comment]
Your version of Excel allows you to read this threaded comment; however, any edits to it will get removed if the file is opened in a newer version of Excel. Learn more: https://go.microsoft.com/fwlink/?linkid=870924
Comment:
    includes RA, DSS, Ops Fee, PI Award, DPS, FA and Audit</t>
      </text>
    </comment>
    <comment ref="AE48" authorId="16" shapeId="0" xr:uid="{D154BF49-D008-4742-A743-6B3FF232BE21}">
      <text>
        <t>[Threaded comment]
Your version of Excel allows you to read this threaded comment; however, any edits to it will get removed if the file is opened in a newer version of Excel. Learn more: https://go.microsoft.com/fwlink/?linkid=870924
Comment:
    From 2020 EEC Rates Calculation file</t>
      </text>
    </comment>
    <comment ref="AF48" authorId="17" shapeId="0" xr:uid="{868D19A4-C0FC-4BA0-B66A-2192EDADE39F}">
      <text>
        <t>[Threaded comment]
Your version of Excel allows you to read this threaded comment; however, any edits to it will get removed if the file is opened in a newer version of Excel. Learn more: https://go.microsoft.com/fwlink/?linkid=870924
Comment:
    Budget adjustment approved by the PUC in November 2020 due to COVID</t>
      </text>
    </comment>
    <comment ref="AE71" authorId="18" shapeId="0" xr:uid="{1F153F46-D07C-44DC-840B-B9D3939E9143}">
      <text>
        <t>[Threaded comment]
Your version of Excel allows you to read this threaded comment; however, any edits to it will get removed if the file is opened in a newer version of Excel. Learn more: https://go.microsoft.com/fwlink/?linkid=870924
Comment:
    Target collections from 2023 EEC Rates Calculation</t>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tc={587FBF2B-A0BB-4BFA-936F-0E30B09AFBCC}</author>
    <author>tc={D0C0F645-F7C9-484C-B48C-B5124AD34C22}</author>
    <author>tc={449109C0-931F-482C-9BDB-C8DBAAC065BD}</author>
    <author>tc={D0AF30DE-1284-4D53-B896-9548F530248D}</author>
    <author>tc={389C846D-3563-4649-81FA-4D288A467250}</author>
    <author>tc={20A10A3A-99F2-4F97-8949-E64AAC680212}</author>
    <author>tc={74983240-868E-4AB2-BDC0-56D4B9348769}</author>
    <author>tc={17EB3C38-EDA5-4435-B332-D03DB2C33474}</author>
    <author>tc={05A8FC65-5560-4A9F-8E75-7103E4C722E2}</author>
    <author>tc={20B108A5-8EA0-4116-B1E5-462B01EE5E33}</author>
    <author>tc={A13624A1-B0D0-490A-942E-DD45AE738861}</author>
    <author>tc={0BF30D27-50D5-4CB8-BDF6-F51CE525341C}</author>
    <author>tc={7FE94B6E-F5DD-4DDE-AFD5-0063F976F804}</author>
    <author>tc={346314F2-AC6E-47D2-B8F6-13DC5485FA4F}</author>
    <author>tc={1E6CCD3F-83E2-44BC-B1EC-BB924029EE51}</author>
    <author>tc={20B2B126-61D5-4015-A266-E3704CBFD58A}</author>
    <author>tc={647450AF-81CC-4A01-AAE2-1085A9473A6E}</author>
    <author>tc={DD4E496A-9CE5-4C68-B518-CF2EC09754A9}</author>
    <author>tc={3D20B49E-32BC-425C-A371-71BA73F332A6}</author>
    <author>tc={1842E06B-2160-4CD7-B65F-945F2A179EE5}</author>
    <author>tc={817F9661-CBF3-4605-9645-4615CEE5FD4E}</author>
    <author>tc={21F9C32E-F9EA-4EA6-B336-C7952DBE1F80}</author>
  </authors>
  <commentList>
    <comment ref="A6" authorId="0" shapeId="0" xr:uid="{587FBF2B-A0BB-4BFA-936F-0E30B09AFBCC}">
      <text>
        <t>[Threaded comment]
Your version of Excel allows you to read this threaded comment; however, any edits to it will get removed if the file is opened in a newer version of Excel. Learn more: https://go.microsoft.com/fwlink/?linkid=870924
Comment:
    Net of SMEEP</t>
      </text>
    </comment>
    <comment ref="A33" authorId="1" shapeId="0" xr:uid="{D0C0F645-F7C9-484C-B48C-B5124AD34C22}">
      <text>
        <t>[Threaded comment]
Your version of Excel allows you to read this threaded comment; however, any edits to it will get removed if the file is opened in a newer version of Excel. Learn more: https://go.microsoft.com/fwlink/?linkid=870924
Comment:
    kW not used in setting this fixed charge because demand customers are still billed for their demand. Only energy (kWh) is impacted by net metering. per Scott Anderson at GMP</t>
      </text>
    </comment>
    <comment ref="D33" authorId="2" shapeId="0" xr:uid="{449109C0-931F-482C-9BDB-C8DBAAC065BD}">
      <text>
        <t>[Threaded comment]
Your version of Excel allows you to read this threaded comment; however, any edits to it will get removed if the file is opened in a newer version of Excel. Learn more: https://go.microsoft.com/fwlink/?linkid=870924
Comment:
    customers are charged EEC on their actual demand which is almost never offset by net metering</t>
      </text>
    </comment>
    <comment ref="F33" authorId="3" shapeId="0" xr:uid="{D0AF30DE-1284-4D53-B896-9548F530248D}">
      <text>
        <t>[Threaded comment]
Your version of Excel allows you to read this threaded comment; however, any edits to it will get removed if the file is opened in a newer version of Excel. Learn more: https://go.microsoft.com/fwlink/?linkid=870924
Comment:
    customers are charged EEC on their actual demand which is almost never offset by net metering</t>
      </text>
    </comment>
    <comment ref="K33" authorId="4" shapeId="0" xr:uid="{389C846D-3563-4649-81FA-4D288A467250}">
      <text>
        <t>[Threaded comment]
Your version of Excel allows you to read this threaded comment; however, any edits to it will get removed if the file is opened in a newer version of Excel. Learn more: https://go.microsoft.com/fwlink/?linkid=870924
Comment:
    customers are charged EEC on their actual demand which is almost never offset by net metering</t>
      </text>
    </comment>
    <comment ref="M33" authorId="5" shapeId="0" xr:uid="{20A10A3A-99F2-4F97-8949-E64AAC680212}">
      <text>
        <t>[Threaded comment]
Your version of Excel allows you to read this threaded comment; however, any edits to it will get removed if the file is opened in a newer version of Excel. Learn more: https://go.microsoft.com/fwlink/?linkid=870924
Comment:
    customers are charged EEC on their actual demand which is almost never offset by net metering</t>
      </text>
    </comment>
    <comment ref="A41" authorId="6" shapeId="0" xr:uid="{74983240-868E-4AB2-BDC0-56D4B9348769}">
      <text>
        <t>[Threaded comment]
Your version of Excel allows you to read this threaded comment; however, any edits to it will get removed if the file is opened in a newer version of Excel. Learn more: https://go.microsoft.com/fwlink/?linkid=870924
Comment:
    per 8/1/22 filing</t>
      </text>
    </comment>
    <comment ref="A42" authorId="7" shapeId="0" xr:uid="{17EB3C38-EDA5-4435-B332-D03DB2C33474}">
      <text>
        <t>[Threaded comment]
Your version of Excel allows you to read this threaded comment; however, any edits to it will get removed if the file is opened in a newer version of Excel. Learn more: https://go.microsoft.com/fwlink/?linkid=870924
Comment:
    per 8/1/22 filing</t>
      </text>
    </comment>
    <comment ref="A43" authorId="8" shapeId="0" xr:uid="{05A8FC65-5560-4A9F-8E75-7103E4C722E2}">
      <text>
        <t>[Threaded comment]
Your version of Excel allows you to read this threaded comment; however, any edits to it will get removed if the file is opened in a newer version of Excel. Learn more: https://go.microsoft.com/fwlink/?linkid=870924
Comment:
    per 8/1/22 filing</t>
      </text>
    </comment>
    <comment ref="A44" authorId="9" shapeId="0" xr:uid="{20B108A5-8EA0-4116-B1E5-462B01EE5E33}">
      <text>
        <t>[Threaded comment]
Your version of Excel allows you to read this threaded comment; however, any edits to it will get removed if the file is opened in a newer version of Excel. Learn more: https://go.microsoft.com/fwlink/?linkid=870924
Comment:
    per 8/1/22 filing</t>
      </text>
    </comment>
    <comment ref="A45" authorId="10" shapeId="0" xr:uid="{A13624A1-B0D0-490A-942E-DD45AE738861}">
      <text>
        <t>[Threaded comment]
Your version of Excel allows you to read this threaded comment; however, any edits to it will get removed if the file is opened in a newer version of Excel. Learn more: https://go.microsoft.com/fwlink/?linkid=870924
Comment:
    per 8/1/22 filing</t>
      </text>
    </comment>
    <comment ref="A46" authorId="11" shapeId="0" xr:uid="{0BF30D27-50D5-4CB8-BDF6-F51CE525341C}">
      <text>
        <t>[Threaded comment]
Your version of Excel allows you to read this threaded comment; however, any edits to it will get removed if the file is opened in a newer version of Excel. Learn more: https://go.microsoft.com/fwlink/?linkid=870924
Comment:
    per 8/1/22 filing</t>
      </text>
    </comment>
    <comment ref="A47" authorId="12" shapeId="0" xr:uid="{7FE94B6E-F5DD-4DDE-AFD5-0063F976F804}">
      <text>
        <t>[Threaded comment]
Your version of Excel allows you to read this threaded comment; however, any edits to it will get removed if the file is opened in a newer version of Excel. Learn more: https://go.microsoft.com/fwlink/?linkid=870924
Comment:
    per 8/1/22 filing</t>
      </text>
    </comment>
    <comment ref="A48" authorId="13" shapeId="0" xr:uid="{346314F2-AC6E-47D2-B8F6-13DC5485FA4F}">
      <text>
        <t>[Threaded comment]
Your version of Excel allows you to read this threaded comment; however, any edits to it will get removed if the file is opened in a newer version of Excel. Learn more: https://go.microsoft.com/fwlink/?linkid=870924
Comment:
    per 8/1/22 filing</t>
      </text>
    </comment>
    <comment ref="A49" authorId="14" shapeId="0" xr:uid="{1E6CCD3F-83E2-44BC-B1EC-BB924029EE51}">
      <text>
        <t>[Threaded comment]
Your version of Excel allows you to read this threaded comment; however, any edits to it will get removed if the file is opened in a newer version of Excel. Learn more: https://go.microsoft.com/fwlink/?linkid=870924
Comment:
    per 8/1/22 filing</t>
      </text>
    </comment>
    <comment ref="A50" authorId="15" shapeId="0" xr:uid="{20B2B126-61D5-4015-A266-E3704CBFD58A}">
      <text>
        <t>[Threaded comment]
Your version of Excel allows you to read this threaded comment; however, any edits to it will get removed if the file is opened in a newer version of Excel. Learn more: https://go.microsoft.com/fwlink/?linkid=870924
Comment:
    per 8/1/22 filing</t>
      </text>
    </comment>
    <comment ref="A51" authorId="16" shapeId="0" xr:uid="{647450AF-81CC-4A01-AAE2-1085A9473A6E}">
      <text>
        <t>[Threaded comment]
Your version of Excel allows you to read this threaded comment; however, any edits to it will get removed if the file is opened in a newer version of Excel. Learn more: https://go.microsoft.com/fwlink/?linkid=870924
Comment:
    per 8/1/22 filing</t>
      </text>
    </comment>
    <comment ref="A52" authorId="17" shapeId="0" xr:uid="{DD4E496A-9CE5-4C68-B518-CF2EC09754A9}">
      <text>
        <t>[Threaded comment]
Your version of Excel allows you to read this threaded comment; however, any edits to it will get removed if the file is opened in a newer version of Excel. Learn more: https://go.microsoft.com/fwlink/?linkid=870924
Comment:
    per 8/1/22 filing</t>
      </text>
    </comment>
    <comment ref="A53" authorId="18" shapeId="0" xr:uid="{3D20B49E-32BC-425C-A371-71BA73F332A6}">
      <text>
        <t>[Threaded comment]
Your version of Excel allows you to read this threaded comment; however, any edits to it will get removed if the file is opened in a newer version of Excel. Learn more: https://go.microsoft.com/fwlink/?linkid=870924
Comment:
    per 8/1/22 filing</t>
      </text>
    </comment>
    <comment ref="A54" authorId="19" shapeId="0" xr:uid="{1842E06B-2160-4CD7-B65F-945F2A179EE5}">
      <text>
        <t>[Threaded comment]
Your version of Excel allows you to read this threaded comment; however, any edits to it will get removed if the file is opened in a newer version of Excel. Learn more: https://go.microsoft.com/fwlink/?linkid=870924
Comment:
    per 8/1/22 filing</t>
      </text>
    </comment>
    <comment ref="A55" authorId="20" shapeId="0" xr:uid="{817F9661-CBF3-4605-9645-4615CEE5FD4E}">
      <text>
        <t>[Threaded comment]
Your version of Excel allows you to read this threaded comment; however, any edits to it will get removed if the file is opened in a newer version of Excel. Learn more: https://go.microsoft.com/fwlink/?linkid=870924
Comment:
    per 8/3 email from KO</t>
      </text>
    </comment>
    <comment ref="A56" authorId="21" shapeId="0" xr:uid="{21F9C32E-F9EA-4EA6-B336-C7952DBE1F80}">
      <text>
        <t>[Threaded comment]
Your version of Excel allows you to read this threaded comment; however, any edits to it will get removed if the file is opened in a newer version of Excel. Learn more: https://go.microsoft.com/fwlink/?linkid=870924
Comment:
    per 8/1/22 filing</t>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C5" authorId="0" shapeId="0" xr:uid="{00000000-0006-0000-0600-000001000000}">
      <text>
        <r>
          <rPr>
            <b/>
            <sz val="9"/>
            <color indexed="81"/>
            <rFont val="Tahoma"/>
            <family val="2"/>
          </rPr>
          <t>Jim Massie:</t>
        </r>
        <r>
          <rPr>
            <sz val="9"/>
            <color indexed="81"/>
            <rFont val="Tahoma"/>
            <family val="2"/>
          </rPr>
          <t xml:space="preserve">
see alternative methodology results in column V to the right</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tc={FEDA75A3-6885-42D9-A626-2414CF177C12}</author>
    <author>tc={9DCF6F9B-09DE-4116-BC8C-A5B319B1BF58}</author>
    <author>tc={7B6C75E3-FA2D-451F-AFCC-FC4F3669EF13}</author>
    <author>tc={4B94DE2E-9E18-4C3E-94EC-AD47F6CCEFC9}</author>
    <author>tc={EB568055-9FC4-46A0-B1C9-C3BB445D6E58}</author>
    <author>tc={AE51858E-287B-4AC2-BA04-66C398CD9B74}</author>
    <author>tc={117D131D-BCE3-4D59-8A76-4C5A08B0CF1D}</author>
    <author>tc={0C0FFA77-1BC0-43BD-83DD-A5BA8D4F6884}</author>
    <author>tc={D2C845A7-CC5E-42AA-BB6F-5F062DC5F396}</author>
    <author>tc={DAED9AFC-4975-4E34-AC3E-1D1778C9F9B0}</author>
    <author>tc={42C7833A-F140-4519-8CA6-85D3322AB462}</author>
    <author>tc={75D345B2-1C54-4939-8AF2-7D74BF00071F}</author>
    <author>tc={DB7026D2-DBA3-434B-BE1D-F337A4676FAF}</author>
    <author>tc={66911801-696C-499C-9CA0-8104D89C9D33}</author>
    <author>tc={A990E7E1-99F3-46A4-9240-D6A443885312}</author>
    <author>tc={1ED9BFE8-0E54-4017-8972-67A049800852}</author>
    <author>tc={3274BF51-54E3-47C1-A442-E505DF2EF405}</author>
    <author>tc={F785AD56-31CB-4488-8AD6-CD173A04C00A}</author>
    <author>tc={AD4CD370-6E91-4907-936A-5240D94C7FAC}</author>
    <author>tc={BA4EBF1F-C4CC-405B-9A28-110AB775A081}</author>
    <author>tc={8E6D5834-D68D-4350-B175-1080ED952E9D}</author>
    <author>tc={EAA34777-351A-47E0-9DCB-EE69C724C1B0}</author>
    <author>tc={D9BC361A-DA02-4156-972A-4F99F12D8FF3}</author>
    <author>tc={767BF8C9-0597-455F-98FB-73DD0FEED758}</author>
    <author>tc={A9D16AB7-593D-4CA6-A8BB-D19001415B51}</author>
    <author>tc={10352109-08E0-4954-A20B-C0FC4E92F0B6}</author>
    <author>tc={E71E75D7-A069-43C1-9F42-33DA1D351D01}</author>
    <author>tc={B787137D-8D4E-4239-8BD1-DCEBF2F31EBF}</author>
    <author>tc={0C4B3A3C-9A8F-4E74-B358-EF5F301ACBFC}</author>
    <author>tc={F6CE7D7C-6023-49A8-8D40-1A2F94E1C3AE}</author>
    <author>tc={3A5FD32E-5D68-4764-B700-37CE654A5227}</author>
    <author>tc={EF0C6D5F-B8F5-46E7-A4D2-6F65FBEB579B}</author>
    <author>tc={F6CC8AC9-0EE9-4D00-8EB5-C789167B4CCB}</author>
    <author>tc={0115C961-ECE1-4D23-8DD1-56EFD09630CF}</author>
    <author>tc={713D0240-5C2F-4603-B799-251D8181DA2D}</author>
    <author>tc={33556B1B-D9A7-4239-A5D7-487F7108B10C}</author>
    <author>tc={6B58406E-D56F-4A64-AF6B-B2982225267B}</author>
    <author>tc={8CEF4ACA-155A-4A03-A213-BBD445D7B864}</author>
    <author>tc={68953936-8A0A-48DD-A4EB-AB741CDC9EDC}</author>
    <author>tc={95375A97-B92D-4F76-A7D6-EB7C66E86A5A}</author>
    <author>tc={34AEDF18-4B52-41C8-882D-D80FAACF18BB}</author>
    <author>tc={0F2F83AA-D5DB-4EBB-ADFA-A58E27547BE3}</author>
    <author>tc={AE3A3536-91AA-4495-A46A-1EA8CA97C59B}</author>
    <author>tc={E62BDCB1-E7B5-4E1A-9C94-38442A80A59B}</author>
    <author>tc={F177A62B-F918-470B-BB46-DC3B4C9D430E}</author>
    <author>tc={6DF35FCA-DF44-4E3F-8EEA-129FB4D934A4}</author>
    <author>tc={C4EE4BFB-2AB4-4642-B97C-C2A73B98AB96}</author>
    <author>Jim Massie</author>
    <author>tc={472160F4-982B-46DA-9A0A-BE9E58BFDAED}</author>
    <author>tc={A3247F44-42C5-41E3-BFCD-65516361CE9F}</author>
  </authors>
  <commentList>
    <comment ref="K7" authorId="0" shapeId="0" xr:uid="{FEDA75A3-6885-42D9-A626-2414CF177C12}">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7" authorId="1" shapeId="0" xr:uid="{9DCF6F9B-09DE-4116-BC8C-A5B319B1BF58}">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7" authorId="2" shapeId="0" xr:uid="{7B6C75E3-FA2D-451F-AFCC-FC4F3669EF13}">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K8" authorId="3" shapeId="0" xr:uid="{4B94DE2E-9E18-4C3E-94EC-AD47F6CCEFC9}">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8" authorId="4" shapeId="0" xr:uid="{EB568055-9FC4-46A0-B1C9-C3BB445D6E58}">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8" authorId="5" shapeId="0" xr:uid="{AE51858E-287B-4AC2-BA04-66C398CD9B74}">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B9" authorId="6" shapeId="0" xr:uid="{117D131D-BCE3-4D59-8A76-4C5A08B0CF1D}">
      <text>
        <t>[Threaded comment]
Your version of Excel allows you to read this threaded comment; however, any edits to it will get removed if the file is opened in a newer version of Excel. Learn more: https://go.microsoft.com/fwlink/?linkid=870924
Comment:
    Used PUC approved 2023 budget even though carryover from 2021 has been applied to 2023. Those funds were already been collected in 2021.</t>
      </text>
    </comment>
    <comment ref="K9" authorId="7" shapeId="0" xr:uid="{0C0FFA77-1BC0-43BD-83DD-A5BA8D4F6884}">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9" authorId="8" shapeId="0" xr:uid="{D2C845A7-CC5E-42AA-BB6F-5F062DC5F396}">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9" authorId="9" shapeId="0" xr:uid="{DAED9AFC-4975-4E34-AC3E-1D1778C9F9B0}">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K10" authorId="10" shapeId="0" xr:uid="{42C7833A-F140-4519-8CA6-85D3322AB462}">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10" authorId="11" shapeId="0" xr:uid="{75D345B2-1C54-4939-8AF2-7D74BF00071F}">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10" authorId="12" shapeId="0" xr:uid="{DB7026D2-DBA3-434B-BE1D-F337A4676FAF}">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K11" authorId="13" shapeId="0" xr:uid="{66911801-696C-499C-9CA0-8104D89C9D33}">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11" authorId="14" shapeId="0" xr:uid="{A990E7E1-99F3-46A4-9240-D6A443885312}">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11" authorId="15" shapeId="0" xr:uid="{1ED9BFE8-0E54-4017-8972-67A049800852}">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K14" authorId="16" shapeId="0" xr:uid="{3274BF51-54E3-47C1-A442-E505DF2EF405}">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14" authorId="17" shapeId="0" xr:uid="{F785AD56-31CB-4488-8AD6-CD173A04C00A}">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14" authorId="18" shapeId="0" xr:uid="{AD4CD370-6E91-4907-936A-5240D94C7FAC}">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K15" authorId="19" shapeId="0" xr:uid="{BA4EBF1F-C4CC-405B-9A28-110AB775A081}">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15" authorId="20" shapeId="0" xr:uid="{8E6D5834-D68D-4350-B175-1080ED952E9D}">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15" authorId="21" shapeId="0" xr:uid="{EAA34777-351A-47E0-9DCB-EE69C724C1B0}">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A16" authorId="22" shapeId="0" xr:uid="{D9BC361A-DA02-4156-972A-4F99F12D8FF3}">
      <text>
        <t>[Threaded comment]
Your version of Excel allows you to read this threaded comment; however, any edits to it will get removed if the file is opened in a newer version of Excel. Learn more: https://go.microsoft.com/fwlink/?linkid=870924
Comment:
    Rule 5.304 (C) 2.
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text>
    </comment>
    <comment ref="K16" authorId="23" shapeId="0" xr:uid="{767BF8C9-0597-455F-98FB-73DD0FEED758}">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16" authorId="24" shapeId="0" xr:uid="{A9D16AB7-593D-4CA6-A8BB-D19001415B51}">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16" authorId="25" shapeId="0" xr:uid="{10352109-08E0-4954-A20B-C0FC4E92F0B6}">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A17" authorId="26" shapeId="0" xr:uid="{E71E75D7-A069-43C1-9F42-33DA1D351D01}">
      <text>
        <t>[Threaded comment]
Your version of Excel allows you to read this threaded comment; however, any edits to it will get removed if the file is opened in a newer version of Excel. Learn more: https://go.microsoft.com/fwlink/?linkid=870924
Comment:
    Rule 5.304 (C) 1.
The specific information to be provided by each distribution utility
shall be:
• 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 A reasonable estimate of the uncollectibles related to the Energy Efficiency Charge for the remaining six months of the current
calendar year. 
• 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text>
    </comment>
    <comment ref="K17" authorId="27" shapeId="0" xr:uid="{B787137D-8D4E-4239-8BD1-DCEBF2F31EBF}">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17" authorId="28" shapeId="0" xr:uid="{0C4B3A3C-9A8F-4E74-B358-EF5F301ACBFC}">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17" authorId="29" shapeId="0" xr:uid="{F6CE7D7C-6023-49A8-8D40-1A2F94E1C3AE}">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A18" authorId="30" shapeId="0" xr:uid="{3A5FD32E-5D68-4764-B700-37CE654A5227}">
      <text>
        <t>[Threaded comment]
Your version of Excel allows you to read this threaded comment; however, any edits to it will get removed if the file is opened in a newer version of Excel. Learn more: https://go.microsoft.com/fwlink/?linkid=870924
Comment:
    5.305 (E) 1
a. For any year following the end of an EEU’s three-year budget:
If Uncommitted Funds &lt; 0.05 * Prior Year Total Budget, then Budget Credit shall be determined by the Commission in a separate process
If Uncommitted Funds &gt; 0.05 * Prior Year Total Budget, then Budget Credit = Uncommitted Funds
b. For all other years, Budget Credit = 0
5.305 (E) 2. 
Electric EEU Total Budget - BED Budget + (Electric Statewide
Uncollectibles - BED Uncollectibles) - Budget Credit = Amount to be Allocated</t>
      </text>
    </comment>
    <comment ref="K18" authorId="31" shapeId="0" xr:uid="{EF0C6D5F-B8F5-46E7-A4D2-6F65FBEB579B}">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L18" authorId="32" shapeId="0" xr:uid="{F6CC8AC9-0EE9-4D00-8EB5-C789167B4CCB}">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M18" authorId="33" shapeId="0" xr:uid="{0115C961-ECE1-4D23-8DD1-56EFD09630CF}">
      <text>
        <t>[Threaded comment]
Your version of Excel allows you to read this threaded comment; however, any edits to it will get removed if the file is opened in a newer version of Excel. Learn more: https://go.microsoft.com/fwlink/?linkid=870924
Comment:
    from 10/22/2020 Order in 19-3272-PET</t>
      </text>
    </comment>
    <comment ref="A22" authorId="34" shapeId="0" xr:uid="{713D0240-5C2F-4603-B799-251D8181DA2D}">
      <text>
        <t>[Threaded comment]
Your version of Excel allows you to read this threaded comment; however, any edits to it will get removed if the file is opened in a newer version of Excel. Learn more: https://go.microsoft.com/fwlink/?linkid=870924
Comment:
    This is two years prior to the rate year. For 2022 rates, it would be 2020.</t>
      </text>
    </comment>
    <comment ref="A23" authorId="35" shapeId="0" xr:uid="{33556B1B-D9A7-4239-A5D7-487F7108B10C}">
      <text>
        <t>[Threaded comment]
Your version of Excel allows you to read this threaded comment; however, any edits to it will get removed if the file is opened in a newer version of Excel. Learn more: https://go.microsoft.com/fwlink/?linkid=870924
Comment:
    5.305(E)4.a.</t>
      </text>
    </comment>
    <comment ref="A24" authorId="36" shapeId="0" xr:uid="{6B58406E-D56F-4A64-AF6B-B2982225267B}">
      <text>
        <t>[Threaded comment]
Your version of Excel allows you to read this threaded comment; however, any edits to it will get removed if the file is opened in a newer version of Excel. Learn more: https://go.microsoft.com/fwlink/?linkid=870924
Comment:
    5.305(E)4.b.</t>
      </text>
    </comment>
    <comment ref="A25" authorId="37" shapeId="0" xr:uid="{8CEF4ACA-155A-4A03-A213-BBD445D7B864}">
      <text>
        <t>[Threaded comment]
Your version of Excel allows you to read this threaded comment; however, any edits to it will get removed if the file is opened in a newer version of Excel. Learn more: https://go.microsoft.com/fwlink/?linkid=870924
Comment:
    5.305(E)4.c.</t>
      </text>
    </comment>
    <comment ref="A29" authorId="38" shapeId="0" xr:uid="{68953936-8A0A-48DD-A4EB-AB741CDC9EDC}">
      <text>
        <t>[Threaded comment]
Your version of Excel allows you to read this threaded comment; however, any edits to it will get removed if the file is opened in a newer version of Excel. Learn more: https://go.microsoft.com/fwlink/?linkid=870924
Comment:
    This is two years prior to the rate year. For 2022 rates, it would be 2020.</t>
      </text>
    </comment>
    <comment ref="A30" authorId="39" shapeId="0" xr:uid="{95375A97-B92D-4F76-A7D6-EB7C66E86A5A}">
      <text>
        <t>[Threaded comment]
Your version of Excel allows you to read this threaded comment; however, any edits to it will get removed if the file is opened in a newer version of Excel. Learn more: https://go.microsoft.com/fwlink/?linkid=870924
Comment:
    5.305(E)4.a.</t>
      </text>
    </comment>
    <comment ref="A31" authorId="40" shapeId="0" xr:uid="{34AEDF18-4B52-41C8-882D-D80FAACF18BB}">
      <text>
        <t>[Threaded comment]
Your version of Excel allows you to read this threaded comment; however, any edits to it will get removed if the file is opened in a newer version of Excel. Learn more: https://go.microsoft.com/fwlink/?linkid=870924
Comment:
    5.305(E)4.b.</t>
      </text>
    </comment>
    <comment ref="A32" authorId="41" shapeId="0" xr:uid="{0F2F83AA-D5DB-4EBB-ADFA-A58E27547BE3}">
      <text>
        <t>[Threaded comment]
Your version of Excel allows you to read this threaded comment; however, any edits to it will get removed if the file is opened in a newer version of Excel. Learn more: https://go.microsoft.com/fwlink/?linkid=870924
Comment:
    5.305(E)4.c.</t>
      </text>
    </comment>
    <comment ref="A42" authorId="42" shapeId="0" xr:uid="{AE3A3536-91AA-4495-A46A-1EA8CA97C59B}">
      <text>
        <t>[Threaded comment]
Your version of Excel allows you to read this threaded comment; however, any edits to it will get removed if the file is opened in a newer version of Excel. Learn more: https://go.microsoft.com/fwlink/?linkid=870924
Comment:
    5.304 (E) says these are from prior performance period- If over 5% then Uncommitted equal this total. If &lt;5% then PUC process. Otherwise zero.
For any second year following the end of an EEU’s three-year budget, the methodologies for calculating the Energy Efficiency Charge rates shall use information regarding funds previously raised by the Energy Efficiency Charge that exceed the amount that the EEU has spent plus the amount that it has not spent but is obligated to pay. (These are referred to as
“Uncommitted Funds”; this term is precisely defined in Section
5.305(D)(20).) The Commission shall calculate the amount of
Uncommitted Funds after the end of any year in which an EEU’s three year budget ends pursuant to Section 5.305(E)(1).
5.305 (E) 1. 
a. For any year following the end of an EEU’s three-year budget:
If Uncommitted Funds &lt; 0.05 * Prior Year Total Budget, then Budget Credit shall be determined by the Commission in a separate process
If Uncommitted Funds &gt; 0.05 * Prior Year Total Budget, then Budget Credit = Uncommitted Funds
b. For all other years, Budget Credit = 0</t>
      </text>
    </comment>
    <comment ref="A49" authorId="43" shapeId="0" xr:uid="{E62BDCB1-E7B5-4E1A-9C94-38442A80A59B}">
      <text>
        <t>[Threaded comment]
Your version of Excel allows you to read this threaded comment; however, any edits to it will get removed if the file is opened in a newer version of Excel. Learn more: https://go.microsoft.com/fwlink/?linkid=870924
Comment:
    Rule 5.305 (B)
The Energy Efficiency Charge shall be designed to raise the total amount to be collected for statewide energy efficiency services plus the additional amount of the gross revenue tax (30 V.S.A. § 22) and fuel gross receipts or “weatherization” tax (33 V.S.A. § 2503) applicable to the Energy
Efficiency Charge, adjusted for (1) distribution utility uncollectibles associated with the Energy Efficiency Charge, and (2) over- or under collection of the Energy Efficiency Charge in prior years.</t>
      </text>
    </comment>
    <comment ref="C58" authorId="44" shapeId="0" xr:uid="{F177A62B-F918-470B-BB46-DC3B4C9D430E}">
      <text>
        <t>[Threaded comment]
Your version of Excel allows you to read this threaded comment; however, any edits to it will get removed if the file is opened in a newer version of Excel. Learn more: https://go.microsoft.com/fwlink/?linkid=870924
Comment:
    without tax-fixed fee values include tax</t>
      </text>
    </comment>
    <comment ref="G58" authorId="45" shapeId="0" xr:uid="{6DF35FCA-DF44-4E3F-8EEA-129FB4D934A4}">
      <text>
        <t>[Threaded comment]
Your version of Excel allows you to read this threaded comment; however, any edits to it will get removed if the file is opened in a newer version of Excel. Learn more: https://go.microsoft.com/fwlink/?linkid=870924
Comment:
    Rile 5.305 (E) 2.  includes Budget+ Uncollectibles - Budget Credit (Uncommitted Funds?)</t>
      </text>
    </comment>
    <comment ref="H58" authorId="46" shapeId="0" xr:uid="{C4EE4BFB-2AB4-4642-B97C-C2A73B98AB96}">
      <text>
        <t>[Threaded comment]
Your version of Excel allows you to read this threaded comment; however, any edits to it will get removed if the file is opened in a newer version of Excel. Learn more: https://go.microsoft.com/fwlink/?linkid=870924
Comment:
    Rile 5.305 (E) 3.</t>
      </text>
    </comment>
    <comment ref="G59" authorId="47" shapeId="0" xr:uid="{00000000-0006-0000-0500-000007000000}">
      <text>
        <r>
          <rPr>
            <b/>
            <sz val="9"/>
            <color indexed="81"/>
            <rFont val="Tahoma"/>
            <family val="2"/>
          </rPr>
          <t>Jim Massie:</t>
        </r>
        <r>
          <rPr>
            <sz val="9"/>
            <color indexed="81"/>
            <rFont val="Tahoma"/>
            <family val="2"/>
          </rPr>
          <t xml:space="preserve">
includes uncollectibles</t>
        </r>
      </text>
    </comment>
    <comment ref="B61" authorId="47" shapeId="0" xr:uid="{00000000-0006-0000-0500-000008000000}">
      <text>
        <r>
          <rPr>
            <b/>
            <sz val="9"/>
            <color indexed="81"/>
            <rFont val="Tahoma"/>
            <family val="2"/>
          </rPr>
          <t>Jim Massie:</t>
        </r>
        <r>
          <rPr>
            <sz val="9"/>
            <color indexed="81"/>
            <rFont val="Tahoma"/>
            <family val="2"/>
          </rPr>
          <t xml:space="preserve">
Rule 5.305 E.4.a</t>
        </r>
      </text>
    </comment>
    <comment ref="H61" authorId="47" shapeId="0" xr:uid="{00000000-0006-0000-0500-000009000000}">
      <text>
        <r>
          <rPr>
            <b/>
            <sz val="9"/>
            <color indexed="81"/>
            <rFont val="Tahoma"/>
            <family val="2"/>
          </rPr>
          <t>Jim Massie:</t>
        </r>
        <r>
          <rPr>
            <sz val="9"/>
            <color indexed="81"/>
            <rFont val="Tahoma"/>
            <family val="2"/>
          </rPr>
          <t xml:space="preserve">
Rule 5.305 E.3.a</t>
        </r>
      </text>
    </comment>
    <comment ref="B62" authorId="47" shapeId="0" xr:uid="{00000000-0006-0000-0500-00000A000000}">
      <text>
        <r>
          <rPr>
            <b/>
            <sz val="9"/>
            <color indexed="81"/>
            <rFont val="Tahoma"/>
            <family val="2"/>
          </rPr>
          <t>Jim Massie:</t>
        </r>
        <r>
          <rPr>
            <sz val="9"/>
            <color indexed="81"/>
            <rFont val="Tahoma"/>
            <family val="2"/>
          </rPr>
          <t xml:space="preserve">
Rule 5.305 E.4.b</t>
        </r>
      </text>
    </comment>
    <comment ref="H62" authorId="47" shapeId="0" xr:uid="{00000000-0006-0000-0500-00000B000000}">
      <text>
        <r>
          <rPr>
            <b/>
            <sz val="9"/>
            <color indexed="81"/>
            <rFont val="Tahoma"/>
            <family val="2"/>
          </rPr>
          <t>Jim Massie:</t>
        </r>
        <r>
          <rPr>
            <sz val="9"/>
            <color indexed="81"/>
            <rFont val="Tahoma"/>
            <family val="2"/>
          </rPr>
          <t xml:space="preserve">
Rule 5.305 E.3.b</t>
        </r>
      </text>
    </comment>
    <comment ref="B63" authorId="47" shapeId="0" xr:uid="{00000000-0006-0000-0500-00000C000000}">
      <text>
        <r>
          <rPr>
            <b/>
            <sz val="9"/>
            <color indexed="81"/>
            <rFont val="Tahoma"/>
            <family val="2"/>
          </rPr>
          <t>Jim Massie:</t>
        </r>
        <r>
          <rPr>
            <sz val="9"/>
            <color indexed="81"/>
            <rFont val="Tahoma"/>
            <family val="2"/>
          </rPr>
          <t xml:space="preserve">
Rule 5.305 E.4.c</t>
        </r>
      </text>
    </comment>
    <comment ref="H63" authorId="47" shapeId="0" xr:uid="{00000000-0006-0000-0500-00000D000000}">
      <text>
        <r>
          <rPr>
            <b/>
            <sz val="9"/>
            <color indexed="81"/>
            <rFont val="Tahoma"/>
            <family val="2"/>
          </rPr>
          <t>Jim Massie:</t>
        </r>
        <r>
          <rPr>
            <sz val="9"/>
            <color indexed="81"/>
            <rFont val="Tahoma"/>
            <family val="2"/>
          </rPr>
          <t xml:space="preserve">
Rule 5.305 E.3.c</t>
        </r>
      </text>
    </comment>
    <comment ref="G65" authorId="48" shapeId="0" xr:uid="{472160F4-982B-46DA-9A0A-BE9E58BFDAED}">
      <text>
        <t>[Threaded comment]
Your version of Excel allows you to read this threaded comment; however, any edits to it will get removed if the file is opened in a newer version of Excel. Learn more: https://go.microsoft.com/fwlink/?linkid=870924
Comment:
    Rile 5.305 (E) 2.  includes Budget+ Uncollectibles - Budget Credit (Uncommitted Funds?)</t>
      </text>
    </comment>
    <comment ref="C73" authorId="47" shapeId="0" xr:uid="{00000000-0006-0000-0500-00000E000000}">
      <text>
        <r>
          <rPr>
            <b/>
            <sz val="9"/>
            <color indexed="81"/>
            <rFont val="Tahoma"/>
            <family val="2"/>
          </rPr>
          <t>Jim Massie:</t>
        </r>
        <r>
          <rPr>
            <sz val="9"/>
            <color indexed="81"/>
            <rFont val="Tahoma"/>
            <family val="2"/>
          </rPr>
          <t xml:space="preserve">
uses 2021 data
</t>
        </r>
      </text>
    </comment>
    <comment ref="A76" authorId="47" shapeId="0" xr:uid="{00000000-0006-0000-0500-00000F000000}">
      <text>
        <r>
          <rPr>
            <b/>
            <sz val="9"/>
            <color indexed="81"/>
            <rFont val="Tahoma"/>
            <family val="2"/>
          </rPr>
          <t>Jim Massie:</t>
        </r>
        <r>
          <rPr>
            <sz val="9"/>
            <color indexed="81"/>
            <rFont val="Tahoma"/>
            <family val="2"/>
          </rPr>
          <t xml:space="preserve">
5.305 E.5.a</t>
        </r>
      </text>
    </comment>
    <comment ref="A80" authorId="47" shapeId="0" xr:uid="{00000000-0006-0000-0500-000010000000}">
      <text>
        <r>
          <rPr>
            <b/>
            <sz val="9"/>
            <color indexed="81"/>
            <rFont val="Tahoma"/>
            <family val="2"/>
          </rPr>
          <t>Jim Massie:</t>
        </r>
        <r>
          <rPr>
            <sz val="9"/>
            <color indexed="81"/>
            <rFont val="Tahoma"/>
            <family val="2"/>
          </rPr>
          <t xml:space="preserve">
5.305 E.5.b</t>
        </r>
      </text>
    </comment>
    <comment ref="K80" authorId="49" shapeId="0" xr:uid="{A3247F44-42C5-41E3-BFCD-65516361CE9F}">
      <text>
        <t>[Threaded comment]
Your version of Excel allows you to read this threaded comment; however, any edits to it will get removed if the file is opened in a newer version of Excel. Learn more: https://go.microsoft.com/fwlink/?linkid=870924
Comment:
    from 2020 forecasted saled in 2015-2019 collections by month</t>
      </text>
    </comment>
    <comment ref="A86" authorId="47" shapeId="0" xr:uid="{00000000-0006-0000-0500-000011000000}">
      <text>
        <r>
          <rPr>
            <b/>
            <sz val="9"/>
            <color indexed="81"/>
            <rFont val="Tahoma"/>
            <family val="2"/>
          </rPr>
          <t>Jim Massie:</t>
        </r>
        <r>
          <rPr>
            <sz val="9"/>
            <color indexed="81"/>
            <rFont val="Tahoma"/>
            <family val="2"/>
          </rPr>
          <t xml:space="preserve">
5.305 E.5.c.</t>
        </r>
      </text>
    </comment>
    <comment ref="C114" authorId="47" shapeId="0" xr:uid="{00000000-0006-0000-0500-000012000000}">
      <text>
        <r>
          <rPr>
            <b/>
            <sz val="9"/>
            <color indexed="81"/>
            <rFont val="Tahoma"/>
            <family val="2"/>
          </rPr>
          <t>Jim Massie:</t>
        </r>
        <r>
          <rPr>
            <sz val="9"/>
            <color indexed="81"/>
            <rFont val="Tahoma"/>
            <family val="2"/>
          </rPr>
          <t xml:space="preserve">
5.305 E.6.a.</t>
        </r>
      </text>
    </comment>
    <comment ref="C117" authorId="47" shapeId="0" xr:uid="{00000000-0006-0000-0500-000013000000}">
      <text>
        <r>
          <rPr>
            <b/>
            <sz val="9"/>
            <color indexed="81"/>
            <rFont val="Tahoma"/>
            <family val="2"/>
          </rPr>
          <t>Jim Massie:</t>
        </r>
        <r>
          <rPr>
            <sz val="9"/>
            <color indexed="81"/>
            <rFont val="Tahoma"/>
            <family val="2"/>
          </rPr>
          <t xml:space="preserve">
5.305 E.6.b.</t>
        </r>
      </text>
    </comment>
    <comment ref="C131" authorId="47" shapeId="0" xr:uid="{00000000-0006-0000-0500-000014000000}">
      <text>
        <r>
          <rPr>
            <b/>
            <sz val="9"/>
            <color indexed="81"/>
            <rFont val="Tahoma"/>
            <family val="2"/>
          </rPr>
          <t>Jim Massie:</t>
        </r>
        <r>
          <rPr>
            <sz val="9"/>
            <color indexed="81"/>
            <rFont val="Tahoma"/>
            <family val="2"/>
          </rPr>
          <t xml:space="preserve">
5.305 E.6.c</t>
        </r>
      </text>
    </comment>
    <comment ref="C134" authorId="47" shapeId="0" xr:uid="{00000000-0006-0000-0500-000015000000}">
      <text>
        <r>
          <rPr>
            <b/>
            <sz val="9"/>
            <color indexed="81"/>
            <rFont val="Tahoma"/>
            <family val="2"/>
          </rPr>
          <t>Jim Massie:</t>
        </r>
        <r>
          <rPr>
            <sz val="9"/>
            <color indexed="81"/>
            <rFont val="Tahoma"/>
            <family val="2"/>
          </rPr>
          <t xml:space="preserve">
5.305 E.6.d.</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tc={6337CA83-7977-435B-B9F7-5FF65AC5D2BE}</author>
    <author>tc={025D68C2-7B01-4509-9470-B4A9FA9D9C72}</author>
  </authors>
  <commentList>
    <comment ref="B18" authorId="0" shapeId="0" xr:uid="{6337CA83-7977-435B-B9F7-5FF65AC5D2BE}">
      <text>
        <t>[Threaded comment]
Your version of Excel allows you to read this threaded comment; however, any edits to it will get removed if the file is opened in a newer version of Excel. Learn more: https://go.microsoft.com/fwlink/?linkid=870924
Comment:
    Per DPS Petition in 21-1616-PET (full amount)</t>
      </text>
    </comment>
    <comment ref="B19" authorId="1" shapeId="0" xr:uid="{025D68C2-7B01-4509-9470-B4A9FA9D9C72}">
      <text>
        <t>[Threaded comment]
Your version of Excel allows you to read this threaded comment; however, any edits to it will get removed if the file is opened in a newer version of Excel. Learn more: https://go.microsoft.com/fwlink/?linkid=870924
Comment:
    a credit of $180,627 was applied in 2022 leaving a balance of $180,405</t>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tc={ECE0BF6E-AB75-448F-93CD-4D696C55813F}</author>
    <author>tc={C8C6065C-C75B-4C4C-B8CE-D991A4B9A41A}</author>
    <author>Jim Massie</author>
  </authors>
  <commentList>
    <comment ref="C11" authorId="0" shapeId="0" xr:uid="{ECE0BF6E-AB75-448F-93CD-4D696C55813F}">
      <text>
        <t>[Threaded comment]
Your version of Excel allows you to read this threaded comment; however, any edits to it will get removed if the file is opened in a newer version of Excel. Learn more: https://go.microsoft.com/fwlink/?linkid=870924
Comment:
    from J30:J32 of EEC Collection True-up sheet in 2020-09-04_FINAL_2021 Efficiency Vermont EEC Calculation with Sensitivity.xlxs file Sept 23, 2020 and later flat rates approved by the Commission. Budget adjustment was also approved.</t>
      </text>
    </comment>
    <comment ref="I11" authorId="1" shapeId="0" xr:uid="{C8C6065C-C75B-4C4C-B8CE-D991A4B9A41A}">
      <text>
        <t>[Threaded comment]
Your version of Excel allows you to read this threaded comment; however, any edits to it will get removed if the file is opened in a newer version of Excel. Learn more: https://go.microsoft.com/fwlink/?linkid=870924
Comment:
    from J30:J32 of EEC Collection True-up sheet in 2020-09-04_FINAL_2021 Efficiency Vermont EEC Calculation with Sensitivity.xlxs file Sept 23, 2020 and later flat rates approved by the Commission. Budget adjustment was also approved.</t>
      </text>
    </comment>
    <comment ref="B12" authorId="2" shapeId="0" xr:uid="{71AB6577-0E70-4856-860D-841E4A405775}">
      <text>
        <r>
          <rPr>
            <b/>
            <sz val="9"/>
            <color indexed="81"/>
            <rFont val="Tahoma"/>
            <family val="2"/>
          </rPr>
          <t>Jim Massie:</t>
        </r>
        <r>
          <rPr>
            <sz val="9"/>
            <color indexed="81"/>
            <rFont val="Tahoma"/>
            <family val="2"/>
          </rPr>
          <t xml:space="preserve">
from 2021 Efficiency Vermont EEC Charge Calculation "EEC Collection True-up" cell C30
</t>
        </r>
      </text>
    </comment>
    <comment ref="B13" authorId="2" shapeId="0" xr:uid="{2523E816-C2B6-4581-9041-23BBCEABC615}">
      <text>
        <r>
          <rPr>
            <b/>
            <sz val="9"/>
            <color indexed="81"/>
            <rFont val="Tahoma"/>
            <family val="2"/>
          </rPr>
          <t>Jim Massie:</t>
        </r>
        <r>
          <rPr>
            <sz val="9"/>
            <color indexed="81"/>
            <rFont val="Tahoma"/>
            <family val="2"/>
          </rPr>
          <t xml:space="preserve">
from 2021 Efficiency Vermont EEC Charge Calculation "EEC Collection True-up" cell C31</t>
        </r>
      </text>
    </comment>
    <comment ref="B14" authorId="2" shapeId="0" xr:uid="{277A0B8F-42EB-4573-9FB4-F92AEE4A1D31}">
      <text>
        <r>
          <rPr>
            <b/>
            <sz val="9"/>
            <color indexed="81"/>
            <rFont val="Tahoma"/>
            <family val="2"/>
          </rPr>
          <t>Jim Massie:</t>
        </r>
        <r>
          <rPr>
            <sz val="9"/>
            <color indexed="81"/>
            <rFont val="Tahoma"/>
            <family val="2"/>
          </rPr>
          <t xml:space="preserve">
from 2021 Efficiency Vermont EEC Charge Calculation "EEC Collection True-up" cell C32</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tc={9C6A1676-D6B0-4CFF-B92B-655FF57010D1}</author>
  </authors>
  <commentList>
    <comment ref="C9" authorId="0" shapeId="0" xr:uid="{9C6A1676-D6B0-4CFF-B92B-655FF57010D1}">
      <text>
        <t>[Threaded comment]
Your version of Excel allows you to read this threaded comment; however, any edits to it will get removed if the file is opened in a newer version of Excel. Learn more: https://go.microsoft.com/fwlink/?linkid=870924
Comment:
    Data from Attachment A_2021 Fixed Monthly Fees Efficiency Vermont_revised 042921.xlxs filed on April 29, 2021 in case # 20-2022-INV  Net meter data was multiplied times 47.3% to arrive at 6 months of billing kWh for that portion</t>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tc={A2EDA119-FF7C-4C2C-883C-59882A34243A}</author>
  </authors>
  <commentList>
    <comment ref="B34" authorId="0" shapeId="0" xr:uid="{A2EDA119-FF7C-4C2C-883C-59882A34243A}">
      <text>
        <t>[Threaded comment]
Your version of Excel allows you to read this threaded comment; however, any edits to it will get removed if the file is opened in a newer version of Excel. Learn more: https://go.microsoft.com/fwlink/?linkid=870924
Comment:
    Used 2019 collections by month % since 2020 was COVID year, then added net metering collections for Jul-Dec to adjust the per month % by month for the year.</t>
      </text>
    </comment>
  </commentList>
</comments>
</file>

<file path=xl/sharedStrings.xml><?xml version="1.0" encoding="utf-8"?>
<sst xmlns="http://schemas.openxmlformats.org/spreadsheetml/2006/main" count="4451" uniqueCount="774">
  <si>
    <t>Commercial Efficiency Charge b</t>
  </si>
  <si>
    <t>Commercial Efficiency Charge</t>
  </si>
  <si>
    <t>Commercial Efficiency Charge c</t>
  </si>
  <si>
    <t>2019 Actual Revenue</t>
  </si>
  <si>
    <t>2019 Approved Budgets</t>
  </si>
  <si>
    <t>Commercial Efficiency Charge d</t>
  </si>
  <si>
    <t>Sector</t>
  </si>
  <si>
    <t>With Tax</t>
  </si>
  <si>
    <t>No Tax</t>
  </si>
  <si>
    <t>Rates</t>
  </si>
  <si>
    <t>Consumption</t>
  </si>
  <si>
    <t>Revenue</t>
  </si>
  <si>
    <t>Variance</t>
  </si>
  <si>
    <t>Street and Area Light Efficienc</t>
  </si>
  <si>
    <t>Street and Area Light Efficiency Charge</t>
  </si>
  <si>
    <t>Residential Efficiency Charge</t>
  </si>
  <si>
    <t>Residential</t>
  </si>
  <si>
    <t>Commercial Non-Demand</t>
  </si>
  <si>
    <t>Commecrial Demand kWh</t>
  </si>
  <si>
    <t>Commercial Demand kW</t>
  </si>
  <si>
    <t>Industrial Efficiency Charge e</t>
  </si>
  <si>
    <t>Industrial Non-Demand</t>
  </si>
  <si>
    <t>Industrial Efficiency Charge f</t>
  </si>
  <si>
    <t>Industrial Demand kWh</t>
  </si>
  <si>
    <t>Industrial Efficiency Charge g</t>
  </si>
  <si>
    <t>Industrial Demand kW</t>
  </si>
  <si>
    <t>Street Lights</t>
  </si>
  <si>
    <t>Total Collections</t>
  </si>
  <si>
    <t>2020 Actual Revenue</t>
  </si>
  <si>
    <t>2020 Approved Budgets</t>
  </si>
  <si>
    <t>Budgets</t>
  </si>
  <si>
    <t>CND</t>
  </si>
  <si>
    <t>CD kWh</t>
  </si>
  <si>
    <t>CD kW</t>
  </si>
  <si>
    <t>I ND</t>
  </si>
  <si>
    <t>I D kWh</t>
  </si>
  <si>
    <t>I D kW</t>
  </si>
  <si>
    <t>Industrial Efficiency Charge</t>
  </si>
  <si>
    <t xml:space="preserve">2019 Electric Sales </t>
  </si>
  <si>
    <t>2021 EEC Rate Calculation</t>
  </si>
  <si>
    <t>Units</t>
  </si>
  <si>
    <t>% Revenue by Sector</t>
  </si>
  <si>
    <t>% Consumption by Sector</t>
  </si>
  <si>
    <t>Budget</t>
  </si>
  <si>
    <t>Collections by Sector</t>
  </si>
  <si>
    <t>2020 Rates</t>
  </si>
  <si>
    <t>% Change</t>
  </si>
  <si>
    <t>kWh</t>
  </si>
  <si>
    <t xml:space="preserve">Commercial </t>
  </si>
  <si>
    <t>Non Demand</t>
  </si>
  <si>
    <t>Demand</t>
  </si>
  <si>
    <t>kW</t>
  </si>
  <si>
    <t>Industrial</t>
  </si>
  <si>
    <t>Totals</t>
  </si>
  <si>
    <t xml:space="preserve">2019 EEC Sales </t>
  </si>
  <si>
    <t>Consumption Change %</t>
  </si>
  <si>
    <t>Sector Shifts</t>
  </si>
  <si>
    <t>Intra-Sector Shifts</t>
  </si>
  <si>
    <t>Commercial (less than 1,000 kw)</t>
  </si>
  <si>
    <t>Industrial (1,000 or greater kW)</t>
  </si>
  <si>
    <t>Non Demand Customers</t>
  </si>
  <si>
    <t>Demand Customers</t>
  </si>
  <si>
    <t>Total</t>
  </si>
  <si>
    <t>Other</t>
  </si>
  <si>
    <t>Energy and</t>
  </si>
  <si>
    <t xml:space="preserve">Energy &amp; </t>
  </si>
  <si>
    <t>Capacity (Billed)</t>
  </si>
  <si>
    <t xml:space="preserve">Capacity (Billed) </t>
  </si>
  <si>
    <t xml:space="preserve">Industrial </t>
  </si>
  <si>
    <t>Total Company</t>
  </si>
  <si>
    <t>Company</t>
  </si>
  <si>
    <t>Capacity</t>
  </si>
  <si>
    <t xml:space="preserve">Lights </t>
  </si>
  <si>
    <t>Energy</t>
  </si>
  <si>
    <t>On-Peak</t>
  </si>
  <si>
    <t>Off Peak</t>
  </si>
  <si>
    <t>Commercial</t>
  </si>
  <si>
    <t xml:space="preserve">Unit of Measure </t>
  </si>
  <si>
    <t xml:space="preserve">kWh </t>
  </si>
  <si>
    <t>Cell Formula</t>
  </si>
  <si>
    <t>G+H</t>
  </si>
  <si>
    <t>L+M</t>
  </si>
  <si>
    <t>I+K</t>
  </si>
  <si>
    <t>W+X</t>
  </si>
  <si>
    <t xml:space="preserve">S+V </t>
  </si>
  <si>
    <t>C+P+AA+AB</t>
  </si>
  <si>
    <t>N+Y</t>
  </si>
  <si>
    <t>Authorized EEC Exclusions</t>
  </si>
  <si>
    <t>GMP</t>
  </si>
  <si>
    <r>
      <t xml:space="preserve">Total Exclusions </t>
    </r>
    <r>
      <rPr>
        <b/>
        <sz val="11"/>
        <rFont val="Calibri"/>
        <family val="2"/>
      </rPr>
      <t xml:space="preserve">(see Note 2) </t>
    </r>
  </si>
  <si>
    <t>kWh and kW Subject To EEC Charge:</t>
  </si>
  <si>
    <t>Barton</t>
  </si>
  <si>
    <t>Enosburg Falls</t>
  </si>
  <si>
    <t>Green Mountain Power</t>
  </si>
  <si>
    <t>Hardwick</t>
  </si>
  <si>
    <t>Hyde Park</t>
  </si>
  <si>
    <t>Jacksonville</t>
  </si>
  <si>
    <t>Johnson</t>
  </si>
  <si>
    <t>Ludlow</t>
  </si>
  <si>
    <t>Lyndonville</t>
  </si>
  <si>
    <t>Morrisville</t>
  </si>
  <si>
    <t>Northfield</t>
  </si>
  <si>
    <t>Orleans</t>
  </si>
  <si>
    <t xml:space="preserve">Stowe </t>
  </si>
  <si>
    <t>Swanton</t>
  </si>
  <si>
    <t>Vermont Electric Coop (VEC).</t>
  </si>
  <si>
    <t xml:space="preserve">Washington Electric Coop (WEC) </t>
  </si>
  <si>
    <t>Total Subject to EEC Charge</t>
  </si>
  <si>
    <t xml:space="preserve">Total Statewide </t>
  </si>
  <si>
    <t>Change from 2018 to 2019</t>
  </si>
  <si>
    <t>EFFICIENCY VERMONT</t>
  </si>
  <si>
    <t>ENERGY EFFICIENCY CHARGE</t>
  </si>
  <si>
    <t>RATE CALCULATION</t>
  </si>
  <si>
    <t>INFORMATION REQUIREMENT SUMMARY</t>
  </si>
  <si>
    <t>PER PUC RULE 5.300</t>
  </si>
  <si>
    <t>STATEWIDE SUMMARY</t>
  </si>
  <si>
    <t xml:space="preserve">A </t>
  </si>
  <si>
    <t>B</t>
  </si>
  <si>
    <t xml:space="preserve">C </t>
  </si>
  <si>
    <t>D</t>
  </si>
  <si>
    <t>E</t>
  </si>
  <si>
    <t>F</t>
  </si>
  <si>
    <t>G</t>
  </si>
  <si>
    <t>H</t>
  </si>
  <si>
    <t>I</t>
  </si>
  <si>
    <t>J</t>
  </si>
  <si>
    <t>K</t>
  </si>
  <si>
    <t>L</t>
  </si>
  <si>
    <t>M</t>
  </si>
  <si>
    <t>N</t>
  </si>
  <si>
    <t>O</t>
  </si>
  <si>
    <t>P</t>
  </si>
  <si>
    <t>Q</t>
  </si>
  <si>
    <t>R</t>
  </si>
  <si>
    <t>S</t>
  </si>
  <si>
    <t xml:space="preserve">T </t>
  </si>
  <si>
    <t>U</t>
  </si>
  <si>
    <t>V.</t>
  </si>
  <si>
    <t>W</t>
  </si>
  <si>
    <t>X</t>
  </si>
  <si>
    <t>Y</t>
  </si>
  <si>
    <t>Z</t>
  </si>
  <si>
    <t>AA</t>
  </si>
  <si>
    <t>AB</t>
  </si>
  <si>
    <t>AC</t>
  </si>
  <si>
    <t>AD</t>
  </si>
  <si>
    <t>Commercial (less than 1,000 kW)</t>
  </si>
  <si>
    <t>Annual</t>
  </si>
  <si>
    <t>Customer</t>
  </si>
  <si>
    <t xml:space="preserve">Customer </t>
  </si>
  <si>
    <t>Report and or</t>
  </si>
  <si>
    <t>Charge</t>
  </si>
  <si>
    <t xml:space="preserve">Total </t>
  </si>
  <si>
    <t>Total Demand</t>
  </si>
  <si>
    <t>FERC Form 1</t>
  </si>
  <si>
    <t>$</t>
  </si>
  <si>
    <t>B+C</t>
  </si>
  <si>
    <t>F+G+H</t>
  </si>
  <si>
    <t>J+K+N</t>
  </si>
  <si>
    <t>I+O</t>
  </si>
  <si>
    <t>R+S</t>
  </si>
  <si>
    <t>U+V+Y</t>
  </si>
  <si>
    <t>T+Z</t>
  </si>
  <si>
    <t>D+P+AA+AB</t>
  </si>
  <si>
    <t xml:space="preserve"> GMP Customers</t>
  </si>
  <si>
    <t>GMP Customer 2</t>
  </si>
  <si>
    <r>
      <t xml:space="preserve">Total Exclusions </t>
    </r>
    <r>
      <rPr>
        <b/>
        <sz val="11"/>
        <rFont val="Calibri"/>
        <family val="2"/>
        <scheme val="minor"/>
      </rPr>
      <t xml:space="preserve">(see Note 2) </t>
    </r>
  </si>
  <si>
    <t>Retail Sales Subject To EEC Charge:</t>
  </si>
  <si>
    <t>Stowe</t>
  </si>
  <si>
    <t xml:space="preserve">All Other Utilities </t>
  </si>
  <si>
    <t>xxx</t>
  </si>
  <si>
    <t>As Reported To FERC/Annual Report</t>
  </si>
  <si>
    <t>Difference</t>
  </si>
  <si>
    <t>Customers</t>
  </si>
  <si>
    <t>Commercial Demand kWh</t>
  </si>
  <si>
    <t>2020 kWh</t>
  </si>
  <si>
    <t>Change kWh</t>
  </si>
  <si>
    <t>Change %</t>
  </si>
  <si>
    <t>Res kWh 2020</t>
  </si>
  <si>
    <t>Res kWh 2021</t>
  </si>
  <si>
    <t>change %</t>
  </si>
  <si>
    <t>change kWh</t>
  </si>
  <si>
    <t>CND kWh 2020</t>
  </si>
  <si>
    <t>CND kWh 2021</t>
  </si>
  <si>
    <t>CD kWh 2020</t>
  </si>
  <si>
    <t>CD kWh 2021</t>
  </si>
  <si>
    <t>CD kW 2020</t>
  </si>
  <si>
    <t>CD kW 2021</t>
  </si>
  <si>
    <t>change kW</t>
  </si>
  <si>
    <t>Ind kWh 2020</t>
  </si>
  <si>
    <t>Ind kWh 2021</t>
  </si>
  <si>
    <t>change kwh</t>
  </si>
  <si>
    <t>Ind-D kWh 2020</t>
  </si>
  <si>
    <t>Ind D kWh 2021</t>
  </si>
  <si>
    <t>Ind-D kW 2019</t>
  </si>
  <si>
    <t>Ind D kW 2020</t>
  </si>
  <si>
    <t>change kw</t>
  </si>
  <si>
    <t>rate change for CVPS 2D from demand to non-demand?</t>
  </si>
  <si>
    <t>moved to Commercial Demand</t>
  </si>
  <si>
    <t>All C kWh</t>
  </si>
  <si>
    <t>Change</t>
  </si>
  <si>
    <t>%</t>
  </si>
  <si>
    <r>
      <t>Note 1</t>
    </r>
    <r>
      <rPr>
        <sz val="11"/>
        <rFont val="Calibri"/>
        <family val="2"/>
        <scheme val="minor"/>
      </rPr>
      <t xml:space="preserve">: The following definitions shall apply for  "Commercial" and "Industrial"  Customer/Rate Classes; Commercial-less than 1,000 kw per month for all months during the preceding calendar year; Industrial-1,000 kW or more per month for any month during the preceding calendar year. </t>
    </r>
  </si>
  <si>
    <t xml:space="preserve">"Rate Classes" and "Total Company" revenues and kWh as reported here and as reported to FERC should agree, however, if they do not the information reported here must be in accordance with the definitions shown above and any differences reconciled and reported on the Reconciliation Worksheets within this Workbook.  </t>
  </si>
  <si>
    <r>
      <t xml:space="preserve">Note 2:  </t>
    </r>
    <r>
      <rPr>
        <sz val="11"/>
        <rFont val="Calibri"/>
        <family val="2"/>
        <scheme val="minor"/>
      </rPr>
      <t>Authorized Exclusions (if any) apply only where Public Utility Commission Approval has been specifically granted:</t>
    </r>
  </si>
  <si>
    <t>DU $</t>
  </si>
  <si>
    <t>EEC $</t>
  </si>
  <si>
    <t>DU %</t>
  </si>
  <si>
    <t>EEC %</t>
  </si>
  <si>
    <t>Diff</t>
  </si>
  <si>
    <t>DU</t>
  </si>
  <si>
    <t>EEC</t>
  </si>
  <si>
    <t>C</t>
  </si>
  <si>
    <t xml:space="preserve">Street &amp; Area </t>
  </si>
  <si>
    <t>2021 EEC Collections</t>
  </si>
  <si>
    <t>Actual</t>
  </si>
  <si>
    <t>2022 EEC Collections</t>
  </si>
  <si>
    <t>Estimated</t>
  </si>
  <si>
    <t>Data from Utility Monthly</t>
  </si>
  <si>
    <t>Data from Utility Annual</t>
  </si>
  <si>
    <t>Variance between Monthly and Annual</t>
  </si>
  <si>
    <t>Customer Class</t>
  </si>
  <si>
    <t>2020 
kWh and kW</t>
  </si>
  <si>
    <t>2020 EEC Rates</t>
  </si>
  <si>
    <t>Calculated 2020 EEC Revenue</t>
  </si>
  <si>
    <t>Actual 2020 EEC Revenue</t>
  </si>
  <si>
    <t>2020 EEC Revenue</t>
  </si>
  <si>
    <t>Res-Kilowatt Hours</t>
  </si>
  <si>
    <t>Com-Non-Demand Customer - Sales</t>
  </si>
  <si>
    <t>Com-Demand Customer - Sales</t>
  </si>
  <si>
    <t>Com-Demand Customer - Billed Capacity</t>
  </si>
  <si>
    <t>Ind-Non-Demand Customer - Sales</t>
  </si>
  <si>
    <t>Ind-Demand Customer - Sales</t>
  </si>
  <si>
    <t>Ind-Demand Customer - Billed Capacity</t>
  </si>
  <si>
    <t>Street &amp; Area - Kilowatt Hours</t>
  </si>
  <si>
    <t>Utility Sales without 
Net Meter Gross Consumption</t>
  </si>
  <si>
    <t>Commercial Demand</t>
  </si>
  <si>
    <t>Industrial 
Non-Demand</t>
  </si>
  <si>
    <t>Industrial Demand</t>
  </si>
  <si>
    <t>Utility Sales Year w/o NM</t>
  </si>
  <si>
    <t>Commercial Non-Demand MWh</t>
  </si>
  <si>
    <t>Commercial Demand MWh</t>
  </si>
  <si>
    <t>Commercial Demand On- Peak MW</t>
  </si>
  <si>
    <t>Sum MWh</t>
  </si>
  <si>
    <t>Industrial Non-Demand MWh</t>
  </si>
  <si>
    <t>Industrial Demand MWh</t>
  </si>
  <si>
    <t>Industrial Demand On- Peak MW</t>
  </si>
  <si>
    <t>Actual 2017</t>
  </si>
  <si>
    <t>Actual 2018</t>
  </si>
  <si>
    <t>Actual 2019</t>
  </si>
  <si>
    <t>Actual 2020</t>
  </si>
  <si>
    <t>Est 2021</t>
  </si>
  <si>
    <t>2022 Basis</t>
  </si>
  <si>
    <t>2019 kWh</t>
  </si>
  <si>
    <t>Delta</t>
  </si>
  <si>
    <t>GMP CND kWh</t>
  </si>
  <si>
    <t>GMP D kWh</t>
  </si>
  <si>
    <t>GMP D kW</t>
  </si>
  <si>
    <t>Vermont Electric Coop (VEC)</t>
  </si>
  <si>
    <t>2020 Reported Sales</t>
  </si>
  <si>
    <t>Utility</t>
  </si>
  <si>
    <t>Monthly w/o 
Net Meter</t>
  </si>
  <si>
    <t>Annual with Net Meter</t>
  </si>
  <si>
    <t>Net Meter Gross Cosumption</t>
  </si>
  <si>
    <t>Annual Net of Gross Consumption</t>
  </si>
  <si>
    <t>kWh or kW Variance</t>
  </si>
  <si>
    <t>Jan 2020 Rates</t>
  </si>
  <si>
    <t>Feb-Dec 2020 Rates</t>
  </si>
  <si>
    <t>Monthly Revenue</t>
  </si>
  <si>
    <t>Annual Revenue</t>
  </si>
  <si>
    <t>Annual vs Monthly</t>
  </si>
  <si>
    <t xml:space="preserve">kW </t>
  </si>
  <si>
    <t>Net Meter Gross kWh</t>
  </si>
  <si>
    <t>2022 Rate Est.</t>
  </si>
  <si>
    <t>2021 Rate Est</t>
  </si>
  <si>
    <t>w/ NM</t>
  </si>
  <si>
    <t xml:space="preserve">2020 kWh </t>
  </si>
  <si>
    <t>w/o NM</t>
  </si>
  <si>
    <t>C Non-Demand</t>
  </si>
  <si>
    <t>Rule 5.300</t>
  </si>
  <si>
    <t>Gross kWh</t>
  </si>
  <si>
    <t>per kWh</t>
  </si>
  <si>
    <t>Fixed Fees</t>
  </si>
  <si>
    <t xml:space="preserve">Sum </t>
  </si>
  <si>
    <t>Res</t>
  </si>
  <si>
    <t>C- Demand</t>
  </si>
  <si>
    <t>I Demand</t>
  </si>
  <si>
    <t>NM % of Total</t>
  </si>
  <si>
    <t>Alt #1 Flat w/2021</t>
  </si>
  <si>
    <t>Alt #2 Flat, R-4.5%</t>
  </si>
  <si>
    <t>Uncollectible Calculation</t>
  </si>
  <si>
    <t>Actual True-Up</t>
  </si>
  <si>
    <t>Prior Year Uncollectible True-up</t>
  </si>
  <si>
    <t>(A)</t>
  </si>
  <si>
    <t>(B)</t>
  </si>
  <si>
    <t>(C)</t>
  </si>
  <si>
    <t>(D)</t>
  </si>
  <si>
    <t>Barton Village Inc. Electric Dept</t>
  </si>
  <si>
    <t>Enosburg Falls Water &amp; Light Dept</t>
  </si>
  <si>
    <t>Hardwick Electric Dept</t>
  </si>
  <si>
    <t>Hyde Park Electric Dept</t>
  </si>
  <si>
    <t>Jacksonville Electric Company</t>
  </si>
  <si>
    <t>Johnson Electric Dept</t>
  </si>
  <si>
    <t>Ludlow Electric Light Dept</t>
  </si>
  <si>
    <t>Lyndonville Electric Dept</t>
  </si>
  <si>
    <t>Morrisville Water &amp; Light Dept</t>
  </si>
  <si>
    <t>Northfield Electric Dept</t>
  </si>
  <si>
    <t>Orleans Electric Dept</t>
  </si>
  <si>
    <t>Stowe Electric Dept</t>
  </si>
  <si>
    <t>Swanton Village Inc. Electric Dept</t>
  </si>
  <si>
    <t>Vermont Electric Co-Operative</t>
  </si>
  <si>
    <t>Washington Electric Co-Operative</t>
  </si>
  <si>
    <t>Total of all Elec. Utilities</t>
  </si>
  <si>
    <t>(A) =</t>
  </si>
  <si>
    <t>From prior year EEC calculation as forecasted by the DUs</t>
  </si>
  <si>
    <t>(B) =</t>
  </si>
  <si>
    <t>From Utility Invoices paid in early year for prior rate year</t>
  </si>
  <si>
    <t>(C) =</t>
  </si>
  <si>
    <t>Difference between Estimated and Actual. Negative value indicates a need to increase collections, positive decreases collections.</t>
  </si>
  <si>
    <t>(D) =</t>
  </si>
  <si>
    <t>From DU forecast of current year uncollectibles submitted on Aug 1. Negative value increases collections.</t>
  </si>
  <si>
    <t>Estimated Impact on the EEC rates from adding Net Metered kWh sales back into EEC collections</t>
  </si>
  <si>
    <t>2019 kWh Sales</t>
  </si>
  <si>
    <t>Est Net Metered kWh</t>
  </si>
  <si>
    <t>Gross Sales</t>
  </si>
  <si>
    <t>Applied Weighting of NM capacity</t>
  </si>
  <si>
    <t>Forecasted Declines from 2019 Sales</t>
  </si>
  <si>
    <t>Adjusted Sales</t>
  </si>
  <si>
    <t>Adjusted Sales Allocation</t>
  </si>
  <si>
    <t>Commercial Non Demand</t>
  </si>
  <si>
    <t>Industrial Non Demand</t>
  </si>
  <si>
    <t>Total kWh</t>
  </si>
  <si>
    <t>According to EAN dashboard, solar PV installed at the end of 2017 equaled:</t>
  </si>
  <si>
    <t>Sites</t>
  </si>
  <si>
    <t>Avg kW per site</t>
  </si>
  <si>
    <t>.</t>
  </si>
  <si>
    <t>Projected 2021 EEC Collections with 
PUC approved Rates and Load</t>
  </si>
  <si>
    <t>Rate 
Classifications</t>
  </si>
  <si>
    <t>2021 Projected Retail Sales</t>
  </si>
  <si>
    <t>PUC Approved 2021 Rates</t>
  </si>
  <si>
    <t>Projected EEC Collections with PUC Rates</t>
  </si>
  <si>
    <t xml:space="preserve">Customers Without Demand Charges </t>
  </si>
  <si>
    <t>EEC Revenue</t>
  </si>
  <si>
    <t xml:space="preserve">Customers With Demand Charges </t>
  </si>
  <si>
    <t xml:space="preserve">     Commercial</t>
  </si>
  <si>
    <t xml:space="preserve">     Industrial</t>
  </si>
  <si>
    <t>Customers with Unmetered Street and Security Lights</t>
  </si>
  <si>
    <t>Monthly Fixed Fees for Net Metered Customers without Production Meters</t>
  </si>
  <si>
    <t>Commercial without demand</t>
  </si>
  <si>
    <t>Commercial with demand</t>
  </si>
  <si>
    <t>Industrial without demand</t>
  </si>
  <si>
    <t>Industrial with demand</t>
  </si>
  <si>
    <t>Projected 2022 EEC Collections</t>
  </si>
  <si>
    <t>2022 Projected Retail Sales (from Fixed Fee worksheet)</t>
  </si>
  <si>
    <t>PUC Approved 2022 Rates</t>
  </si>
  <si>
    <t>EEC Collection True-Up By Rate Class</t>
  </si>
  <si>
    <t>Source</t>
  </si>
  <si>
    <t>FY 1/22 - 12/22</t>
  </si>
  <si>
    <t>These values are net of taxes at the rate of 1.025%</t>
  </si>
  <si>
    <t>VTEEU</t>
  </si>
  <si>
    <t>Additional 2020</t>
  </si>
  <si>
    <t>Actual Values</t>
  </si>
  <si>
    <t>Forecast (adjusted to account for the July implementation of net metering EEC)</t>
  </si>
  <si>
    <t>Fiscal Year</t>
  </si>
  <si>
    <t>CODE</t>
  </si>
  <si>
    <t>NAME</t>
  </si>
  <si>
    <t>True-ups</t>
  </si>
  <si>
    <t>JAN</t>
  </si>
  <si>
    <t>FEB</t>
  </si>
  <si>
    <t>MAR</t>
  </si>
  <si>
    <t>APR</t>
  </si>
  <si>
    <t>MAY</t>
  </si>
  <si>
    <t>JUN</t>
  </si>
  <si>
    <t>JUL</t>
  </si>
  <si>
    <t>AUG</t>
  </si>
  <si>
    <t>SEP</t>
  </si>
  <si>
    <t>OCT</t>
  </si>
  <si>
    <t>NOV</t>
  </si>
  <si>
    <t>DEC</t>
  </si>
  <si>
    <t>To Date</t>
  </si>
  <si>
    <t>Over/under-collection</t>
  </si>
  <si>
    <t>VTE001</t>
  </si>
  <si>
    <t>Barton Village, Inc. Electric Dept.</t>
  </si>
  <si>
    <t>VTE005</t>
  </si>
  <si>
    <t>Enosburg Falls Water &amp; Light Dept.</t>
  </si>
  <si>
    <t xml:space="preserve">Rule 5.304 (D) </t>
  </si>
  <si>
    <t>2021 EEC calculation</t>
  </si>
  <si>
    <t>2021 Estimated Results</t>
  </si>
  <si>
    <t>2021 Estimate in</t>
  </si>
  <si>
    <t>2021 Avg</t>
  </si>
  <si>
    <t>VTE006</t>
  </si>
  <si>
    <t>Green Mountain Power Corporation</t>
  </si>
  <si>
    <t>Prior Year 2</t>
  </si>
  <si>
    <t xml:space="preserve">Projected </t>
  </si>
  <si>
    <t>Calculated EEC</t>
  </si>
  <si>
    <t>2022 (adjusted)</t>
  </si>
  <si>
    <t>Over/(Under)</t>
  </si>
  <si>
    <t>EEC Rates</t>
  </si>
  <si>
    <t>VTE007</t>
  </si>
  <si>
    <t>Hardwick Electric Dept., Town of</t>
  </si>
  <si>
    <t>Collection</t>
  </si>
  <si>
    <t>kWh Basis</t>
  </si>
  <si>
    <t>Actual kWh</t>
  </si>
  <si>
    <t>EEC calculation</t>
  </si>
  <si>
    <t xml:space="preserve">Collection to be </t>
  </si>
  <si>
    <t>VTE008</t>
  </si>
  <si>
    <t>Hyde Park Electric Dept., Village of</t>
  </si>
  <si>
    <t>w/o Tax</t>
  </si>
  <si>
    <t>w/ Tax</t>
  </si>
  <si>
    <t>w/o tax</t>
  </si>
  <si>
    <t xml:space="preserve">Adjusted in </t>
  </si>
  <si>
    <t>VTE009</t>
  </si>
  <si>
    <t>Jacksonville Electric Company, Village of</t>
  </si>
  <si>
    <t>2023 Rates</t>
  </si>
  <si>
    <t>VTE010</t>
  </si>
  <si>
    <t>Johnson Water &amp; Light Dept., Village of</t>
  </si>
  <si>
    <t>Residential EEC</t>
  </si>
  <si>
    <t>$/kWh</t>
  </si>
  <si>
    <t>VTE011</t>
  </si>
  <si>
    <t>Ludlow Electric Light Dept., Village of</t>
  </si>
  <si>
    <t>Commercial EEC</t>
  </si>
  <si>
    <t>VTE012</t>
  </si>
  <si>
    <t>Lyndonville Electric Dept., Village of</t>
  </si>
  <si>
    <t>Industrial EEC</t>
  </si>
  <si>
    <t>VTE013</t>
  </si>
  <si>
    <t>Morrisville Water &amp; Light Dept., Village of</t>
  </si>
  <si>
    <t>VTE014</t>
  </si>
  <si>
    <t>Northfield Electric Dept., Village of</t>
  </si>
  <si>
    <t>VTE016</t>
  </si>
  <si>
    <t>Orleans Electric Dept., Village of</t>
  </si>
  <si>
    <t>Note: A Negative Difference indicates a need to increase collections by that amount.</t>
  </si>
  <si>
    <t>VTE019</t>
  </si>
  <si>
    <t>Stowe Electric Dept., Town of</t>
  </si>
  <si>
    <t>Note: A Positive Difference indicates a need to decrease collections by that amount.</t>
  </si>
  <si>
    <t>VTE020</t>
  </si>
  <si>
    <t>Swanton Village Inc. Electric Dept.</t>
  </si>
  <si>
    <t>VTE021</t>
  </si>
  <si>
    <t>Vermont Electric Cooperative, Inc.</t>
  </si>
  <si>
    <t>VTE022</t>
  </si>
  <si>
    <t>Washington Electric Cooperative, Inc.</t>
  </si>
  <si>
    <t>Over/under-collection estimate</t>
  </si>
  <si>
    <t>Fiscal Agent Accrued Interest</t>
  </si>
  <si>
    <t xml:space="preserve">   TOTAL CONTRIBUTIONS</t>
  </si>
  <si>
    <t>Current Year Budget</t>
  </si>
  <si>
    <t>2022 EEC Calculation</t>
  </si>
  <si>
    <t>2022 Collections Forecast (w/o Tax)</t>
  </si>
  <si>
    <t>Jan-Jun</t>
  </si>
  <si>
    <t>Jul-Dec</t>
  </si>
  <si>
    <t>Over/(Under) Projection</t>
  </si>
  <si>
    <t>Current Year 1</t>
  </si>
  <si>
    <t>Actual/Estimated</t>
  </si>
  <si>
    <t>Forecasted 2021 Collection Rates w/NM</t>
  </si>
  <si>
    <t>EEC Allocation</t>
  </si>
  <si>
    <t>Jan - May</t>
  </si>
  <si>
    <t>Jun - Dec</t>
  </si>
  <si>
    <t>(w/o Tax)</t>
  </si>
  <si>
    <t>(2022 kWh)</t>
  </si>
  <si>
    <t>2022 Rates</t>
  </si>
  <si>
    <t>Note: A Negative Difference (Adjustment) indicates a need to increase collections by that amount.</t>
  </si>
  <si>
    <t>Note: A Positive Difference (Adjustment) indicates a need to decrease collections by that amount.</t>
  </si>
  <si>
    <t>Prior Year Budget</t>
  </si>
  <si>
    <t>Over/(Under) Actual</t>
  </si>
  <si>
    <t>FY 1/21 - 12/21 - Collections (Net of Taxes)</t>
  </si>
  <si>
    <t>EEU Fiscal Agent 2023 Projected Collections</t>
  </si>
  <si>
    <t>FY 1/23 - 12/23 - Collections (Net of Taxes)</t>
  </si>
  <si>
    <t>Additional 2022</t>
  </si>
  <si>
    <t>2021 % by DU</t>
  </si>
  <si>
    <t xml:space="preserve">   TOTAL CONTRIBUTIONS BUDGET (NET of TAXES)</t>
  </si>
  <si>
    <t>Alternate Methodology</t>
  </si>
  <si>
    <t>Sheet</t>
  </si>
  <si>
    <t>Cell(s)</t>
  </si>
  <si>
    <t>Reference</t>
  </si>
  <si>
    <t>EEC Collections True Up</t>
  </si>
  <si>
    <t>C14:C16</t>
  </si>
  <si>
    <t>Adjusted collections forecast based on October 2020 budget adjustment</t>
  </si>
  <si>
    <t>See "2020 Budget Adjustment"</t>
  </si>
  <si>
    <t>I14:I16</t>
  </si>
  <si>
    <t>D30:D32</t>
  </si>
  <si>
    <t xml:space="preserve">Adjusted kWh projection based on revisions in 2021 Fixed Fee EEC Charge </t>
  </si>
  <si>
    <t>See Fixed Fee Charge filing April 29, 2021</t>
  </si>
  <si>
    <t>Fixed Fee</t>
  </si>
  <si>
    <t>sheet</t>
  </si>
  <si>
    <t>Added this sheet to calculate the 2022 Net Meter monthly fixed fees</t>
  </si>
  <si>
    <t>EEC Calculation</t>
  </si>
  <si>
    <t>C61:C63</t>
  </si>
  <si>
    <t>Added adjustments to lower rates collections due to NM Fixed Fee revenue</t>
  </si>
  <si>
    <t>K14:K16</t>
  </si>
  <si>
    <t>Calculated the average EEC rate per kWh by sector using actual rates and projected sales</t>
  </si>
  <si>
    <t>E14:E16</t>
  </si>
  <si>
    <t>Utility reported 2020 sales with out the utility estimated gross consumption for NM customers</t>
  </si>
  <si>
    <t>B37</t>
  </si>
  <si>
    <t>Applied DPS Act 151 EM&amp;V and 2020 Act 62 Wx credits to residential since that was the source of the variances</t>
  </si>
  <si>
    <t xml:space="preserve">2021 Customers and Consumption as Reported to Efficiency Vermont by the DUs </t>
  </si>
  <si>
    <t>Electric Distribution Utility</t>
  </si>
  <si>
    <t>Total DU Electric Residential Revenue (2021)</t>
  </si>
  <si>
    <t>Total DU Electric Residential Customers (2021)</t>
  </si>
  <si>
    <t>Average Monthly DU Electric Bill</t>
  </si>
  <si>
    <t>2023 Projected EEC from Residential</t>
  </si>
  <si>
    <t>Residential Customers</t>
  </si>
  <si>
    <t>2023 Monthly EEC</t>
  </si>
  <si>
    <t>2023 Total Residential Electric Bill</t>
  </si>
  <si>
    <t>2023 Residential EEC % of Total Bill</t>
  </si>
  <si>
    <t>Total Customers Subject to EEC Charge</t>
  </si>
  <si>
    <t>Consumption and Demand Values from 22-2417-PET</t>
  </si>
  <si>
    <t>Costs at 2021 Rates</t>
  </si>
  <si>
    <t>Distribution Utility Reported 2021 kWh Consumption</t>
  </si>
  <si>
    <t>Average 2021 kWh Consumption per Customer</t>
  </si>
  <si>
    <t>Distribution Utility Reported 2021 kW Demand</t>
  </si>
  <si>
    <t>N/A</t>
  </si>
  <si>
    <t>Average 2021 kW Demand per Customer</t>
  </si>
  <si>
    <t>2023 EEC kWh Rates (including taxes)</t>
  </si>
  <si>
    <t>2023 Average kWh Charge per Customer</t>
  </si>
  <si>
    <t>2023 EEC kW Rates (including taxes)</t>
  </si>
  <si>
    <t>2023 Average EEC kW Charges per Customer</t>
  </si>
  <si>
    <t>Total Average Annual EEC Charge per Customer (with tax)</t>
  </si>
  <si>
    <r>
      <t xml:space="preserve">2023 </t>
    </r>
    <r>
      <rPr>
        <b/>
        <u/>
        <sz val="11"/>
        <color theme="1"/>
        <rFont val="Calibri"/>
        <family val="2"/>
        <scheme val="minor"/>
      </rPr>
      <t>Monthly</t>
    </r>
    <r>
      <rPr>
        <b/>
        <sz val="11"/>
        <color theme="1"/>
        <rFont val="Calibri"/>
        <family val="2"/>
        <scheme val="minor"/>
      </rPr>
      <t xml:space="preserve"> Fixed Fee EEC Charge per 
Net Metered Customer without a Production Meter</t>
    </r>
  </si>
  <si>
    <t>Net Metered Customers without a Production Meter</t>
  </si>
  <si>
    <t>Estimated 2022 Net Metered Fixed Fee Revenues</t>
  </si>
  <si>
    <t>Final NM Fixed Fee Revenue after balance</t>
  </si>
  <si>
    <t>2022 Fixed Fee EEC Rates</t>
  </si>
  <si>
    <t>Annual Change</t>
  </si>
  <si>
    <t>Customer Collections</t>
  </si>
  <si>
    <t>Calculation of EEC Rates for 2023</t>
  </si>
  <si>
    <t>EEC Calculation Sheet Options Explored</t>
  </si>
  <si>
    <t>2023 EVT EEC</t>
  </si>
  <si>
    <t>2022 EEC</t>
  </si>
  <si>
    <t>Alt 1</t>
  </si>
  <si>
    <t>Rate Classifications</t>
  </si>
  <si>
    <t>5.300 Methodology</t>
  </si>
  <si>
    <t>PUC</t>
  </si>
  <si>
    <t>Method</t>
  </si>
  <si>
    <t>Adj. to 2024</t>
  </si>
  <si>
    <t>Unit</t>
  </si>
  <si>
    <t>% chg</t>
  </si>
  <si>
    <t>$/kW</t>
  </si>
  <si>
    <t>Unmetered Street and Security Lights</t>
  </si>
  <si>
    <t>$/month</t>
  </si>
  <si>
    <t>Total EEC to be Billed</t>
  </si>
  <si>
    <t>2022 EEC Rate Comparison</t>
  </si>
  <si>
    <t>5.300 Methodology 
All Credits Included</t>
  </si>
  <si>
    <t>2021 Actual and 2023 Projected Retail Sales</t>
  </si>
  <si>
    <t>2022 
per unit
EEC Rates</t>
  </si>
  <si>
    <t>2023 
per unit
EEC Rates</t>
  </si>
  <si>
    <t>% Change 
2022 to 2023</t>
  </si>
  <si>
    <t>Method 
5.300</t>
  </si>
  <si>
    <t>Alt 1
All Adj. to 2024</t>
  </si>
  <si>
    <t>Alt 2
All Adj. to 2024 and Hold Res Flat</t>
  </si>
  <si>
    <t>Adjustments</t>
  </si>
  <si>
    <t>Fixed Fees for Net Metered Customers without Production Meters</t>
  </si>
  <si>
    <t>2021 EEC kWh Basis</t>
  </si>
  <si>
    <t>2022 v 2021</t>
  </si>
  <si>
    <t xml:space="preserve">Residential </t>
  </si>
  <si>
    <t>Adjusted Budget with Tax</t>
  </si>
  <si>
    <t>Over/Under</t>
  </si>
  <si>
    <t>5.300 Rates</t>
  </si>
  <si>
    <t>100% Adj 
to 2024</t>
  </si>
  <si>
    <t>100% Adj to 2024-Res Flat</t>
  </si>
  <si>
    <t>Projected 2023 Revenue</t>
  </si>
  <si>
    <t>Budget (adjusted)</t>
  </si>
  <si>
    <t>Over / (Under)</t>
  </si>
  <si>
    <t>% Over / (Under)</t>
  </si>
  <si>
    <t>without Tax</t>
  </si>
  <si>
    <t>Alternative Method 
50% Adj to 2024</t>
  </si>
  <si>
    <t>Customer Sector</t>
  </si>
  <si>
    <t>Revenue Target</t>
  </si>
  <si>
    <t>Over/ (Under) Targets</t>
  </si>
  <si>
    <t>Total (Net of Taxes)</t>
  </si>
  <si>
    <t>with Tax</t>
  </si>
  <si>
    <t>Total (with Taxes)</t>
  </si>
  <si>
    <t>check w/Tax</t>
  </si>
  <si>
    <t>check w/o Tax</t>
  </si>
  <si>
    <t>2021 DU
Rev %</t>
  </si>
  <si>
    <t>5.300 
Calc</t>
  </si>
  <si>
    <t>100% Adj. 
to 2024</t>
  </si>
  <si>
    <t>Operations Fee Rates</t>
  </si>
  <si>
    <t>Performance Award Rates</t>
  </si>
  <si>
    <t xml:space="preserve">Efficiency Vermont Electric Budgets </t>
  </si>
  <si>
    <t>EEC to be Collected</t>
  </si>
  <si>
    <t>2021-2023</t>
  </si>
  <si>
    <t xml:space="preserve">Amounts To Be Billed for Efficiency Vermont </t>
  </si>
  <si>
    <t xml:space="preserve">Electric Resource Acquisition </t>
  </si>
  <si>
    <t>Energy Savings Account</t>
  </si>
  <si>
    <t>Commission Approved Budget</t>
  </si>
  <si>
    <t>Development &amp; Support Services</t>
  </si>
  <si>
    <t xml:space="preserve">Operations Fees </t>
  </si>
  <si>
    <r>
      <t xml:space="preserve">Prior Period </t>
    </r>
    <r>
      <rPr>
        <b/>
        <sz val="11"/>
        <rFont val="Calibri"/>
        <family val="2"/>
      </rPr>
      <t>Collection</t>
    </r>
    <r>
      <rPr>
        <sz val="11"/>
        <rFont val="Calibri"/>
        <family val="2"/>
      </rPr>
      <t xml:space="preserve"> Adjustments </t>
    </r>
  </si>
  <si>
    <t>Performance Award</t>
  </si>
  <si>
    <t xml:space="preserve">      Over collections are shown in brackets (over) and are subtracted from the amounts to be collected in rate year</t>
  </si>
  <si>
    <t>Total to Efficiency Vermont</t>
  </si>
  <si>
    <t xml:space="preserve">      Under collections are shown without brackets and are added to the amounts to be collected in rate year</t>
  </si>
  <si>
    <t xml:space="preserve">PSD Evaluation </t>
  </si>
  <si>
    <t>(1)  Uncollectibles and Budget Credits</t>
  </si>
  <si>
    <t>EEU Advertising</t>
  </si>
  <si>
    <t>Prior Rate Year True-up Actuals</t>
  </si>
  <si>
    <t>Fiscal Agent Cost</t>
  </si>
  <si>
    <t>Current Rate Year True-up Estimate</t>
  </si>
  <si>
    <t>Use Budget Credits=1, not=0</t>
  </si>
  <si>
    <t xml:space="preserve">EEU Fund Audit </t>
  </si>
  <si>
    <t>Triennial Audit</t>
  </si>
  <si>
    <t xml:space="preserve">   Sub Total-Amount To Be Allocated to Rate Class </t>
  </si>
  <si>
    <t>Total Other</t>
  </si>
  <si>
    <t>(2)  Prior Year Collections True Up (Over) Under Collections Actuals (from Column J of "EEC Collection True-Up")</t>
  </si>
  <si>
    <t>Total Budget for EEC Calculation</t>
  </si>
  <si>
    <t>Prior Year True-up</t>
  </si>
  <si>
    <t>% of Prior Year Collections to Apply</t>
  </si>
  <si>
    <t xml:space="preserve">           Residential</t>
  </si>
  <si>
    <t xml:space="preserve">           Commercial</t>
  </si>
  <si>
    <t xml:space="preserve">           Industrial</t>
  </si>
  <si>
    <t>Total Prior Year Collections True-Up</t>
  </si>
  <si>
    <t>(3)  Current Year Collections True-Up (Over) Under Collections Estimate  (from Column J of "EEC Collection True-Up")</t>
  </si>
  <si>
    <t>Current Year True-up Estimate</t>
  </si>
  <si>
    <t>% of Current Year Collections to Apply</t>
  </si>
  <si>
    <t>Total Current Year Collections True-Up</t>
  </si>
  <si>
    <t>to 2023</t>
  </si>
  <si>
    <t>(4)  Budget Credit (Uncommitted Funds and Accrued Interest)</t>
  </si>
  <si>
    <t>Other Adjustments (see 2023 rate Factors cell B23)</t>
  </si>
  <si>
    <t>% of Budget Adjustments to Apply</t>
  </si>
  <si>
    <t>to 2024</t>
  </si>
  <si>
    <t>Total Other Adjustments</t>
  </si>
  <si>
    <t>% of Other Adjustments to Apply</t>
  </si>
  <si>
    <t>Initial EEC to be Billed to Rate Class</t>
  </si>
  <si>
    <t>Gross Revenue &amp; Weather Tax</t>
  </si>
  <si>
    <t>Total 2019 EEC to be Billed By Utilities in Efficiency Vermont</t>
  </si>
  <si>
    <t>NM %</t>
  </si>
  <si>
    <t>Excludes Non EEU Sales:</t>
  </si>
  <si>
    <t>Non EEU Sales are Exclusions</t>
  </si>
  <si>
    <t>Efficiency Vermont Amount To Be Billed To Each Rate Class without Tax</t>
  </si>
  <si>
    <t xml:space="preserve"> permitted by statute or PUC Order.</t>
  </si>
  <si>
    <t>Revenue Based EEC Allocation</t>
  </si>
  <si>
    <t xml:space="preserve">EEC To Be </t>
  </si>
  <si>
    <t>Adjusted</t>
  </si>
  <si>
    <t>Billed</t>
  </si>
  <si>
    <t>Fixed NM</t>
  </si>
  <si>
    <t>Uncommitted</t>
  </si>
  <si>
    <t>% of</t>
  </si>
  <si>
    <t>Alternative Sector Split Option</t>
  </si>
  <si>
    <t>Alternative 1: Method 5.300</t>
  </si>
  <si>
    <t>Percent of EEC Related Rate Revenues</t>
  </si>
  <si>
    <t>By Rate Class</t>
  </si>
  <si>
    <t>Monthly Fees</t>
  </si>
  <si>
    <t>&amp; Credits</t>
  </si>
  <si>
    <t>Commercial (includes Pub Street and Other)</t>
  </si>
  <si>
    <t xml:space="preserve">     Sub Total Com and Industrial</t>
  </si>
  <si>
    <t>EEU Charge To Be Billed w/o Tax</t>
  </si>
  <si>
    <t>EEU Charge To Be Billed w/o Tax w/o NM Fixed Fee</t>
  </si>
  <si>
    <t>Source:  EEC Summary Template</t>
  </si>
  <si>
    <t xml:space="preserve">  (see Util Rev and Load Data worksheet)</t>
  </si>
  <si>
    <t>Volumetric Rate Development for energy (kWh) and demand/capacity (kW)</t>
  </si>
  <si>
    <t>Rate (Customer) Class kWh Sales</t>
  </si>
  <si>
    <t>RATE</t>
  </si>
  <si>
    <t>Source: EEC Template submitted by each utility</t>
  </si>
  <si>
    <t xml:space="preserve">per kWh </t>
  </si>
  <si>
    <t xml:space="preserve">% of Total kWh </t>
  </si>
  <si>
    <t>Basis</t>
  </si>
  <si>
    <t>Total Residential</t>
  </si>
  <si>
    <t>Street and Security Lights</t>
  </si>
  <si>
    <t>Total Commercial</t>
  </si>
  <si>
    <t>Total Industrial</t>
  </si>
  <si>
    <t>Final Rates with Gross Receipts and Wx Taxes</t>
  </si>
  <si>
    <t>Unit kWh rate for each customer class</t>
  </si>
  <si>
    <t>Tax Adjustment (formula=(rate w/o tax)*1.01025)</t>
  </si>
  <si>
    <t>Average kWh rate all classes</t>
  </si>
  <si>
    <t>EEC To Be</t>
  </si>
  <si>
    <t>COMMERCIAL CUSTOMERS</t>
  </si>
  <si>
    <t>EEC Rate</t>
  </si>
  <si>
    <t>Billing Unit</t>
  </si>
  <si>
    <t>Total kWh for demand and non-demand customers</t>
  </si>
  <si>
    <t>kwh</t>
  </si>
  <si>
    <t xml:space="preserve">Amount To Be Collected From Commercial Customers </t>
  </si>
  <si>
    <t>EEC Charge for non-demand customers</t>
  </si>
  <si>
    <t>Balance To Be Collected from Commercial Demand Customers</t>
  </si>
  <si>
    <t>EEC Charge demand customers</t>
  </si>
  <si>
    <t>Apportion Balance of EEC To Be Collected Between kWh and kW</t>
  </si>
  <si>
    <t>kWh Sales</t>
  </si>
  <si>
    <t>Reported Energy Revenue</t>
  </si>
  <si>
    <t>billed kW Sales (peak)</t>
  </si>
  <si>
    <t>Reported kW Revenue (total)</t>
  </si>
  <si>
    <t xml:space="preserve">     Total Revenue (excluding customer chg rev)</t>
  </si>
  <si>
    <t>INDUSTRIAL CUSTOMERS</t>
  </si>
  <si>
    <t>Amount to be collected from Industrial Customers</t>
  </si>
  <si>
    <t>Balance To Be Collected from Industrial Demand Customers</t>
  </si>
  <si>
    <t>Apportion Balance EEC To Be Collected Between kWh and kW</t>
  </si>
  <si>
    <t xml:space="preserve">     Total Revenue</t>
  </si>
  <si>
    <t>Approved DRP 2023 Budget</t>
  </si>
  <si>
    <t>Budget Adjustments (positive value means collections have to be increased)</t>
  </si>
  <si>
    <t>2023 EEC Adjustment Description</t>
  </si>
  <si>
    <t>Uncollectibles 2021 True-up</t>
  </si>
  <si>
    <t>Uncollectibles 2022 Estimate</t>
  </si>
  <si>
    <t xml:space="preserve">EEC Collections 2021 True-up </t>
  </si>
  <si>
    <t>EEC Collections 2022 estimated (Over)/Under</t>
  </si>
  <si>
    <t>Credits and Other Adjustments</t>
  </si>
  <si>
    <t>Total Budget Adjustments</t>
  </si>
  <si>
    <t>Total Collections Net of Tax</t>
  </si>
  <si>
    <t>Gross Revenue and Weatherization Tax (1.025%)</t>
  </si>
  <si>
    <t>Total to be Collected by Utilities with Tax</t>
  </si>
  <si>
    <t>Accrued Interest in the EEC account (act. 2021, est. 2022)</t>
  </si>
  <si>
    <t>Rate Adjusters or Credits</t>
  </si>
  <si>
    <t>50% of 2018-2020 Carryover</t>
  </si>
  <si>
    <t>21-1616-PET</t>
  </si>
  <si>
    <t>50% of 2018-2020 Unearned Performance Award</t>
  </si>
  <si>
    <t>21-1250-PET</t>
  </si>
  <si>
    <t>33% of 2021-2023 DPS Act 151 Budget increase</t>
  </si>
  <si>
    <t>Unspent 2021 EEC funds</t>
  </si>
  <si>
    <t>22-0946-PET</t>
  </si>
  <si>
    <t>From Dec '21 and May '22 Fiscal Agent Reports</t>
  </si>
  <si>
    <t>Total Rate Adjusters</t>
  </si>
  <si>
    <t>EEC Collections without Taxes</t>
  </si>
  <si>
    <t>PUC Approved</t>
  </si>
  <si>
    <t>Tax</t>
  </si>
  <si>
    <t>Over/(Under</t>
  </si>
  <si>
    <t>Proposed 2020</t>
  </si>
  <si>
    <t xml:space="preserve">Actual </t>
  </si>
  <si>
    <t>Collections</t>
  </si>
  <si>
    <t>Revenue Splits</t>
  </si>
  <si>
    <t>Class</t>
  </si>
  <si>
    <t>By Sector</t>
  </si>
  <si>
    <t>Adjustment</t>
  </si>
  <si>
    <t>Rate Classes</t>
  </si>
  <si>
    <t>Commercial ND&amp;SL kWh</t>
  </si>
  <si>
    <t>Commercial kW</t>
  </si>
  <si>
    <t>Industrial ND kWh</t>
  </si>
  <si>
    <t>Industrial kW</t>
  </si>
  <si>
    <t>Projected Sales</t>
  </si>
  <si>
    <t>Projected 2021 kWh and kW for Fixed NM Charges</t>
  </si>
  <si>
    <t>Approved 2021 Rates</t>
  </si>
  <si>
    <t>Projected 2021 EEC Collections with Tax</t>
  </si>
  <si>
    <t>Projected 2021 EEC Collections without Tax</t>
  </si>
  <si>
    <t>Projected 2021 Tax</t>
  </si>
  <si>
    <t>Avg kWh Rate by Sector</t>
  </si>
  <si>
    <t>Streetlights</t>
  </si>
  <si>
    <t>To Be Collected</t>
  </si>
  <si>
    <t>Over/(Under) Est</t>
  </si>
  <si>
    <t>EEU Fiscal Agent June 2021 Financial Report</t>
  </si>
  <si>
    <t>FY 1/21 - 12/21</t>
  </si>
  <si>
    <t>Collections %</t>
  </si>
  <si>
    <t>Budget Collections</t>
  </si>
  <si>
    <t>Actual Over/(Under)</t>
  </si>
  <si>
    <t>% Over/(Under) Budget</t>
  </si>
  <si>
    <t>2020 Actual Collections</t>
  </si>
  <si>
    <t>2020 Collections % by month</t>
  </si>
  <si>
    <t>2021 Budget at 2020 Rates</t>
  </si>
  <si>
    <t>Estimated NM % by month</t>
  </si>
  <si>
    <t>Net Metering Est Collection</t>
  </si>
  <si>
    <t>2021 Budget w/NM adjustment</t>
  </si>
  <si>
    <t>EEC Collections</t>
  </si>
  <si>
    <t>Actual $</t>
  </si>
  <si>
    <t>Actual %</t>
  </si>
  <si>
    <t>Est. 2021</t>
  </si>
  <si>
    <t>Alternative 2023 Fixed Fee EEC Rates</t>
  </si>
  <si>
    <t>5.300 2023 Fixed Fee EEC Rates</t>
  </si>
  <si>
    <t>RATE YEAR 2023</t>
  </si>
  <si>
    <t>2021 REVENUES (See Note 1)</t>
  </si>
  <si>
    <t>2021 BILLING DETERMINANTS  (See Note 1)</t>
  </si>
  <si>
    <t>Projected 2021</t>
  </si>
  <si>
    <t>2023 EEC Rate Calculation</t>
  </si>
  <si>
    <t>2021 Retail $</t>
  </si>
  <si>
    <t>EEC Rates for the Calendar Year 2023</t>
  </si>
  <si>
    <t>Budget Credit (2018-2020 uncommitted funds)</t>
  </si>
  <si>
    <t>Collections 2021 True-up</t>
  </si>
  <si>
    <t>Collections 2022 Estimate</t>
  </si>
  <si>
    <t>Unspent 2021 Funds</t>
  </si>
  <si>
    <t>Electric Fund Interest</t>
  </si>
  <si>
    <t>2023-2024</t>
  </si>
  <si>
    <t>Defer to</t>
  </si>
  <si>
    <t xml:space="preserve">Apply in </t>
  </si>
  <si>
    <t>2023 Budget Collections</t>
  </si>
  <si>
    <t>2023 Projected Collections by Month</t>
  </si>
  <si>
    <t>2021 Actual Collections by Month</t>
  </si>
  <si>
    <t>EEU Fiscal Agent May 2022 Financial Report</t>
  </si>
  <si>
    <t>EEU Fiscal Agent 2021 Actual Collections-December Report</t>
  </si>
  <si>
    <t>Credit Deferral Rate</t>
  </si>
  <si>
    <t>(4)  Other: Adjustments Act 151 EM&amp;V</t>
  </si>
  <si>
    <t>Act 151 EM&amp;V (Residential only)</t>
  </si>
  <si>
    <t>Residential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</si>
</sst>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quot;$&quot;#,##0.00000_);[Red]\(&quot;$&quot;#,##0.00000\)"/>
    <numFmt numFmtId="168" formatCode="&quot;$&quot;#,##0.000000_);[Red]\(&quot;$&quot;#,##0.000000\)"/>
    <numFmt numFmtId="169" formatCode="_(&quot;$&quot;* #,##0.0000_);_(&quot;$&quot;* \(#,##0.0000\);_(&quot;$&quot;* &quot;-&quot;??_);_(@_)"/>
    <numFmt numFmtId="170" formatCode="_(&quot;$&quot;* #,##0.00000_);_(&quot;$&quot;* \(#,##0.00000\);_(&quot;$&quot;* &quot;-&quot;??_);_(@_)"/>
    <numFmt numFmtId="171" formatCode="_(&quot;$&quot;* #,##0.000000_);_(&quot;$&quot;* \(#,##0.000000\);_(&quot;$&quot;* &quot;-&quot;??_);_(@_)"/>
    <numFmt numFmtId="172" formatCode="&quot;$&quot;#,##0.000000_);\(&quot;$&quot;#,##0.000000\)"/>
    <numFmt numFmtId="173" formatCode="0.000000"/>
    <numFmt numFmtId="174" formatCode="&quot;$&quot;#,##0.00000"/>
    <numFmt numFmtId="175" formatCode="&quot;$&quot;#,##0"/>
    <numFmt numFmtId="176" formatCode="_(&quot;$&quot;* #,##0.000000_);_(&quot;$&quot;* \(#,##0.000000\);_(&quot;$&quot;* &quot;-&quot;??????_);_(@_)"/>
    <numFmt numFmtId="177" formatCode="0.0000%"/>
    <numFmt numFmtId="178" formatCode="_(&quot;$&quot;* #,##0.00000_);_(&quot;$&quot;* \(#,##0.00000\);_(&quot;$&quot;* &quot;-&quot;??????_);_(@_)"/>
    <numFmt numFmtId="179" formatCode="_(&quot;$&quot;* #,##0.0000_);_(&quot;$&quot;* \(#,##0.0000\);_(&quot;$&quot;* &quot;-&quot;??????_);_(@_)"/>
    <numFmt numFmtId="180" formatCode="&quot;$&quot;#,##0.00000_);\(&quot;$&quot;#,##0.00000\)"/>
    <numFmt numFmtId="181" formatCode="_(* #,##0.0_);_(* \(#,##0.0\);_(* &quot;-&quot;??_);_(@_)"/>
    <numFmt numFmtId="182" formatCode="&quot;$&quot;#,##0.00"/>
    <numFmt numFmtId="183" formatCode="&quot;$&quot;#,##0.000_);\(&quot;$&quot;#,##0.000\)"/>
    <numFmt numFmtId="184" formatCode="#,##0.00000_);\(#,##0.00000\)"/>
    <numFmt numFmtId="185" formatCode="&quot;$&quot;#,##0.0"/>
    <numFmt numFmtId="186" formatCode="0.00000"/>
    <numFmt numFmtId="187" formatCode="_(* #,##0.000_);_(* \(#,##0.000\);_(* &quot;-&quot;??_);_(@_)"/>
    <numFmt numFmtId="188" formatCode="_(* #,##0.00000_);_(* \(#,##0.00000\);_(* &quot;-&quot;??_);_(@_)"/>
    <numFmt numFmtId="189" formatCode="&quot;$&quot;#,##0.0000"/>
    <numFmt numFmtId="190" formatCode="0.000000%"/>
    <numFmt numFmtId="191" formatCode="0.000%"/>
  </numFmts>
  <fonts count="68" x14ac:knownFonts="1">
    <font>
      <sz val="10"/>
      <name val="Arial"/>
    </font>
    <font>
      <sz val="10"/>
      <name val="Arial"/>
      <family val="2"/>
    </font>
    <font>
      <sz val="10"/>
      <name val="Arial"/>
      <family val="2"/>
    </font>
    <font>
      <sz val="11"/>
      <name val="Calibri"/>
      <family val="2"/>
    </font>
    <font>
      <b/>
      <sz val="1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9"/>
      <color indexed="81"/>
      <name val="Tahoma"/>
      <family val="2"/>
    </font>
    <font>
      <b/>
      <sz val="9"/>
      <color indexed="81"/>
      <name val="Tahoma"/>
      <family val="2"/>
    </font>
    <font>
      <b/>
      <sz val="10"/>
      <name val="Arial"/>
      <family val="2"/>
    </font>
    <font>
      <b/>
      <u/>
      <sz val="11"/>
      <name val="Times New Roman"/>
      <family val="1"/>
    </font>
    <font>
      <sz val="11"/>
      <name val="Times New Roman"/>
      <family val="1"/>
    </font>
    <font>
      <b/>
      <sz val="11"/>
      <name val="Times New Roman"/>
      <family val="1"/>
    </font>
    <font>
      <u/>
      <sz val="11"/>
      <name val="Times New Roman"/>
      <family val="1"/>
    </font>
    <font>
      <sz val="12"/>
      <name val="Times New Roman"/>
      <family val="1"/>
    </font>
    <font>
      <b/>
      <u/>
      <sz val="12"/>
      <name val="Times New Roman"/>
      <family val="1"/>
    </font>
    <font>
      <u/>
      <sz val="12"/>
      <name val="Times New Roman"/>
      <family val="1"/>
    </font>
    <font>
      <b/>
      <sz val="12"/>
      <name val="Times New Roman"/>
      <family val="1"/>
    </font>
    <font>
      <sz val="11"/>
      <color theme="1"/>
      <name val="Calibri"/>
      <family val="2"/>
      <scheme val="minor"/>
    </font>
    <font>
      <b/>
      <sz val="11"/>
      <color theme="1"/>
      <name val="Calibri"/>
      <family val="2"/>
      <scheme val="minor"/>
    </font>
    <font>
      <sz val="11"/>
      <name val="Calibri"/>
      <family val="2"/>
      <scheme val="minor"/>
    </font>
    <font>
      <b/>
      <sz val="11"/>
      <color indexed="8"/>
      <name val="Calibri"/>
      <family val="2"/>
      <scheme val="minor"/>
    </font>
    <font>
      <sz val="11"/>
      <color indexed="8"/>
      <name val="Calibri"/>
      <family val="2"/>
      <scheme val="minor"/>
    </font>
    <font>
      <b/>
      <sz val="11"/>
      <name val="Calibri"/>
      <family val="2"/>
      <scheme val="minor"/>
    </font>
    <font>
      <u/>
      <sz val="11"/>
      <name val="Calibri"/>
      <family val="2"/>
      <scheme val="minor"/>
    </font>
    <font>
      <b/>
      <u/>
      <sz val="11"/>
      <name val="Calibri"/>
      <family val="2"/>
      <scheme val="minor"/>
    </font>
    <font>
      <u val="singleAccounting"/>
      <sz val="11"/>
      <name val="Calibri"/>
      <family val="2"/>
      <scheme val="minor"/>
    </font>
    <font>
      <b/>
      <u/>
      <sz val="11"/>
      <color indexed="8"/>
      <name val="Calibri"/>
      <family val="2"/>
      <scheme val="minor"/>
    </font>
    <font>
      <u/>
      <sz val="11"/>
      <color indexed="8"/>
      <name val="Calibri"/>
      <family val="2"/>
      <scheme val="minor"/>
    </font>
    <font>
      <b/>
      <sz val="11"/>
      <color rgb="FFFF0000"/>
      <name val="Calibri"/>
      <family val="2"/>
      <scheme val="minor"/>
    </font>
    <font>
      <i/>
      <u/>
      <sz val="11"/>
      <color rgb="FFFF0000"/>
      <name val="Calibri"/>
      <family val="2"/>
      <scheme val="minor"/>
    </font>
    <font>
      <u/>
      <sz val="10"/>
      <name val="Arial"/>
      <family val="2"/>
    </font>
    <font>
      <b/>
      <u/>
      <sz val="10"/>
      <name val="Arial"/>
      <family val="2"/>
    </font>
    <font>
      <u val="singleAccounting"/>
      <sz val="10"/>
      <name val="Arial"/>
      <family val="2"/>
    </font>
    <font>
      <b/>
      <u val="singleAccounting"/>
      <sz val="11"/>
      <name val="Calibri"/>
      <family val="2"/>
      <scheme val="minor"/>
    </font>
    <font>
      <b/>
      <i/>
      <u/>
      <sz val="11"/>
      <color rgb="FFFF0000"/>
      <name val="Calibri"/>
      <family val="2"/>
      <scheme val="minor"/>
    </font>
    <font>
      <b/>
      <u/>
      <sz val="11"/>
      <color rgb="FFFF0000"/>
      <name val="Calibri"/>
      <family val="2"/>
      <scheme val="minor"/>
    </font>
    <font>
      <b/>
      <i/>
      <sz val="11"/>
      <name val="Calibri"/>
      <family val="2"/>
      <scheme val="minor"/>
    </font>
    <font>
      <b/>
      <i/>
      <u/>
      <sz val="11"/>
      <name val="Calibri"/>
      <family val="2"/>
      <scheme val="minor"/>
    </font>
    <font>
      <sz val="10"/>
      <color indexed="8"/>
      <name val="Arial"/>
      <family val="2"/>
    </font>
    <font>
      <u/>
      <sz val="10"/>
      <color indexed="8"/>
      <name val="Arial"/>
      <family val="2"/>
    </font>
    <font>
      <b/>
      <i/>
      <u/>
      <sz val="14"/>
      <color theme="1"/>
      <name val="Calibri"/>
      <family val="2"/>
      <scheme val="minor"/>
    </font>
    <font>
      <sz val="10"/>
      <name val="Calibri"/>
      <family val="2"/>
      <scheme val="minor"/>
    </font>
    <font>
      <b/>
      <u/>
      <sz val="11"/>
      <color theme="1"/>
      <name val="Calibri"/>
      <family val="2"/>
      <scheme val="minor"/>
    </font>
    <font>
      <u/>
      <sz val="11"/>
      <color theme="1"/>
      <name val="Calibri"/>
      <family val="2"/>
      <scheme val="minor"/>
    </font>
    <font>
      <sz val="8"/>
      <name val="Arial"/>
      <family val="2"/>
    </font>
    <font>
      <sz val="11"/>
      <color rgb="FFFF0000"/>
      <name val="Calibri"/>
      <family val="2"/>
      <scheme val="minor"/>
    </font>
    <font>
      <u val="singleAccounting"/>
      <sz val="11"/>
      <color theme="1"/>
      <name val="Calibri"/>
      <family val="2"/>
      <scheme val="minor"/>
    </font>
    <font>
      <i/>
      <u/>
      <sz val="11"/>
      <name val="Calibri"/>
      <family val="2"/>
      <scheme val="minor"/>
    </font>
    <font>
      <b/>
      <i/>
      <sz val="10"/>
      <color rgb="FFFF0000"/>
      <name val="Calibri"/>
      <family val="2"/>
      <scheme val="minor"/>
    </font>
    <font>
      <b/>
      <u/>
      <sz val="14"/>
      <name val="Times New Roman"/>
      <family val="1"/>
    </font>
    <font>
      <u/>
      <sz val="10"/>
      <name val="Calibri"/>
      <family val="2"/>
      <scheme val="minor"/>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0"/>
        <bgColor indexed="64"/>
      </patternFill>
    </fill>
    <fill>
      <patternFill patternType="solid">
        <fgColor indexed="44"/>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99"/>
        <bgColor indexed="64"/>
      </patternFill>
    </fill>
    <fill>
      <patternFill patternType="solid">
        <fgColor theme="6" tint="0.59999389629810485"/>
        <bgColor indexed="64"/>
      </patternFill>
    </fill>
    <fill>
      <patternFill patternType="solid">
        <fgColor rgb="FFFFFFCC"/>
        <bgColor indexed="64"/>
      </patternFill>
    </fill>
    <fill>
      <patternFill patternType="solid">
        <fgColor theme="0" tint="-0.14999847407452621"/>
        <bgColor indexed="64"/>
      </patternFill>
    </fill>
  </fills>
  <borders count="4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top/>
      <bottom style="double">
        <color indexed="64"/>
      </bottom>
      <diagonal/>
    </border>
    <border>
      <left style="thin">
        <color indexed="64"/>
      </left>
      <right/>
      <top/>
      <bottom style="medium">
        <color indexed="64"/>
      </bottom>
      <diagonal/>
    </border>
    <border>
      <left/>
      <right/>
      <top style="thin">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double">
        <color indexed="64"/>
      </top>
      <bottom/>
      <diagonal/>
    </border>
  </borders>
  <cellStyleXfs count="56">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4" fillId="0" borderId="0" applyFont="0" applyFill="0" applyBorder="0" applyAlignment="0" applyProtection="0"/>
    <xf numFmtId="44" fontId="22" fillId="0" borderId="0" applyFon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2" fillId="0" borderId="0"/>
    <xf numFmtId="0" fontId="34" fillId="0" borderId="0"/>
    <xf numFmtId="0" fontId="5" fillId="23" borderId="7" applyNumberFormat="0" applyFont="0" applyAlignment="0" applyProtection="0"/>
    <xf numFmtId="0" fontId="18" fillId="20" borderId="8" applyNumberFormat="0" applyAlignment="0" applyProtection="0"/>
    <xf numFmtId="9" fontId="1" fillId="0" borderId="0" applyFon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20" fillId="0" borderId="9" applyNumberFormat="0" applyFill="0" applyAlignment="0" applyProtection="0"/>
    <xf numFmtId="0" fontId="21"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026">
    <xf numFmtId="0" fontId="0" fillId="0" borderId="0" xfId="0"/>
    <xf numFmtId="0" fontId="36" fillId="0" borderId="0" xfId="0" applyFont="1"/>
    <xf numFmtId="175" fontId="36" fillId="0" borderId="0" xfId="0" applyNumberFormat="1" applyFont="1"/>
    <xf numFmtId="5" fontId="36" fillId="0" borderId="0" xfId="0" applyNumberFormat="1" applyFont="1"/>
    <xf numFmtId="0" fontId="37" fillId="0" borderId="0" xfId="0" applyFont="1"/>
    <xf numFmtId="0" fontId="38" fillId="0" borderId="0" xfId="0" applyFont="1"/>
    <xf numFmtId="0" fontId="39" fillId="0" borderId="0" xfId="0" applyFont="1"/>
    <xf numFmtId="0" fontId="39" fillId="0" borderId="0" xfId="0" applyFont="1" applyAlignment="1">
      <alignment horizontal="center"/>
    </xf>
    <xf numFmtId="0" fontId="37" fillId="0" borderId="0" xfId="0" applyFont="1" applyAlignment="1">
      <alignment horizontal="center"/>
    </xf>
    <xf numFmtId="175" fontId="38" fillId="0" borderId="0" xfId="0" applyNumberFormat="1" applyFont="1" applyAlignment="1">
      <alignment horizontal="right"/>
    </xf>
    <xf numFmtId="166" fontId="38" fillId="0" borderId="0" xfId="47" applyNumberFormat="1" applyFont="1"/>
    <xf numFmtId="0" fontId="38" fillId="0" borderId="10" xfId="0" applyFont="1" applyBorder="1"/>
    <xf numFmtId="175" fontId="38" fillId="0" borderId="0" xfId="0" applyNumberFormat="1" applyFont="1"/>
    <xf numFmtId="166" fontId="38" fillId="0" borderId="0" xfId="47" applyNumberFormat="1" applyFont="1" applyFill="1" applyBorder="1"/>
    <xf numFmtId="0" fontId="38" fillId="0" borderId="0" xfId="0" applyFont="1" applyAlignment="1">
      <alignment horizontal="center"/>
    </xf>
    <xf numFmtId="6" fontId="36" fillId="0" borderId="0" xfId="0" applyNumberFormat="1" applyFont="1"/>
    <xf numFmtId="166" fontId="36" fillId="0" borderId="0" xfId="47" applyNumberFormat="1" applyFont="1"/>
    <xf numFmtId="3" fontId="36" fillId="0" borderId="0" xfId="0" applyNumberFormat="1" applyFont="1"/>
    <xf numFmtId="165" fontId="36" fillId="0" borderId="0" xfId="28" applyNumberFormat="1" applyFont="1"/>
    <xf numFmtId="0" fontId="36" fillId="0" borderId="0" xfId="0" applyFont="1" applyAlignment="1">
      <alignment horizontal="center"/>
    </xf>
    <xf numFmtId="0" fontId="40" fillId="0" borderId="0" xfId="0" applyFont="1" applyAlignment="1">
      <alignment horizontal="center"/>
    </xf>
    <xf numFmtId="42" fontId="36" fillId="0" borderId="0" xfId="0" applyNumberFormat="1" applyFont="1"/>
    <xf numFmtId="165" fontId="36" fillId="0" borderId="0" xfId="0" applyNumberFormat="1" applyFont="1"/>
    <xf numFmtId="0" fontId="36" fillId="0" borderId="11" xfId="0" applyFont="1" applyBorder="1"/>
    <xf numFmtId="0" fontId="36" fillId="0" borderId="12" xfId="0" applyFont="1" applyBorder="1"/>
    <xf numFmtId="164" fontId="36" fillId="0" borderId="0" xfId="29" applyNumberFormat="1" applyFont="1"/>
    <xf numFmtId="165" fontId="39" fillId="0" borderId="0" xfId="28" applyNumberFormat="1" applyFont="1"/>
    <xf numFmtId="175" fontId="38" fillId="0" borderId="0" xfId="0" applyNumberFormat="1" applyFont="1" applyAlignment="1">
      <alignment horizontal="center"/>
    </xf>
    <xf numFmtId="0" fontId="36" fillId="0" borderId="0" xfId="0" applyFont="1" applyAlignment="1">
      <alignment horizontal="left"/>
    </xf>
    <xf numFmtId="42" fontId="39" fillId="0" borderId="0" xfId="0" applyNumberFormat="1" applyFont="1"/>
    <xf numFmtId="0" fontId="39" fillId="0" borderId="13" xfId="0" applyFont="1" applyBorder="1"/>
    <xf numFmtId="6" fontId="40" fillId="0" borderId="0" xfId="0" applyNumberFormat="1" applyFont="1"/>
    <xf numFmtId="0" fontId="39" fillId="0" borderId="14" xfId="0" applyFont="1" applyBorder="1"/>
    <xf numFmtId="0" fontId="39" fillId="0" borderId="11" xfId="0" applyFont="1" applyBorder="1" applyAlignment="1">
      <alignment horizontal="center"/>
    </xf>
    <xf numFmtId="0" fontId="39" fillId="0" borderId="15" xfId="0" applyFont="1" applyBorder="1" applyAlignment="1">
      <alignment horizontal="center"/>
    </xf>
    <xf numFmtId="166" fontId="36" fillId="0" borderId="0" xfId="47" applyNumberFormat="1" applyFont="1" applyFill="1"/>
    <xf numFmtId="9" fontId="36" fillId="0" borderId="0" xfId="47" applyFont="1"/>
    <xf numFmtId="6" fontId="36" fillId="0" borderId="16" xfId="29" applyNumberFormat="1" applyFont="1" applyFill="1" applyBorder="1"/>
    <xf numFmtId="0" fontId="36" fillId="0" borderId="14" xfId="0" applyFont="1" applyBorder="1"/>
    <xf numFmtId="0" fontId="39" fillId="0" borderId="18" xfId="0" applyFont="1" applyBorder="1"/>
    <xf numFmtId="0" fontId="40" fillId="0" borderId="0" xfId="0" applyFont="1"/>
    <xf numFmtId="174" fontId="36" fillId="0" borderId="0" xfId="0" applyNumberFormat="1" applyFont="1"/>
    <xf numFmtId="165" fontId="36" fillId="0" borderId="0" xfId="28" applyNumberFormat="1" applyFont="1" applyFill="1"/>
    <xf numFmtId="166" fontId="36" fillId="0" borderId="0" xfId="0" applyNumberFormat="1" applyFont="1"/>
    <xf numFmtId="0" fontId="39" fillId="0" borderId="19" xfId="0" applyFont="1" applyBorder="1" applyAlignment="1">
      <alignment horizontal="left"/>
    </xf>
    <xf numFmtId="0" fontId="39" fillId="0" borderId="20" xfId="0" applyFont="1" applyBorder="1" applyAlignment="1">
      <alignment horizontal="left"/>
    </xf>
    <xf numFmtId="0" fontId="39" fillId="0" borderId="21" xfId="0" applyFont="1" applyBorder="1" applyAlignment="1">
      <alignment horizontal="left"/>
    </xf>
    <xf numFmtId="0" fontId="36" fillId="0" borderId="22" xfId="0" applyFont="1" applyBorder="1"/>
    <xf numFmtId="0" fontId="39" fillId="0" borderId="23" xfId="0" applyFont="1" applyBorder="1"/>
    <xf numFmtId="167" fontId="36" fillId="0" borderId="0" xfId="0" applyNumberFormat="1" applyFont="1"/>
    <xf numFmtId="0" fontId="36" fillId="0" borderId="23" xfId="0" applyFont="1" applyBorder="1"/>
    <xf numFmtId="167" fontId="36" fillId="0" borderId="0" xfId="0" applyNumberFormat="1" applyFont="1" applyAlignment="1">
      <alignment horizontal="right"/>
    </xf>
    <xf numFmtId="180" fontId="36" fillId="0" borderId="0" xfId="29" applyNumberFormat="1" applyFont="1" applyFill="1"/>
    <xf numFmtId="0" fontId="36" fillId="0" borderId="24" xfId="0" applyFont="1" applyBorder="1"/>
    <xf numFmtId="167" fontId="36" fillId="0" borderId="13" xfId="0" applyNumberFormat="1" applyFont="1" applyBorder="1"/>
    <xf numFmtId="0" fontId="36" fillId="0" borderId="25" xfId="0" applyFont="1" applyBorder="1"/>
    <xf numFmtId="172" fontId="36" fillId="0" borderId="0" xfId="29" applyNumberFormat="1" applyFont="1" applyFill="1"/>
    <xf numFmtId="168" fontId="36" fillId="0" borderId="0" xfId="0" applyNumberFormat="1" applyFont="1"/>
    <xf numFmtId="8" fontId="36" fillId="0" borderId="0" xfId="0" applyNumberFormat="1" applyFont="1"/>
    <xf numFmtId="0" fontId="41" fillId="0" borderId="0" xfId="0" applyFont="1" applyAlignment="1">
      <alignment horizontal="center"/>
    </xf>
    <xf numFmtId="0" fontId="41" fillId="0" borderId="0" xfId="0" applyFont="1"/>
    <xf numFmtId="42" fontId="36" fillId="0" borderId="0" xfId="29" applyNumberFormat="1" applyFont="1"/>
    <xf numFmtId="170" fontId="39" fillId="0" borderId="0" xfId="29" applyNumberFormat="1" applyFont="1"/>
    <xf numFmtId="37" fontId="39" fillId="0" borderId="0" xfId="0" applyNumberFormat="1" applyFont="1"/>
    <xf numFmtId="173" fontId="36" fillId="0" borderId="0" xfId="0" applyNumberFormat="1" applyFont="1" applyAlignment="1">
      <alignment horizontal="left"/>
    </xf>
    <xf numFmtId="164" fontId="36" fillId="0" borderId="0" xfId="0" applyNumberFormat="1" applyFont="1"/>
    <xf numFmtId="169" fontId="39" fillId="0" borderId="0" xfId="29" applyNumberFormat="1" applyFont="1"/>
    <xf numFmtId="171" fontId="39" fillId="0" borderId="0" xfId="29" applyNumberFormat="1" applyFont="1"/>
    <xf numFmtId="181" fontId="36" fillId="0" borderId="0" xfId="28" applyNumberFormat="1" applyFont="1"/>
    <xf numFmtId="182" fontId="36" fillId="0" borderId="0" xfId="0" applyNumberFormat="1" applyFont="1"/>
    <xf numFmtId="182" fontId="36" fillId="0" borderId="0" xfId="0" applyNumberFormat="1" applyFont="1" applyAlignment="1">
      <alignment horizontal="center"/>
    </xf>
    <xf numFmtId="182" fontId="36" fillId="0" borderId="10" xfId="0" applyNumberFormat="1" applyFont="1" applyBorder="1" applyAlignment="1">
      <alignment horizontal="center"/>
    </xf>
    <xf numFmtId="165" fontId="36" fillId="0" borderId="0" xfId="28" applyNumberFormat="1" applyFont="1" applyAlignment="1">
      <alignment horizontal="center"/>
    </xf>
    <xf numFmtId="164" fontId="36" fillId="0" borderId="0" xfId="29" applyNumberFormat="1" applyFont="1" applyAlignment="1">
      <alignment horizontal="center"/>
    </xf>
    <xf numFmtId="3" fontId="36" fillId="0" borderId="0" xfId="0" applyNumberFormat="1" applyFont="1" applyAlignment="1">
      <alignment horizontal="center"/>
    </xf>
    <xf numFmtId="0" fontId="36" fillId="0" borderId="11" xfId="0" applyFont="1" applyBorder="1" applyAlignment="1">
      <alignment horizontal="center"/>
    </xf>
    <xf numFmtId="0" fontId="36" fillId="0" borderId="10" xfId="0" applyFont="1" applyBorder="1" applyAlignment="1">
      <alignment horizontal="center"/>
    </xf>
    <xf numFmtId="0" fontId="36" fillId="0" borderId="26" xfId="0" applyFont="1" applyBorder="1" applyAlignment="1">
      <alignment horizontal="center"/>
    </xf>
    <xf numFmtId="0" fontId="36" fillId="0" borderId="12" xfId="0" applyFont="1" applyBorder="1" applyAlignment="1">
      <alignment horizontal="center"/>
    </xf>
    <xf numFmtId="165" fontId="36" fillId="0" borderId="12" xfId="28" applyNumberFormat="1" applyFont="1" applyFill="1" applyBorder="1" applyAlignment="1">
      <alignment horizontal="center"/>
    </xf>
    <xf numFmtId="0" fontId="36" fillId="0" borderId="27" xfId="0" applyFont="1" applyBorder="1" applyAlignment="1">
      <alignment horizontal="center"/>
    </xf>
    <xf numFmtId="0" fontId="36" fillId="0" borderId="28" xfId="0" applyFont="1" applyBorder="1"/>
    <xf numFmtId="0" fontId="40" fillId="0" borderId="11" xfId="0" applyFont="1" applyBorder="1" applyAlignment="1">
      <alignment horizontal="center"/>
    </xf>
    <xf numFmtId="165" fontId="36" fillId="0" borderId="11" xfId="28" applyNumberFormat="1" applyFont="1" applyFill="1" applyBorder="1" applyAlignment="1">
      <alignment horizontal="center"/>
    </xf>
    <xf numFmtId="0" fontId="40" fillId="0" borderId="12" xfId="0" applyFont="1" applyBorder="1" applyAlignment="1">
      <alignment horizontal="center"/>
    </xf>
    <xf numFmtId="0" fontId="40" fillId="0" borderId="29" xfId="0" applyFont="1" applyBorder="1" applyAlignment="1">
      <alignment horizontal="center"/>
    </xf>
    <xf numFmtId="0" fontId="40" fillId="0" borderId="28" xfId="0" applyFont="1" applyBorder="1" applyAlignment="1">
      <alignment horizontal="center"/>
    </xf>
    <xf numFmtId="165" fontId="40" fillId="0" borderId="11" xfId="28" applyNumberFormat="1" applyFont="1" applyFill="1" applyBorder="1" applyAlignment="1">
      <alignment horizontal="center"/>
    </xf>
    <xf numFmtId="3" fontId="36" fillId="0" borderId="11" xfId="0" applyNumberFormat="1" applyFont="1" applyBorder="1"/>
    <xf numFmtId="42" fontId="36" fillId="0" borderId="30" xfId="0" applyNumberFormat="1" applyFont="1" applyBorder="1"/>
    <xf numFmtId="42" fontId="36" fillId="0" borderId="11" xfId="0" applyNumberFormat="1" applyFont="1" applyBorder="1"/>
    <xf numFmtId="165" fontId="36" fillId="0" borderId="11" xfId="28" applyNumberFormat="1" applyFont="1" applyFill="1" applyBorder="1"/>
    <xf numFmtId="42" fontId="36" fillId="0" borderId="12" xfId="0" applyNumberFormat="1" applyFont="1" applyBorder="1"/>
    <xf numFmtId="42" fontId="36" fillId="0" borderId="11" xfId="29" applyNumberFormat="1" applyFont="1" applyFill="1" applyBorder="1"/>
    <xf numFmtId="42" fontId="36" fillId="26" borderId="11" xfId="0" applyNumberFormat="1" applyFont="1" applyFill="1" applyBorder="1"/>
    <xf numFmtId="42" fontId="36" fillId="0" borderId="31" xfId="0" applyNumberFormat="1" applyFont="1" applyBorder="1"/>
    <xf numFmtId="165" fontId="36" fillId="0" borderId="31" xfId="28" applyNumberFormat="1" applyFont="1" applyFill="1" applyBorder="1"/>
    <xf numFmtId="42" fontId="36" fillId="0" borderId="31" xfId="29" applyNumberFormat="1" applyFont="1" applyFill="1" applyBorder="1"/>
    <xf numFmtId="42" fontId="36" fillId="0" borderId="32" xfId="0" applyNumberFormat="1" applyFont="1" applyBorder="1"/>
    <xf numFmtId="165" fontId="36" fillId="0" borderId="32" xfId="28" applyNumberFormat="1" applyFont="1" applyFill="1" applyBorder="1"/>
    <xf numFmtId="42" fontId="36" fillId="0" borderId="33" xfId="0" applyNumberFormat="1" applyFont="1" applyBorder="1"/>
    <xf numFmtId="42" fontId="36" fillId="0" borderId="11" xfId="47" applyNumberFormat="1" applyFont="1" applyFill="1" applyBorder="1"/>
    <xf numFmtId="164" fontId="36" fillId="0" borderId="12" xfId="29" applyNumberFormat="1" applyFont="1" applyFill="1" applyBorder="1"/>
    <xf numFmtId="41" fontId="36" fillId="0" borderId="12" xfId="29" applyNumberFormat="1" applyFont="1" applyFill="1" applyBorder="1"/>
    <xf numFmtId="165" fontId="36" fillId="0" borderId="12" xfId="28" applyNumberFormat="1" applyFont="1" applyFill="1" applyBorder="1"/>
    <xf numFmtId="42" fontId="36" fillId="0" borderId="11" xfId="0" applyNumberFormat="1" applyFont="1" applyBorder="1" applyAlignment="1">
      <alignment horizontal="center"/>
    </xf>
    <xf numFmtId="42" fontId="36" fillId="0" borderId="11" xfId="29" applyNumberFormat="1" applyFont="1" applyFill="1" applyBorder="1" applyAlignment="1">
      <alignment horizontal="center"/>
    </xf>
    <xf numFmtId="41" fontId="36" fillId="0" borderId="11" xfId="0" applyNumberFormat="1" applyFont="1" applyBorder="1"/>
    <xf numFmtId="41" fontId="36" fillId="0" borderId="31" xfId="0" applyNumberFormat="1" applyFont="1" applyBorder="1" applyAlignment="1">
      <alignment horizontal="center"/>
    </xf>
    <xf numFmtId="165" fontId="36" fillId="0" borderId="31" xfId="28" applyNumberFormat="1" applyFont="1" applyFill="1" applyBorder="1" applyAlignment="1">
      <alignment horizontal="center"/>
    </xf>
    <xf numFmtId="41" fontId="36" fillId="0" borderId="30" xfId="0" applyNumberFormat="1" applyFont="1" applyBorder="1" applyAlignment="1">
      <alignment horizontal="center"/>
    </xf>
    <xf numFmtId="41" fontId="36" fillId="0" borderId="31" xfId="29" applyNumberFormat="1" applyFont="1" applyFill="1" applyBorder="1" applyAlignment="1">
      <alignment horizontal="center"/>
    </xf>
    <xf numFmtId="41" fontId="36" fillId="24" borderId="31" xfId="0" applyNumberFormat="1" applyFont="1" applyFill="1" applyBorder="1" applyAlignment="1">
      <alignment horizontal="center"/>
    </xf>
    <xf numFmtId="41" fontId="36" fillId="0" borderId="0" xfId="0" applyNumberFormat="1" applyFont="1" applyAlignment="1">
      <alignment horizontal="center"/>
    </xf>
    <xf numFmtId="165" fontId="36" fillId="0" borderId="11" xfId="28" applyNumberFormat="1" applyFont="1" applyBorder="1"/>
    <xf numFmtId="42" fontId="36" fillId="0" borderId="11" xfId="29" applyNumberFormat="1" applyFont="1" applyBorder="1"/>
    <xf numFmtId="42" fontId="36" fillId="0" borderId="28" xfId="0" applyNumberFormat="1" applyFont="1" applyBorder="1"/>
    <xf numFmtId="42" fontId="36" fillId="0" borderId="34" xfId="0" applyNumberFormat="1" applyFont="1" applyBorder="1" applyAlignment="1">
      <alignment horizontal="center"/>
    </xf>
    <xf numFmtId="42" fontId="36" fillId="0" borderId="35" xfId="0" applyNumberFormat="1" applyFont="1" applyBorder="1" applyAlignment="1">
      <alignment horizontal="center"/>
    </xf>
    <xf numFmtId="165" fontId="36" fillId="0" borderId="35" xfId="28" applyNumberFormat="1" applyFont="1" applyBorder="1" applyAlignment="1">
      <alignment horizontal="center"/>
    </xf>
    <xf numFmtId="42" fontId="36" fillId="0" borderId="35" xfId="29" applyNumberFormat="1" applyFont="1" applyBorder="1" applyAlignment="1">
      <alignment horizontal="center"/>
    </xf>
    <xf numFmtId="42" fontId="36" fillId="0" borderId="0" xfId="0" applyNumberFormat="1" applyFont="1" applyAlignment="1">
      <alignment horizontal="center"/>
    </xf>
    <xf numFmtId="165" fontId="36" fillId="0" borderId="0" xfId="28" applyNumberFormat="1" applyFont="1" applyBorder="1" applyAlignment="1">
      <alignment horizontal="center"/>
    </xf>
    <xf numFmtId="42" fontId="36" fillId="0" borderId="0" xfId="29" applyNumberFormat="1" applyFont="1" applyBorder="1" applyAlignment="1">
      <alignment horizontal="center"/>
    </xf>
    <xf numFmtId="183" fontId="36" fillId="0" borderId="0" xfId="0" applyNumberFormat="1" applyFont="1"/>
    <xf numFmtId="7" fontId="36" fillId="0" borderId="0" xfId="0" applyNumberFormat="1" applyFont="1"/>
    <xf numFmtId="0" fontId="36" fillId="0" borderId="37" xfId="0" applyFont="1" applyBorder="1"/>
    <xf numFmtId="0" fontId="36" fillId="0" borderId="38" xfId="0" applyFont="1" applyBorder="1"/>
    <xf numFmtId="165" fontId="36" fillId="0" borderId="11" xfId="28" applyNumberFormat="1" applyFont="1" applyBorder="1" applyAlignment="1">
      <alignment horizontal="center"/>
    </xf>
    <xf numFmtId="0" fontId="36" fillId="0" borderId="28" xfId="0" applyFont="1" applyBorder="1" applyAlignment="1">
      <alignment horizontal="center"/>
    </xf>
    <xf numFmtId="165" fontId="40" fillId="0" borderId="11" xfId="28" applyNumberFormat="1" applyFont="1" applyBorder="1" applyAlignment="1">
      <alignment horizontal="center"/>
    </xf>
    <xf numFmtId="164" fontId="36" fillId="0" borderId="11" xfId="29" applyNumberFormat="1" applyFont="1" applyBorder="1"/>
    <xf numFmtId="43" fontId="36" fillId="0" borderId="11" xfId="28" applyFont="1" applyFill="1" applyBorder="1"/>
    <xf numFmtId="165" fontId="36" fillId="26" borderId="11" xfId="28" applyNumberFormat="1" applyFont="1" applyFill="1" applyBorder="1"/>
    <xf numFmtId="165" fontId="36" fillId="26" borderId="12" xfId="28" applyNumberFormat="1" applyFont="1" applyFill="1" applyBorder="1"/>
    <xf numFmtId="43" fontId="36" fillId="0" borderId="31" xfId="28" applyFont="1" applyBorder="1"/>
    <xf numFmtId="43" fontId="36" fillId="0" borderId="31" xfId="28" applyFont="1" applyFill="1" applyBorder="1"/>
    <xf numFmtId="165" fontId="36" fillId="0" borderId="30" xfId="28" applyNumberFormat="1" applyFont="1" applyFill="1" applyBorder="1"/>
    <xf numFmtId="165" fontId="36" fillId="0" borderId="31" xfId="28" applyNumberFormat="1" applyFont="1" applyBorder="1"/>
    <xf numFmtId="3" fontId="36" fillId="0" borderId="31" xfId="28" applyNumberFormat="1" applyFont="1" applyFill="1" applyBorder="1"/>
    <xf numFmtId="43" fontId="36" fillId="0" borderId="32" xfId="28" applyFont="1" applyBorder="1"/>
    <xf numFmtId="43" fontId="36" fillId="0" borderId="32" xfId="28" applyFont="1" applyFill="1" applyBorder="1"/>
    <xf numFmtId="165" fontId="36" fillId="0" borderId="33" xfId="28" applyNumberFormat="1" applyFont="1" applyFill="1" applyBorder="1"/>
    <xf numFmtId="43" fontId="36" fillId="0" borderId="11" xfId="28" applyFont="1" applyBorder="1"/>
    <xf numFmtId="3" fontId="36" fillId="0" borderId="11" xfId="28" applyNumberFormat="1" applyFont="1" applyFill="1" applyBorder="1"/>
    <xf numFmtId="43" fontId="36" fillId="0" borderId="12" xfId="28" applyFont="1" applyFill="1" applyBorder="1"/>
    <xf numFmtId="43" fontId="36" fillId="25" borderId="31" xfId="28" applyFont="1" applyFill="1" applyBorder="1"/>
    <xf numFmtId="165" fontId="36" fillId="25" borderId="31" xfId="28" applyNumberFormat="1" applyFont="1" applyFill="1" applyBorder="1"/>
    <xf numFmtId="165" fontId="36" fillId="25" borderId="30" xfId="28" applyNumberFormat="1" applyFont="1" applyFill="1" applyBorder="1"/>
    <xf numFmtId="166" fontId="36" fillId="0" borderId="11" xfId="47" applyNumberFormat="1" applyFont="1" applyFill="1" applyBorder="1"/>
    <xf numFmtId="43" fontId="36" fillId="0" borderId="31" xfId="28" applyFont="1" applyFill="1" applyBorder="1" applyAlignment="1">
      <alignment horizontal="center"/>
    </xf>
    <xf numFmtId="165" fontId="36" fillId="0" borderId="30" xfId="28" applyNumberFormat="1" applyFont="1" applyFill="1" applyBorder="1" applyAlignment="1">
      <alignment horizontal="center"/>
    </xf>
    <xf numFmtId="43" fontId="36" fillId="0" borderId="30" xfId="28" applyFont="1" applyFill="1" applyBorder="1" applyAlignment="1">
      <alignment horizontal="center"/>
    </xf>
    <xf numFmtId="165" fontId="36" fillId="24" borderId="31" xfId="28" applyNumberFormat="1" applyFont="1" applyFill="1" applyBorder="1" applyAlignment="1">
      <alignment horizontal="center"/>
    </xf>
    <xf numFmtId="165" fontId="36" fillId="0" borderId="28" xfId="28" applyNumberFormat="1" applyFont="1" applyBorder="1"/>
    <xf numFmtId="43" fontId="36" fillId="0" borderId="16" xfId="28" applyFont="1" applyBorder="1"/>
    <xf numFmtId="43" fontId="36" fillId="0" borderId="29" xfId="28" applyFont="1" applyBorder="1"/>
    <xf numFmtId="43" fontId="36" fillId="0" borderId="28" xfId="28" applyFont="1" applyBorder="1"/>
    <xf numFmtId="43" fontId="36" fillId="0" borderId="12" xfId="28" applyFont="1" applyBorder="1"/>
    <xf numFmtId="0" fontId="36" fillId="0" borderId="34" xfId="0" applyFont="1" applyBorder="1" applyAlignment="1">
      <alignment horizontal="center"/>
    </xf>
    <xf numFmtId="43" fontId="36" fillId="0" borderId="35" xfId="28" applyFont="1" applyBorder="1" applyAlignment="1">
      <alignment horizontal="center"/>
    </xf>
    <xf numFmtId="165" fontId="36" fillId="0" borderId="34" xfId="28" applyNumberFormat="1" applyFont="1" applyBorder="1" applyAlignment="1">
      <alignment horizontal="right"/>
    </xf>
    <xf numFmtId="43" fontId="36" fillId="0" borderId="34" xfId="28" applyFont="1" applyBorder="1" applyAlignment="1">
      <alignment horizontal="center"/>
    </xf>
    <xf numFmtId="43" fontId="36" fillId="0" borderId="34" xfId="28" applyFont="1" applyBorder="1" applyAlignment="1">
      <alignment horizontal="right"/>
    </xf>
    <xf numFmtId="177" fontId="36" fillId="0" borderId="0" xfId="47" applyNumberFormat="1" applyFont="1"/>
    <xf numFmtId="0" fontId="39" fillId="0" borderId="0" xfId="0" applyFont="1" applyAlignment="1">
      <alignment horizontal="left"/>
    </xf>
    <xf numFmtId="3" fontId="36" fillId="0" borderId="0" xfId="29" applyNumberFormat="1" applyFont="1"/>
    <xf numFmtId="6" fontId="38" fillId="0" borderId="0" xfId="0" applyNumberFormat="1" applyFont="1" applyAlignment="1">
      <alignment horizontal="right"/>
    </xf>
    <xf numFmtId="6" fontId="38" fillId="0" borderId="0" xfId="0" applyNumberFormat="1" applyFont="1"/>
    <xf numFmtId="164" fontId="36" fillId="0" borderId="0" xfId="29" applyNumberFormat="1" applyFont="1" applyFill="1"/>
    <xf numFmtId="10" fontId="36" fillId="0" borderId="0" xfId="47" applyNumberFormat="1" applyFont="1" applyFill="1"/>
    <xf numFmtId="42" fontId="36" fillId="0" borderId="0" xfId="29" applyNumberFormat="1" applyFont="1" applyFill="1" applyBorder="1"/>
    <xf numFmtId="10" fontId="38" fillId="0" borderId="0" xfId="47" applyNumberFormat="1" applyFont="1"/>
    <xf numFmtId="166" fontId="38" fillId="0" borderId="0" xfId="47" applyNumberFormat="1" applyFont="1" applyFill="1" applyBorder="1" applyAlignment="1">
      <alignment horizontal="right"/>
    </xf>
    <xf numFmtId="164" fontId="0" fillId="0" borderId="0" xfId="0" applyNumberFormat="1"/>
    <xf numFmtId="0" fontId="0" fillId="0" borderId="10" xfId="0" applyBorder="1"/>
    <xf numFmtId="164" fontId="38" fillId="0" borderId="0" xfId="0" applyNumberFormat="1" applyFont="1"/>
    <xf numFmtId="164" fontId="38" fillId="0" borderId="0" xfId="29" applyNumberFormat="1" applyFont="1"/>
    <xf numFmtId="9" fontId="38" fillId="0" borderId="0" xfId="47" applyFont="1"/>
    <xf numFmtId="0" fontId="25" fillId="0" borderId="0" xfId="0" applyFont="1"/>
    <xf numFmtId="185" fontId="38" fillId="0" borderId="0" xfId="0" applyNumberFormat="1" applyFont="1"/>
    <xf numFmtId="0" fontId="36" fillId="30" borderId="0" xfId="0" applyFont="1" applyFill="1"/>
    <xf numFmtId="6" fontId="36" fillId="30" borderId="0" xfId="0" applyNumberFormat="1" applyFont="1" applyFill="1" applyAlignment="1">
      <alignment horizontal="center"/>
    </xf>
    <xf numFmtId="0" fontId="36" fillId="30" borderId="10" xfId="0" applyFont="1" applyFill="1" applyBorder="1"/>
    <xf numFmtId="6" fontId="36" fillId="30" borderId="10" xfId="0" applyNumberFormat="1" applyFont="1" applyFill="1" applyBorder="1" applyAlignment="1">
      <alignment horizontal="center"/>
    </xf>
    <xf numFmtId="182" fontId="36" fillId="30" borderId="10" xfId="0" applyNumberFormat="1" applyFont="1" applyFill="1" applyBorder="1" applyAlignment="1">
      <alignment horizontal="center"/>
    </xf>
    <xf numFmtId="175" fontId="36" fillId="30" borderId="0" xfId="0" applyNumberFormat="1" applyFont="1" applyFill="1"/>
    <xf numFmtId="0" fontId="36" fillId="30" borderId="32" xfId="0" applyFont="1" applyFill="1" applyBorder="1" applyAlignment="1">
      <alignment horizontal="left"/>
    </xf>
    <xf numFmtId="0" fontId="36" fillId="30" borderId="40" xfId="0" applyFont="1" applyFill="1" applyBorder="1"/>
    <xf numFmtId="175" fontId="36" fillId="30" borderId="40" xfId="0" applyNumberFormat="1" applyFont="1" applyFill="1" applyBorder="1"/>
    <xf numFmtId="0" fontId="36" fillId="30" borderId="0" xfId="0" applyFont="1" applyFill="1" applyAlignment="1">
      <alignment horizontal="center"/>
    </xf>
    <xf numFmtId="0" fontId="36" fillId="30" borderId="10" xfId="0" applyFont="1" applyFill="1" applyBorder="1" applyAlignment="1">
      <alignment horizontal="center"/>
    </xf>
    <xf numFmtId="0" fontId="43" fillId="0" borderId="0" xfId="0" applyFont="1" applyAlignment="1">
      <alignment horizontal="center"/>
    </xf>
    <xf numFmtId="0" fontId="44" fillId="0" borderId="0" xfId="0" applyFont="1"/>
    <xf numFmtId="164" fontId="44" fillId="0" borderId="0" xfId="29" applyNumberFormat="1" applyFont="1"/>
    <xf numFmtId="164" fontId="37" fillId="0" borderId="0" xfId="29" applyNumberFormat="1" applyFont="1"/>
    <xf numFmtId="9" fontId="44" fillId="0" borderId="0" xfId="47" applyFont="1"/>
    <xf numFmtId="0" fontId="43" fillId="0" borderId="0" xfId="0" applyFont="1"/>
    <xf numFmtId="166" fontId="36" fillId="0" borderId="0" xfId="47" applyNumberFormat="1" applyFont="1" applyFill="1" applyBorder="1"/>
    <xf numFmtId="167" fontId="36" fillId="0" borderId="0" xfId="0" applyNumberFormat="1" applyFont="1" applyAlignment="1">
      <alignment horizontal="left" indent="1"/>
    </xf>
    <xf numFmtId="167" fontId="36" fillId="0" borderId="0" xfId="29" applyNumberFormat="1" applyFont="1" applyFill="1" applyBorder="1"/>
    <xf numFmtId="172" fontId="36" fillId="0" borderId="0" xfId="29" applyNumberFormat="1" applyFont="1" applyFill="1" applyBorder="1"/>
    <xf numFmtId="165" fontId="38" fillId="0" borderId="0" xfId="28" applyNumberFormat="1" applyFont="1"/>
    <xf numFmtId="165" fontId="38" fillId="0" borderId="0" xfId="28" applyNumberFormat="1" applyFont="1" applyFill="1"/>
    <xf numFmtId="170" fontId="36" fillId="0" borderId="0" xfId="29" applyNumberFormat="1" applyFont="1" applyFill="1" applyBorder="1"/>
    <xf numFmtId="0" fontId="36" fillId="0" borderId="31" xfId="0" applyFont="1" applyBorder="1"/>
    <xf numFmtId="0" fontId="26" fillId="0" borderId="29" xfId="0" applyFont="1" applyBorder="1"/>
    <xf numFmtId="0" fontId="27" fillId="0" borderId="16" xfId="0" applyFont="1" applyBorder="1"/>
    <xf numFmtId="0" fontId="26" fillId="0" borderId="11" xfId="0" applyFont="1" applyBorder="1"/>
    <xf numFmtId="0" fontId="26" fillId="0" borderId="0" xfId="0" applyFont="1" applyAlignment="1">
      <alignment horizontal="center" wrapText="1"/>
    </xf>
    <xf numFmtId="0" fontId="26" fillId="0" borderId="27" xfId="0" applyFont="1" applyBorder="1" applyAlignment="1">
      <alignment horizontal="center" wrapText="1"/>
    </xf>
    <xf numFmtId="0" fontId="27" fillId="0" borderId="11" xfId="0" applyFont="1" applyBorder="1"/>
    <xf numFmtId="0" fontId="27" fillId="0" borderId="0" xfId="0" applyFont="1"/>
    <xf numFmtId="0" fontId="27" fillId="0" borderId="27" xfId="0" applyFont="1" applyBorder="1"/>
    <xf numFmtId="0" fontId="27" fillId="0" borderId="11" xfId="0" applyFont="1" applyBorder="1" applyAlignment="1">
      <alignment horizontal="left" indent="1"/>
    </xf>
    <xf numFmtId="165" fontId="27" fillId="0" borderId="0" xfId="28" applyNumberFormat="1" applyFont="1" applyBorder="1"/>
    <xf numFmtId="170" fontId="27" fillId="0" borderId="0" xfId="29" applyNumberFormat="1" applyFont="1" applyBorder="1"/>
    <xf numFmtId="166" fontId="27" fillId="0" borderId="27" xfId="47" applyNumberFormat="1" applyFont="1" applyBorder="1"/>
    <xf numFmtId="9" fontId="27" fillId="0" borderId="27" xfId="47" applyFont="1" applyBorder="1"/>
    <xf numFmtId="0" fontId="28" fillId="0" borderId="11" xfId="0" applyFont="1" applyBorder="1"/>
    <xf numFmtId="0" fontId="27" fillId="0" borderId="31" xfId="0" applyFont="1" applyBorder="1"/>
    <xf numFmtId="0" fontId="27" fillId="0" borderId="10" xfId="0" applyFont="1" applyBorder="1"/>
    <xf numFmtId="166" fontId="28" fillId="0" borderId="10" xfId="47" applyNumberFormat="1" applyFont="1" applyBorder="1"/>
    <xf numFmtId="166" fontId="28" fillId="0" borderId="42" xfId="47" applyNumberFormat="1" applyFont="1" applyBorder="1"/>
    <xf numFmtId="175" fontId="27" fillId="0" borderId="0" xfId="0" applyNumberFormat="1" applyFont="1"/>
    <xf numFmtId="42" fontId="40" fillId="0" borderId="30" xfId="0" applyNumberFormat="1" applyFont="1" applyBorder="1"/>
    <xf numFmtId="42" fontId="40" fillId="0" borderId="0" xfId="0" applyNumberFormat="1" applyFont="1"/>
    <xf numFmtId="175" fontId="38" fillId="0" borderId="10" xfId="0" applyNumberFormat="1" applyFont="1" applyBorder="1"/>
    <xf numFmtId="6" fontId="38" fillId="0" borderId="10" xfId="0" applyNumberFormat="1" applyFont="1" applyBorder="1"/>
    <xf numFmtId="0" fontId="39" fillId="0" borderId="11" xfId="0" applyFont="1" applyBorder="1"/>
    <xf numFmtId="175" fontId="38" fillId="0" borderId="16" xfId="0" applyNumberFormat="1" applyFont="1" applyBorder="1" applyAlignment="1">
      <alignment horizontal="right"/>
    </xf>
    <xf numFmtId="166" fontId="37" fillId="0" borderId="0" xfId="47" applyNumberFormat="1" applyFont="1" applyFill="1" applyBorder="1" applyAlignment="1">
      <alignment horizontal="right"/>
    </xf>
    <xf numFmtId="0" fontId="37" fillId="27" borderId="32" xfId="0" applyFont="1" applyFill="1" applyBorder="1"/>
    <xf numFmtId="0" fontId="37" fillId="27" borderId="40" xfId="0" applyFont="1" applyFill="1" applyBorder="1" applyAlignment="1">
      <alignment horizontal="left"/>
    </xf>
    <xf numFmtId="0" fontId="37" fillId="0" borderId="40" xfId="0" applyFont="1" applyBorder="1" applyAlignment="1">
      <alignment horizontal="left"/>
    </xf>
    <xf numFmtId="0" fontId="38" fillId="0" borderId="40" xfId="0" applyFont="1" applyBorder="1"/>
    <xf numFmtId="0" fontId="36" fillId="0" borderId="40" xfId="0" applyFont="1" applyBorder="1"/>
    <xf numFmtId="0" fontId="38" fillId="0" borderId="39" xfId="0" applyFont="1" applyBorder="1"/>
    <xf numFmtId="0" fontId="38" fillId="0" borderId="11" xfId="0" applyFont="1" applyBorder="1"/>
    <xf numFmtId="0" fontId="38" fillId="0" borderId="27" xfId="0" applyFont="1" applyBorder="1"/>
    <xf numFmtId="0" fontId="38" fillId="0" borderId="31" xfId="0" applyFont="1" applyBorder="1"/>
    <xf numFmtId="0" fontId="37" fillId="0" borderId="11" xfId="0" applyFont="1" applyBorder="1"/>
    <xf numFmtId="165" fontId="38" fillId="0" borderId="10" xfId="28" applyNumberFormat="1" applyFont="1" applyBorder="1"/>
    <xf numFmtId="0" fontId="38" fillId="0" borderId="42" xfId="0" applyFont="1" applyBorder="1"/>
    <xf numFmtId="0" fontId="38" fillId="0" borderId="41" xfId="0" applyFont="1" applyBorder="1"/>
    <xf numFmtId="0" fontId="39" fillId="0" borderId="27" xfId="0" applyFont="1" applyBorder="1"/>
    <xf numFmtId="0" fontId="37" fillId="0" borderId="27" xfId="0" applyFont="1" applyBorder="1" applyAlignment="1">
      <alignment horizontal="center"/>
    </xf>
    <xf numFmtId="0" fontId="37" fillId="0" borderId="11" xfId="0" applyFont="1" applyBorder="1" applyAlignment="1">
      <alignment horizontal="center"/>
    </xf>
    <xf numFmtId="175" fontId="37" fillId="0" borderId="31" xfId="0" applyNumberFormat="1" applyFont="1" applyBorder="1" applyAlignment="1">
      <alignment horizontal="right"/>
    </xf>
    <xf numFmtId="165" fontId="37" fillId="0" borderId="42" xfId="28" applyNumberFormat="1" applyFont="1" applyFill="1" applyBorder="1" applyAlignment="1">
      <alignment horizontal="right"/>
    </xf>
    <xf numFmtId="6" fontId="38" fillId="0" borderId="27" xfId="0" applyNumberFormat="1" applyFont="1" applyBorder="1" applyAlignment="1">
      <alignment horizontal="right"/>
    </xf>
    <xf numFmtId="175" fontId="37" fillId="0" borderId="40" xfId="0" applyNumberFormat="1" applyFont="1" applyBorder="1" applyAlignment="1">
      <alignment horizontal="right"/>
    </xf>
    <xf numFmtId="6" fontId="37" fillId="0" borderId="42" xfId="0" applyNumberFormat="1" applyFont="1" applyBorder="1" applyAlignment="1">
      <alignment horizontal="right"/>
    </xf>
    <xf numFmtId="0" fontId="38" fillId="0" borderId="27" xfId="0" applyFont="1" applyBorder="1" applyAlignment="1">
      <alignment horizontal="center"/>
    </xf>
    <xf numFmtId="0" fontId="38" fillId="0" borderId="11" xfId="0" applyFont="1" applyBorder="1" applyAlignment="1">
      <alignment horizontal="right"/>
    </xf>
    <xf numFmtId="0" fontId="38" fillId="0" borderId="12" xfId="0" applyFont="1" applyBorder="1"/>
    <xf numFmtId="6" fontId="39" fillId="0" borderId="0" xfId="0" applyNumberFormat="1" applyFont="1"/>
    <xf numFmtId="6" fontId="39" fillId="0" borderId="14" xfId="0" applyNumberFormat="1" applyFont="1" applyBorder="1"/>
    <xf numFmtId="0" fontId="39" fillId="0" borderId="12" xfId="0" applyFont="1" applyBorder="1" applyAlignment="1">
      <alignment horizontal="center"/>
    </xf>
    <xf numFmtId="0" fontId="39" fillId="0" borderId="17" xfId="0" applyFont="1" applyBorder="1" applyAlignment="1">
      <alignment horizontal="center"/>
    </xf>
    <xf numFmtId="6" fontId="36" fillId="0" borderId="0" xfId="29" applyNumberFormat="1" applyFont="1" applyFill="1"/>
    <xf numFmtId="6" fontId="40" fillId="0" borderId="0" xfId="29" applyNumberFormat="1" applyFont="1" applyFill="1"/>
    <xf numFmtId="0" fontId="41" fillId="28" borderId="0" xfId="0" applyFont="1" applyFill="1"/>
    <xf numFmtId="164" fontId="39" fillId="0" borderId="0" xfId="0" applyNumberFormat="1" applyFont="1"/>
    <xf numFmtId="166" fontId="39" fillId="0" borderId="0" xfId="0" applyNumberFormat="1" applyFont="1"/>
    <xf numFmtId="175" fontId="39" fillId="0" borderId="0" xfId="0" applyNumberFormat="1" applyFont="1"/>
    <xf numFmtId="0" fontId="27" fillId="0" borderId="11" xfId="0" applyFont="1" applyBorder="1" applyAlignment="1">
      <alignment horizontal="left" indent="3"/>
    </xf>
    <xf numFmtId="0" fontId="26" fillId="0" borderId="11" xfId="0" applyFont="1" applyBorder="1" applyAlignment="1">
      <alignment horizontal="center" wrapText="1"/>
    </xf>
    <xf numFmtId="166" fontId="28" fillId="0" borderId="31" xfId="47" applyNumberFormat="1" applyFont="1" applyBorder="1"/>
    <xf numFmtId="170" fontId="27" fillId="0" borderId="11" xfId="0" applyNumberFormat="1" applyFont="1" applyBorder="1"/>
    <xf numFmtId="9" fontId="27" fillId="0" borderId="11" xfId="47" applyFont="1" applyBorder="1"/>
    <xf numFmtId="0" fontId="28" fillId="0" borderId="0" xfId="0" applyFont="1"/>
    <xf numFmtId="0" fontId="29" fillId="0" borderId="0" xfId="0" applyFont="1"/>
    <xf numFmtId="0" fontId="26" fillId="0" borderId="27" xfId="0" applyFont="1" applyBorder="1" applyAlignment="1">
      <alignment horizontal="center"/>
    </xf>
    <xf numFmtId="166" fontId="27" fillId="0" borderId="27" xfId="47" applyNumberFormat="1" applyFont="1" applyFill="1" applyBorder="1"/>
    <xf numFmtId="166" fontId="27" fillId="0" borderId="27" xfId="0" applyNumberFormat="1" applyFont="1" applyBorder="1"/>
    <xf numFmtId="166" fontId="28" fillId="0" borderId="42" xfId="47" applyNumberFormat="1" applyFont="1" applyFill="1" applyBorder="1"/>
    <xf numFmtId="6" fontId="27" fillId="0" borderId="0" xfId="0" applyNumberFormat="1" applyFont="1"/>
    <xf numFmtId="0" fontId="26" fillId="0" borderId="11" xfId="0" applyFont="1" applyBorder="1" applyAlignment="1">
      <alignment wrapText="1"/>
    </xf>
    <xf numFmtId="0" fontId="36" fillId="0" borderId="0" xfId="0" applyFont="1" applyAlignment="1">
      <alignment horizontal="left" indent="1"/>
    </xf>
    <xf numFmtId="10" fontId="36" fillId="0" borderId="0" xfId="47" applyNumberFormat="1" applyFont="1" applyFill="1" applyBorder="1"/>
    <xf numFmtId="175" fontId="40" fillId="0" borderId="0" xfId="0" applyNumberFormat="1" applyFont="1"/>
    <xf numFmtId="10" fontId="36" fillId="31" borderId="0" xfId="47" applyNumberFormat="1" applyFont="1" applyFill="1"/>
    <xf numFmtId="10" fontId="36" fillId="31" borderId="0" xfId="47" applyNumberFormat="1" applyFont="1" applyFill="1" applyBorder="1"/>
    <xf numFmtId="175" fontId="36" fillId="0" borderId="0" xfId="29" applyNumberFormat="1" applyFont="1" applyFill="1" applyBorder="1"/>
    <xf numFmtId="164" fontId="36" fillId="0" borderId="0" xfId="29" applyNumberFormat="1" applyFont="1" applyFill="1" applyBorder="1"/>
    <xf numFmtId="0" fontId="38" fillId="0" borderId="29" xfId="0" applyFont="1" applyBorder="1" applyAlignment="1">
      <alignment horizontal="center"/>
    </xf>
    <xf numFmtId="0" fontId="38" fillId="0" borderId="16" xfId="0" applyFont="1" applyBorder="1" applyAlignment="1">
      <alignment horizontal="center"/>
    </xf>
    <xf numFmtId="0" fontId="38" fillId="0" borderId="39" xfId="0" applyFont="1" applyBorder="1" applyAlignment="1">
      <alignment horizontal="center"/>
    </xf>
    <xf numFmtId="0" fontId="38" fillId="0" borderId="11" xfId="0" applyFont="1" applyBorder="1" applyAlignment="1">
      <alignment horizontal="center"/>
    </xf>
    <xf numFmtId="6" fontId="38" fillId="0" borderId="31" xfId="0" applyNumberFormat="1" applyFont="1" applyBorder="1"/>
    <xf numFmtId="0" fontId="38" fillId="0" borderId="29" xfId="0" applyFont="1" applyBorder="1"/>
    <xf numFmtId="0" fontId="39" fillId="0" borderId="31" xfId="0" applyFont="1" applyBorder="1" applyAlignment="1">
      <alignment horizontal="left"/>
    </xf>
    <xf numFmtId="175" fontId="38" fillId="0" borderId="29" xfId="0" applyNumberFormat="1" applyFont="1" applyBorder="1" applyAlignment="1">
      <alignment horizontal="right"/>
    </xf>
    <xf numFmtId="175" fontId="38" fillId="0" borderId="11" xfId="0" applyNumberFormat="1" applyFont="1" applyBorder="1"/>
    <xf numFmtId="0" fontId="30" fillId="0" borderId="0" xfId="0" applyFont="1"/>
    <xf numFmtId="175" fontId="30" fillId="0" borderId="0" xfId="0" applyNumberFormat="1" applyFont="1"/>
    <xf numFmtId="0" fontId="31" fillId="0" borderId="0" xfId="0" applyFont="1"/>
    <xf numFmtId="0" fontId="30" fillId="0" borderId="0" xfId="0" applyFont="1" applyAlignment="1">
      <alignment horizontal="left" indent="1"/>
    </xf>
    <xf numFmtId="175" fontId="32" fillId="0" borderId="0" xfId="0" applyNumberFormat="1" applyFont="1"/>
    <xf numFmtId="175" fontId="33" fillId="0" borderId="0" xfId="0" applyNumberFormat="1" applyFont="1"/>
    <xf numFmtId="0" fontId="33" fillId="0" borderId="0" xfId="0" applyFont="1"/>
    <xf numFmtId="0" fontId="32" fillId="0" borderId="0" xfId="0" applyFont="1" applyAlignment="1">
      <alignment horizontal="left" indent="1"/>
    </xf>
    <xf numFmtId="0" fontId="31" fillId="0" borderId="29" xfId="0" applyFont="1" applyBorder="1"/>
    <xf numFmtId="0" fontId="32" fillId="0" borderId="0" xfId="0" applyFont="1"/>
    <xf numFmtId="165" fontId="38" fillId="0" borderId="0" xfId="28" applyNumberFormat="1" applyFont="1" applyBorder="1"/>
    <xf numFmtId="165" fontId="38" fillId="0" borderId="27" xfId="0" applyNumberFormat="1" applyFont="1" applyBorder="1"/>
    <xf numFmtId="0" fontId="46" fillId="0" borderId="0" xfId="0" applyFont="1" applyAlignment="1">
      <alignment horizontal="center"/>
    </xf>
    <xf numFmtId="165" fontId="0" fillId="0" borderId="0" xfId="28" applyNumberFormat="1" applyFont="1" applyBorder="1"/>
    <xf numFmtId="0" fontId="47" fillId="0" borderId="0" xfId="0" applyFont="1"/>
    <xf numFmtId="0" fontId="36" fillId="30" borderId="29" xfId="0" applyFont="1" applyFill="1" applyBorder="1" applyAlignment="1">
      <alignment horizontal="left"/>
    </xf>
    <xf numFmtId="5" fontId="36" fillId="30" borderId="16" xfId="0" applyNumberFormat="1" applyFont="1" applyFill="1" applyBorder="1"/>
    <xf numFmtId="175" fontId="37" fillId="0" borderId="10" xfId="0" applyNumberFormat="1" applyFont="1" applyBorder="1" applyAlignment="1">
      <alignment horizontal="right"/>
    </xf>
    <xf numFmtId="175" fontId="0" fillId="0" borderId="0" xfId="0" applyNumberFormat="1"/>
    <xf numFmtId="165" fontId="0" fillId="0" borderId="0" xfId="28" applyNumberFormat="1" applyFont="1"/>
    <xf numFmtId="0" fontId="48" fillId="0" borderId="0" xfId="0" applyFont="1"/>
    <xf numFmtId="9" fontId="0" fillId="0" borderId="0" xfId="47" applyFont="1"/>
    <xf numFmtId="175" fontId="47" fillId="0" borderId="0" xfId="0" applyNumberFormat="1" applyFont="1"/>
    <xf numFmtId="175" fontId="25" fillId="0" borderId="0" xfId="0" applyNumberFormat="1" applyFont="1"/>
    <xf numFmtId="0" fontId="48" fillId="0" borderId="0" xfId="0" applyFont="1" applyAlignment="1">
      <alignment horizontal="center" wrapText="1"/>
    </xf>
    <xf numFmtId="166" fontId="39" fillId="0" borderId="0" xfId="47" applyNumberFormat="1" applyFont="1"/>
    <xf numFmtId="174" fontId="39" fillId="0" borderId="0" xfId="0" applyNumberFormat="1" applyFont="1"/>
    <xf numFmtId="166" fontId="39" fillId="0" borderId="0" xfId="47" applyNumberFormat="1" applyFont="1" applyFill="1"/>
    <xf numFmtId="0" fontId="36" fillId="30" borderId="16" xfId="0" applyFont="1" applyFill="1" applyBorder="1"/>
    <xf numFmtId="0" fontId="38" fillId="0" borderId="0" xfId="0" applyFont="1" applyAlignment="1">
      <alignment horizontal="right"/>
    </xf>
    <xf numFmtId="166" fontId="38" fillId="0" borderId="0" xfId="47" applyNumberFormat="1" applyFont="1" applyBorder="1"/>
    <xf numFmtId="165" fontId="47" fillId="0" borderId="0" xfId="28" applyNumberFormat="1" applyFont="1"/>
    <xf numFmtId="166" fontId="47" fillId="0" borderId="0" xfId="47" applyNumberFormat="1" applyFont="1"/>
    <xf numFmtId="165" fontId="25" fillId="0" borderId="0" xfId="0" applyNumberFormat="1" applyFont="1"/>
    <xf numFmtId="165" fontId="0" fillId="0" borderId="0" xfId="0" applyNumberFormat="1"/>
    <xf numFmtId="181" fontId="0" fillId="0" borderId="0" xfId="0" applyNumberFormat="1"/>
    <xf numFmtId="165" fontId="39" fillId="0" borderId="0" xfId="28" applyNumberFormat="1" applyFont="1" applyFill="1"/>
    <xf numFmtId="166" fontId="0" fillId="0" borderId="0" xfId="47" applyNumberFormat="1" applyFont="1"/>
    <xf numFmtId="166" fontId="0" fillId="0" borderId="0" xfId="0" applyNumberFormat="1"/>
    <xf numFmtId="166" fontId="25" fillId="0" borderId="0" xfId="0" applyNumberFormat="1" applyFont="1"/>
    <xf numFmtId="165" fontId="49" fillId="0" borderId="0" xfId="28" applyNumberFormat="1" applyFont="1"/>
    <xf numFmtId="165" fontId="25" fillId="0" borderId="0" xfId="28" applyNumberFormat="1" applyFont="1"/>
    <xf numFmtId="165" fontId="39" fillId="0" borderId="0" xfId="0" applyNumberFormat="1" applyFont="1"/>
    <xf numFmtId="42" fontId="0" fillId="0" borderId="0" xfId="0" applyNumberFormat="1"/>
    <xf numFmtId="0" fontId="25" fillId="0" borderId="0" xfId="0" applyFont="1" applyAlignment="1">
      <alignment horizontal="left" indent="1"/>
    </xf>
    <xf numFmtId="42" fontId="25" fillId="0" borderId="0" xfId="0" applyNumberFormat="1" applyFont="1"/>
    <xf numFmtId="0" fontId="47" fillId="0" borderId="0" xfId="0" applyFont="1" applyAlignment="1">
      <alignment horizontal="left" indent="1"/>
    </xf>
    <xf numFmtId="42" fontId="47" fillId="0" borderId="0" xfId="0" applyNumberFormat="1" applyFont="1"/>
    <xf numFmtId="6" fontId="0" fillId="0" borderId="0" xfId="0" applyNumberFormat="1"/>
    <xf numFmtId="0" fontId="25" fillId="0" borderId="0" xfId="0" applyFont="1" applyAlignment="1">
      <alignment horizontal="center"/>
    </xf>
    <xf numFmtId="174" fontId="0" fillId="0" borderId="0" xfId="0" applyNumberFormat="1"/>
    <xf numFmtId="0" fontId="2" fillId="0" borderId="0" xfId="43"/>
    <xf numFmtId="186" fontId="2" fillId="0" borderId="0" xfId="43" applyNumberFormat="1"/>
    <xf numFmtId="165" fontId="38" fillId="27" borderId="0" xfId="28" applyNumberFormat="1" applyFont="1" applyFill="1"/>
    <xf numFmtId="0" fontId="48" fillId="0" borderId="0" xfId="0" applyFont="1" applyAlignment="1">
      <alignment horizontal="center"/>
    </xf>
    <xf numFmtId="175" fontId="48" fillId="0" borderId="11" xfId="0" applyNumberFormat="1" applyFont="1" applyBorder="1" applyAlignment="1">
      <alignment horizontal="center"/>
    </xf>
    <xf numFmtId="0" fontId="48" fillId="0" borderId="27" xfId="0" applyFont="1" applyBorder="1" applyAlignment="1">
      <alignment horizontal="center"/>
    </xf>
    <xf numFmtId="175" fontId="0" fillId="0" borderId="11" xfId="0" applyNumberFormat="1" applyBorder="1"/>
    <xf numFmtId="175" fontId="0" fillId="0" borderId="27" xfId="0" applyNumberFormat="1" applyBorder="1"/>
    <xf numFmtId="175" fontId="47" fillId="0" borderId="11" xfId="0" applyNumberFormat="1" applyFont="1" applyBorder="1"/>
    <xf numFmtId="175" fontId="25" fillId="0" borderId="31" xfId="0" applyNumberFormat="1" applyFont="1" applyBorder="1"/>
    <xf numFmtId="175" fontId="25" fillId="0" borderId="42" xfId="0" applyNumberFormat="1" applyFont="1" applyBorder="1"/>
    <xf numFmtId="0" fontId="48" fillId="0" borderId="11" xfId="0" applyFont="1" applyBorder="1" applyAlignment="1">
      <alignment horizontal="center" wrapText="1"/>
    </xf>
    <xf numFmtId="174" fontId="0" fillId="0" borderId="11" xfId="0" applyNumberFormat="1" applyBorder="1"/>
    <xf numFmtId="0" fontId="0" fillId="0" borderId="27" xfId="0" applyBorder="1"/>
    <xf numFmtId="0" fontId="0" fillId="0" borderId="31" xfId="0" applyBorder="1"/>
    <xf numFmtId="0" fontId="48" fillId="0" borderId="28" xfId="0" applyFont="1" applyBorder="1" applyAlignment="1">
      <alignment horizontal="center"/>
    </xf>
    <xf numFmtId="175" fontId="0" fillId="0" borderId="12" xfId="0" applyNumberFormat="1" applyBorder="1"/>
    <xf numFmtId="175" fontId="47" fillId="0" borderId="27" xfId="0" applyNumberFormat="1" applyFont="1" applyBorder="1"/>
    <xf numFmtId="175" fontId="47" fillId="0" borderId="12" xfId="0" applyNumberFormat="1" applyFont="1" applyBorder="1"/>
    <xf numFmtId="0" fontId="48" fillId="0" borderId="28" xfId="0" applyFont="1" applyBorder="1"/>
    <xf numFmtId="0" fontId="2" fillId="0" borderId="12" xfId="43" applyBorder="1"/>
    <xf numFmtId="0" fontId="47" fillId="0" borderId="12" xfId="0" applyFont="1" applyBorder="1"/>
    <xf numFmtId="0" fontId="25" fillId="0" borderId="30" xfId="0" applyFont="1" applyBorder="1"/>
    <xf numFmtId="175" fontId="25" fillId="0" borderId="30" xfId="0" applyNumberFormat="1" applyFont="1" applyBorder="1"/>
    <xf numFmtId="42" fontId="49" fillId="0" borderId="0" xfId="0" applyNumberFormat="1" applyFont="1"/>
    <xf numFmtId="174" fontId="47" fillId="0" borderId="0" xfId="0" applyNumberFormat="1" applyFont="1"/>
    <xf numFmtId="164" fontId="0" fillId="0" borderId="0" xfId="29" applyNumberFormat="1" applyFont="1"/>
    <xf numFmtId="164" fontId="49" fillId="0" borderId="0" xfId="0" applyNumberFormat="1" applyFont="1"/>
    <xf numFmtId="175" fontId="36" fillId="0" borderId="32" xfId="0" applyNumberFormat="1" applyFont="1" applyBorder="1"/>
    <xf numFmtId="187" fontId="30" fillId="0" borderId="0" xfId="28" applyNumberFormat="1" applyFont="1"/>
    <xf numFmtId="182" fontId="36" fillId="0" borderId="31" xfId="0" applyNumberFormat="1" applyFont="1" applyBorder="1" applyAlignment="1">
      <alignment horizontal="center"/>
    </xf>
    <xf numFmtId="182" fontId="36" fillId="0" borderId="42" xfId="0" applyNumberFormat="1" applyFont="1" applyBorder="1" applyAlignment="1">
      <alignment horizontal="center"/>
    </xf>
    <xf numFmtId="5" fontId="36" fillId="30" borderId="32" xfId="0" applyNumberFormat="1" applyFont="1" applyFill="1" applyBorder="1"/>
    <xf numFmtId="5" fontId="36" fillId="30" borderId="40" xfId="0" applyNumberFormat="1" applyFont="1" applyFill="1" applyBorder="1"/>
    <xf numFmtId="5" fontId="36" fillId="30" borderId="41" xfId="0" applyNumberFormat="1" applyFont="1" applyFill="1" applyBorder="1"/>
    <xf numFmtId="5" fontId="36" fillId="30" borderId="31" xfId="0" applyNumberFormat="1" applyFont="1" applyFill="1" applyBorder="1"/>
    <xf numFmtId="5" fontId="36" fillId="30" borderId="10" xfId="0" applyNumberFormat="1" applyFont="1" applyFill="1" applyBorder="1"/>
    <xf numFmtId="43" fontId="36" fillId="0" borderId="0" xfId="28" applyFont="1"/>
    <xf numFmtId="165" fontId="36" fillId="0" borderId="0" xfId="28" applyNumberFormat="1" applyFont="1" applyFill="1" applyBorder="1"/>
    <xf numFmtId="43" fontId="36" fillId="30" borderId="11" xfId="28" applyFont="1" applyFill="1" applyBorder="1"/>
    <xf numFmtId="165" fontId="36" fillId="30" borderId="11" xfId="28" applyNumberFormat="1" applyFont="1" applyFill="1" applyBorder="1"/>
    <xf numFmtId="165" fontId="36" fillId="30" borderId="12" xfId="28" applyNumberFormat="1" applyFont="1" applyFill="1" applyBorder="1"/>
    <xf numFmtId="0" fontId="32" fillId="0" borderId="0" xfId="0" applyFont="1" applyAlignment="1">
      <alignment horizontal="center"/>
    </xf>
    <xf numFmtId="165" fontId="40" fillId="30" borderId="11" xfId="28" applyNumberFormat="1" applyFont="1" applyFill="1" applyBorder="1"/>
    <xf numFmtId="43" fontId="40" fillId="30" borderId="11" xfId="28" applyFont="1" applyFill="1" applyBorder="1"/>
    <xf numFmtId="0" fontId="40" fillId="30" borderId="0" xfId="0" applyFont="1" applyFill="1"/>
    <xf numFmtId="0" fontId="36" fillId="0" borderId="36" xfId="0" applyFont="1" applyBorder="1" applyAlignment="1">
      <alignment horizontal="center"/>
    </xf>
    <xf numFmtId="165" fontId="40" fillId="30" borderId="12" xfId="28" applyNumberFormat="1" applyFont="1" applyFill="1" applyBorder="1"/>
    <xf numFmtId="175" fontId="38" fillId="30" borderId="11" xfId="0" applyNumberFormat="1" applyFont="1" applyFill="1" applyBorder="1" applyAlignment="1">
      <alignment horizontal="right"/>
    </xf>
    <xf numFmtId="169" fontId="27" fillId="0" borderId="0" xfId="0" applyNumberFormat="1" applyFont="1"/>
    <xf numFmtId="43" fontId="36" fillId="30" borderId="12" xfId="28" applyFont="1" applyFill="1" applyBorder="1"/>
    <xf numFmtId="165" fontId="36" fillId="27" borderId="11" xfId="28" applyNumberFormat="1" applyFont="1" applyFill="1" applyBorder="1"/>
    <xf numFmtId="165" fontId="36" fillId="29" borderId="11" xfId="28" applyNumberFormat="1" applyFont="1" applyFill="1" applyBorder="1"/>
    <xf numFmtId="0" fontId="41" fillId="0" borderId="11" xfId="0" applyFont="1" applyBorder="1" applyAlignment="1">
      <alignment horizontal="center"/>
    </xf>
    <xf numFmtId="43" fontId="40" fillId="0" borderId="11" xfId="28" applyFont="1" applyFill="1" applyBorder="1"/>
    <xf numFmtId="165" fontId="40" fillId="0" borderId="11" xfId="28" applyNumberFormat="1" applyFont="1" applyFill="1" applyBorder="1"/>
    <xf numFmtId="165" fontId="40" fillId="0" borderId="12" xfId="28" applyNumberFormat="1" applyFont="1" applyFill="1" applyBorder="1"/>
    <xf numFmtId="165" fontId="40" fillId="26" borderId="11" xfId="28" applyNumberFormat="1" applyFont="1" applyFill="1" applyBorder="1"/>
    <xf numFmtId="165" fontId="40" fillId="26" borderId="12" xfId="28" applyNumberFormat="1" applyFont="1" applyFill="1" applyBorder="1"/>
    <xf numFmtId="0" fontId="1" fillId="0" borderId="0" xfId="0" applyFont="1"/>
    <xf numFmtId="182" fontId="36" fillId="0" borderId="40" xfId="0" applyNumberFormat="1" applyFont="1" applyBorder="1" applyAlignment="1">
      <alignment horizontal="center"/>
    </xf>
    <xf numFmtId="164" fontId="38" fillId="0" borderId="0" xfId="29" applyNumberFormat="1" applyFont="1" applyFill="1"/>
    <xf numFmtId="9" fontId="38" fillId="0" borderId="0" xfId="47" applyFont="1" applyFill="1"/>
    <xf numFmtId="166" fontId="38" fillId="0" borderId="0" xfId="47" applyNumberFormat="1" applyFont="1" applyFill="1"/>
    <xf numFmtId="166" fontId="38" fillId="0" borderId="0" xfId="0" applyNumberFormat="1" applyFont="1"/>
    <xf numFmtId="164" fontId="38" fillId="0" borderId="0" xfId="29" applyNumberFormat="1" applyFont="1" applyFill="1" applyBorder="1"/>
    <xf numFmtId="0" fontId="45" fillId="0" borderId="0" xfId="0" applyFont="1" applyAlignment="1">
      <alignment horizontal="center"/>
    </xf>
    <xf numFmtId="37" fontId="36" fillId="0" borderId="0" xfId="29" applyNumberFormat="1" applyFont="1" applyFill="1" applyBorder="1"/>
    <xf numFmtId="178" fontId="36" fillId="0" borderId="0" xfId="29" applyNumberFormat="1" applyFont="1" applyFill="1" applyBorder="1"/>
    <xf numFmtId="37" fontId="36" fillId="0" borderId="0" xfId="0" applyNumberFormat="1" applyFont="1"/>
    <xf numFmtId="184" fontId="36" fillId="0" borderId="0" xfId="0" applyNumberFormat="1" applyFont="1"/>
    <xf numFmtId="171" fontId="39" fillId="0" borderId="0" xfId="29" applyNumberFormat="1" applyFont="1" applyFill="1" applyBorder="1"/>
    <xf numFmtId="9" fontId="36" fillId="0" borderId="0" xfId="47" applyFont="1" applyFill="1" applyBorder="1"/>
    <xf numFmtId="165" fontId="50" fillId="0" borderId="0" xfId="0" applyNumberFormat="1" applyFont="1"/>
    <xf numFmtId="165" fontId="42" fillId="0" borderId="0" xfId="28" applyNumberFormat="1" applyFont="1" applyFill="1" applyBorder="1"/>
    <xf numFmtId="37" fontId="41" fillId="0" borderId="0" xfId="29" applyNumberFormat="1" applyFont="1" applyFill="1" applyBorder="1" applyAlignment="1">
      <alignment horizontal="center"/>
    </xf>
    <xf numFmtId="0" fontId="36" fillId="0" borderId="0" xfId="28" applyNumberFormat="1" applyFont="1" applyFill="1" applyBorder="1" applyAlignment="1">
      <alignment horizontal="left"/>
    </xf>
    <xf numFmtId="0" fontId="41" fillId="0" borderId="0" xfId="0" applyFont="1" applyAlignment="1">
      <alignment horizontal="left"/>
    </xf>
    <xf numFmtId="6" fontId="41" fillId="0" borderId="0" xfId="0" applyNumberFormat="1" applyFont="1"/>
    <xf numFmtId="8" fontId="38" fillId="0" borderId="0" xfId="0" applyNumberFormat="1" applyFont="1"/>
    <xf numFmtId="0" fontId="51" fillId="0" borderId="11" xfId="0" applyFont="1" applyBorder="1"/>
    <xf numFmtId="0" fontId="52" fillId="0" borderId="11" xfId="0" applyFont="1" applyBorder="1"/>
    <xf numFmtId="165" fontId="27" fillId="0" borderId="0" xfId="28" applyNumberFormat="1" applyFont="1"/>
    <xf numFmtId="0" fontId="30" fillId="0" borderId="0" xfId="0" applyFont="1" applyAlignment="1">
      <alignment horizontal="right"/>
    </xf>
    <xf numFmtId="9" fontId="30" fillId="0" borderId="0" xfId="47" applyFont="1" applyFill="1" applyBorder="1"/>
    <xf numFmtId="171" fontId="36" fillId="0" borderId="0" xfId="29" applyNumberFormat="1" applyFont="1" applyFill="1" applyBorder="1"/>
    <xf numFmtId="44" fontId="36" fillId="0" borderId="0" xfId="0" applyNumberFormat="1" applyFont="1"/>
    <xf numFmtId="0" fontId="30" fillId="0" borderId="16" xfId="0" applyFont="1" applyBorder="1"/>
    <xf numFmtId="0" fontId="30" fillId="0" borderId="39" xfId="0" applyFont="1" applyBorder="1"/>
    <xf numFmtId="0" fontId="30" fillId="0" borderId="11" xfId="0" applyFont="1" applyBorder="1" applyAlignment="1">
      <alignment horizontal="left" indent="1"/>
    </xf>
    <xf numFmtId="0" fontId="30" fillId="0" borderId="27" xfId="0" applyFont="1" applyBorder="1"/>
    <xf numFmtId="0" fontId="33" fillId="0" borderId="11" xfId="0" applyFont="1" applyBorder="1"/>
    <xf numFmtId="0" fontId="30" fillId="0" borderId="31" xfId="0" applyFont="1" applyBorder="1"/>
    <xf numFmtId="175" fontId="30" fillId="0" borderId="10" xfId="0" applyNumberFormat="1" applyFont="1" applyBorder="1"/>
    <xf numFmtId="0" fontId="30" fillId="0" borderId="10" xfId="0" applyFont="1" applyBorder="1"/>
    <xf numFmtId="0" fontId="30" fillId="0" borderId="42" xfId="0" applyFont="1" applyBorder="1"/>
    <xf numFmtId="0" fontId="41" fillId="0" borderId="29" xfId="0" applyFont="1" applyBorder="1"/>
    <xf numFmtId="0" fontId="36" fillId="0" borderId="16" xfId="0" applyFont="1" applyBorder="1"/>
    <xf numFmtId="0" fontId="36" fillId="0" borderId="39" xfId="0" applyFont="1" applyBorder="1"/>
    <xf numFmtId="0" fontId="41" fillId="0" borderId="27" xfId="0" applyFont="1" applyBorder="1" applyAlignment="1">
      <alignment horizontal="center"/>
    </xf>
    <xf numFmtId="175" fontId="39" fillId="0" borderId="27" xfId="0" applyNumberFormat="1" applyFont="1" applyBorder="1"/>
    <xf numFmtId="0" fontId="36" fillId="0" borderId="11" xfId="0" applyFont="1" applyBorder="1" applyAlignment="1">
      <alignment horizontal="left" indent="1"/>
    </xf>
    <xf numFmtId="0" fontId="40" fillId="0" borderId="11" xfId="0" applyFont="1" applyBorder="1"/>
    <xf numFmtId="175" fontId="41" fillId="0" borderId="27" xfId="0" applyNumberFormat="1" applyFont="1" applyBorder="1"/>
    <xf numFmtId="175" fontId="36" fillId="0" borderId="27" xfId="0" applyNumberFormat="1" applyFont="1" applyBorder="1"/>
    <xf numFmtId="175" fontId="36" fillId="0" borderId="10" xfId="0" applyNumberFormat="1" applyFont="1" applyBorder="1"/>
    <xf numFmtId="175" fontId="36" fillId="0" borderId="42" xfId="0" applyNumberFormat="1" applyFont="1" applyBorder="1"/>
    <xf numFmtId="165" fontId="38" fillId="0" borderId="0" xfId="28" applyNumberFormat="1" applyFont="1" applyFill="1" applyBorder="1" applyAlignment="1"/>
    <xf numFmtId="6" fontId="38" fillId="0" borderId="0" xfId="0" applyNumberFormat="1" applyFont="1" applyAlignment="1">
      <alignment horizontal="left"/>
    </xf>
    <xf numFmtId="6" fontId="38" fillId="0" borderId="27" xfId="0" applyNumberFormat="1" applyFont="1" applyBorder="1"/>
    <xf numFmtId="166" fontId="36" fillId="0" borderId="0" xfId="47" applyNumberFormat="1" applyFont="1" applyBorder="1"/>
    <xf numFmtId="6" fontId="39" fillId="0" borderId="16" xfId="0" applyNumberFormat="1" applyFont="1" applyBorder="1"/>
    <xf numFmtId="175" fontId="27" fillId="0" borderId="23" xfId="0" applyNumberFormat="1" applyFont="1" applyBorder="1"/>
    <xf numFmtId="0" fontId="32" fillId="0" borderId="11" xfId="0" applyFont="1" applyBorder="1" applyAlignment="1">
      <alignment horizontal="left" indent="1"/>
    </xf>
    <xf numFmtId="0" fontId="36" fillId="0" borderId="0" xfId="0" applyFont="1" applyAlignment="1">
      <alignment horizontal="right"/>
    </xf>
    <xf numFmtId="166" fontId="40" fillId="0" borderId="11" xfId="47" applyNumberFormat="1" applyFont="1" applyFill="1" applyBorder="1"/>
    <xf numFmtId="1" fontId="36" fillId="0" borderId="0" xfId="0" applyNumberFormat="1" applyFont="1" applyAlignment="1">
      <alignment horizontal="center"/>
    </xf>
    <xf numFmtId="166" fontId="36" fillId="0" borderId="11" xfId="0" applyNumberFormat="1" applyFont="1" applyBorder="1"/>
    <xf numFmtId="165" fontId="36" fillId="0" borderId="0" xfId="28" applyNumberFormat="1" applyFont="1" applyFill="1" applyBorder="1" applyAlignment="1">
      <alignment horizontal="center"/>
    </xf>
    <xf numFmtId="2" fontId="36" fillId="0" borderId="0" xfId="0" applyNumberFormat="1" applyFont="1"/>
    <xf numFmtId="166" fontId="27" fillId="0" borderId="0" xfId="47" applyNumberFormat="1" applyFont="1" applyBorder="1"/>
    <xf numFmtId="166" fontId="3" fillId="0" borderId="0" xfId="47" applyNumberFormat="1" applyFont="1" applyBorder="1"/>
    <xf numFmtId="175" fontId="28" fillId="0" borderId="0" xfId="0" applyNumberFormat="1" applyFont="1"/>
    <xf numFmtId="178" fontId="27" fillId="0" borderId="0" xfId="29" applyNumberFormat="1" applyFont="1" applyBorder="1"/>
    <xf numFmtId="176" fontId="27" fillId="0" borderId="0" xfId="29" applyNumberFormat="1" applyFont="1" applyBorder="1"/>
    <xf numFmtId="176" fontId="27" fillId="0" borderId="0" xfId="0" applyNumberFormat="1" applyFont="1"/>
    <xf numFmtId="179" fontId="27" fillId="0" borderId="0" xfId="29" applyNumberFormat="1" applyFont="1" applyBorder="1"/>
    <xf numFmtId="0" fontId="40" fillId="0" borderId="0" xfId="0" applyFont="1" applyAlignment="1">
      <alignment horizontal="left" indent="1"/>
    </xf>
    <xf numFmtId="165" fontId="38" fillId="30" borderId="27" xfId="28" applyNumberFormat="1" applyFont="1" applyFill="1" applyBorder="1" applyAlignment="1">
      <alignment horizontal="right"/>
    </xf>
    <xf numFmtId="175" fontId="38" fillId="30" borderId="31" xfId="0" applyNumberFormat="1" applyFont="1" applyFill="1" applyBorder="1" applyAlignment="1">
      <alignment horizontal="right"/>
    </xf>
    <xf numFmtId="165" fontId="38" fillId="30" borderId="42" xfId="28" applyNumberFormat="1" applyFont="1" applyFill="1" applyBorder="1" applyAlignment="1">
      <alignment horizontal="right"/>
    </xf>
    <xf numFmtId="0" fontId="1" fillId="0" borderId="0" xfId="0" applyFont="1" applyAlignment="1">
      <alignment horizontal="center"/>
    </xf>
    <xf numFmtId="0" fontId="48" fillId="0" borderId="0" xfId="0" applyFont="1" applyAlignment="1">
      <alignment wrapText="1"/>
    </xf>
    <xf numFmtId="0" fontId="25" fillId="0" borderId="0" xfId="0" applyFont="1" applyAlignment="1">
      <alignment wrapText="1"/>
    </xf>
    <xf numFmtId="6" fontId="39" fillId="30" borderId="10" xfId="0" applyNumberFormat="1" applyFont="1" applyFill="1" applyBorder="1"/>
    <xf numFmtId="0" fontId="39" fillId="0" borderId="10" xfId="0" applyFont="1" applyBorder="1" applyAlignment="1">
      <alignment horizontal="center"/>
    </xf>
    <xf numFmtId="0" fontId="44" fillId="0" borderId="11" xfId="0" applyFont="1" applyBorder="1" applyAlignment="1">
      <alignment horizontal="center"/>
    </xf>
    <xf numFmtId="0" fontId="44" fillId="0" borderId="0" xfId="0" applyFont="1" applyAlignment="1">
      <alignment horizontal="center"/>
    </xf>
    <xf numFmtId="0" fontId="44" fillId="0" borderId="27" xfId="0" applyFont="1" applyBorder="1" applyAlignment="1">
      <alignment horizontal="center"/>
    </xf>
    <xf numFmtId="0" fontId="40" fillId="0" borderId="0" xfId="0" applyFont="1" applyAlignment="1">
      <alignment horizontal="left"/>
    </xf>
    <xf numFmtId="0" fontId="41" fillId="0" borderId="0" xfId="0" applyFont="1" applyAlignment="1">
      <alignment horizontal="left" indent="2"/>
    </xf>
    <xf numFmtId="0" fontId="39" fillId="0" borderId="0" xfId="0" applyFont="1" applyAlignment="1">
      <alignment horizontal="left" indent="2"/>
    </xf>
    <xf numFmtId="0" fontId="36" fillId="0" borderId="0" xfId="0" applyFont="1" applyAlignment="1">
      <alignment horizontal="left" indent="2"/>
    </xf>
    <xf numFmtId="0" fontId="40" fillId="0" borderId="0" xfId="0" applyFont="1" applyAlignment="1">
      <alignment horizontal="left" indent="2"/>
    </xf>
    <xf numFmtId="0" fontId="53" fillId="0" borderId="0" xfId="0" applyFont="1" applyAlignment="1">
      <alignment horizontal="left" indent="1"/>
    </xf>
    <xf numFmtId="0" fontId="54" fillId="0" borderId="0" xfId="0" applyFont="1"/>
    <xf numFmtId="0" fontId="38" fillId="30" borderId="0" xfId="0" applyFont="1" applyFill="1"/>
    <xf numFmtId="6" fontId="36" fillId="31" borderId="0" xfId="0" applyNumberFormat="1" applyFont="1" applyFill="1"/>
    <xf numFmtId="6" fontId="36" fillId="31" borderId="27" xfId="0" applyNumberFormat="1" applyFont="1" applyFill="1" applyBorder="1"/>
    <xf numFmtId="175" fontId="36" fillId="30" borderId="11" xfId="0" applyNumberFormat="1" applyFont="1" applyFill="1" applyBorder="1"/>
    <xf numFmtId="165" fontId="36" fillId="30" borderId="31" xfId="28" applyNumberFormat="1" applyFont="1" applyFill="1" applyBorder="1"/>
    <xf numFmtId="165" fontId="36" fillId="30" borderId="10" xfId="28" applyNumberFormat="1" applyFont="1" applyFill="1" applyBorder="1"/>
    <xf numFmtId="10" fontId="38" fillId="0" borderId="0" xfId="0" applyNumberFormat="1" applyFont="1"/>
    <xf numFmtId="175" fontId="38" fillId="0" borderId="41" xfId="0" applyNumberFormat="1" applyFont="1" applyBorder="1"/>
    <xf numFmtId="0" fontId="36" fillId="0" borderId="32" xfId="0" applyFont="1" applyBorder="1"/>
    <xf numFmtId="5" fontId="36" fillId="0" borderId="41" xfId="0" applyNumberFormat="1" applyFont="1" applyBorder="1"/>
    <xf numFmtId="175" fontId="36" fillId="0" borderId="33" xfId="0" applyNumberFormat="1" applyFont="1" applyBorder="1"/>
    <xf numFmtId="170" fontId="38" fillId="30" borderId="11" xfId="29" applyNumberFormat="1" applyFont="1" applyFill="1" applyBorder="1"/>
    <xf numFmtId="0" fontId="37" fillId="30" borderId="39" xfId="0" applyFont="1" applyFill="1" applyBorder="1" applyAlignment="1">
      <alignment horizontal="center"/>
    </xf>
    <xf numFmtId="0" fontId="39" fillId="30" borderId="27" xfId="0" applyFont="1" applyFill="1" applyBorder="1" applyAlignment="1">
      <alignment horizontal="center" vertical="center"/>
    </xf>
    <xf numFmtId="0" fontId="37" fillId="30" borderId="27" xfId="0" applyFont="1" applyFill="1" applyBorder="1" applyAlignment="1">
      <alignment horizontal="center" vertical="center"/>
    </xf>
    <xf numFmtId="0" fontId="37" fillId="30" borderId="27" xfId="0" applyFont="1" applyFill="1" applyBorder="1" applyAlignment="1">
      <alignment horizontal="center"/>
    </xf>
    <xf numFmtId="6" fontId="38" fillId="30" borderId="27" xfId="0" applyNumberFormat="1" applyFont="1" applyFill="1" applyBorder="1" applyAlignment="1">
      <alignment horizontal="right"/>
    </xf>
    <xf numFmtId="6" fontId="38" fillId="30" borderId="42" xfId="0" applyNumberFormat="1" applyFont="1" applyFill="1" applyBorder="1" applyAlignment="1">
      <alignment horizontal="right"/>
    </xf>
    <xf numFmtId="6" fontId="37" fillId="30" borderId="42" xfId="0" applyNumberFormat="1" applyFont="1" applyFill="1" applyBorder="1" applyAlignment="1">
      <alignment horizontal="right"/>
    </xf>
    <xf numFmtId="0" fontId="37" fillId="30" borderId="29" xfId="0" applyFont="1" applyFill="1" applyBorder="1" applyAlignment="1">
      <alignment horizontal="center"/>
    </xf>
    <xf numFmtId="0" fontId="37" fillId="30" borderId="11" xfId="0" applyFont="1" applyFill="1" applyBorder="1" applyAlignment="1">
      <alignment horizontal="center"/>
    </xf>
    <xf numFmtId="0" fontId="38" fillId="30" borderId="11" xfId="0" applyFont="1" applyFill="1" applyBorder="1"/>
    <xf numFmtId="0" fontId="43" fillId="30" borderId="11" xfId="0" applyFont="1" applyFill="1" applyBorder="1"/>
    <xf numFmtId="6" fontId="37" fillId="0" borderId="11" xfId="0" applyNumberFormat="1" applyFont="1" applyBorder="1"/>
    <xf numFmtId="6" fontId="37" fillId="0" borderId="0" xfId="0" applyNumberFormat="1" applyFont="1"/>
    <xf numFmtId="6" fontId="36" fillId="31" borderId="11" xfId="0" applyNumberFormat="1" applyFont="1" applyFill="1" applyBorder="1"/>
    <xf numFmtId="0" fontId="53" fillId="0" borderId="0" xfId="0" applyFont="1"/>
    <xf numFmtId="0" fontId="36" fillId="31" borderId="0" xfId="0" applyFont="1" applyFill="1"/>
    <xf numFmtId="0" fontId="36" fillId="31" borderId="27" xfId="0" applyFont="1" applyFill="1" applyBorder="1"/>
    <xf numFmtId="175" fontId="36" fillId="31" borderId="0" xfId="0" applyNumberFormat="1" applyFont="1" applyFill="1"/>
    <xf numFmtId="5" fontId="0" fillId="0" borderId="0" xfId="0" applyNumberFormat="1"/>
    <xf numFmtId="175" fontId="36" fillId="30" borderId="32" xfId="0" applyNumberFormat="1" applyFont="1" applyFill="1" applyBorder="1"/>
    <xf numFmtId="175" fontId="36" fillId="0" borderId="31" xfId="0" applyNumberFormat="1" applyFont="1" applyBorder="1"/>
    <xf numFmtId="182" fontId="41" fillId="0" borderId="0" xfId="0" applyNumberFormat="1" applyFont="1" applyAlignment="1">
      <alignment horizontal="center"/>
    </xf>
    <xf numFmtId="166" fontId="36" fillId="0" borderId="0" xfId="47" applyNumberFormat="1" applyFont="1" applyAlignment="1">
      <alignment horizontal="right"/>
    </xf>
    <xf numFmtId="0" fontId="38" fillId="0" borderId="28" xfId="0" applyFont="1" applyBorder="1" applyAlignment="1">
      <alignment horizontal="center"/>
    </xf>
    <xf numFmtId="175" fontId="38" fillId="0" borderId="39" xfId="0" applyNumberFormat="1" applyFont="1" applyBorder="1" applyAlignment="1">
      <alignment horizontal="right"/>
    </xf>
    <xf numFmtId="6" fontId="38" fillId="0" borderId="42" xfId="0" applyNumberFormat="1" applyFont="1" applyBorder="1"/>
    <xf numFmtId="0" fontId="43" fillId="0" borderId="11" xfId="0" applyFont="1" applyBorder="1"/>
    <xf numFmtId="0" fontId="38" fillId="0" borderId="12" xfId="0" applyFont="1" applyBorder="1" applyAlignment="1">
      <alignment horizontal="center"/>
    </xf>
    <xf numFmtId="0" fontId="44" fillId="0" borderId="12" xfId="0" applyFont="1" applyBorder="1" applyAlignment="1">
      <alignment horizontal="center"/>
    </xf>
    <xf numFmtId="175" fontId="38" fillId="0" borderId="12" xfId="0" applyNumberFormat="1" applyFont="1" applyBorder="1"/>
    <xf numFmtId="0" fontId="38" fillId="0" borderId="30" xfId="0" applyFont="1" applyBorder="1"/>
    <xf numFmtId="0" fontId="37" fillId="0" borderId="11" xfId="0" applyFont="1" applyBorder="1" applyAlignment="1">
      <alignment wrapText="1"/>
    </xf>
    <xf numFmtId="0" fontId="37" fillId="0" borderId="0" xfId="0" applyFont="1" applyAlignment="1">
      <alignment wrapText="1"/>
    </xf>
    <xf numFmtId="188" fontId="38" fillId="0" borderId="0" xfId="28" applyNumberFormat="1" applyFont="1" applyBorder="1"/>
    <xf numFmtId="0" fontId="37" fillId="27" borderId="41" xfId="0" applyFont="1" applyFill="1" applyBorder="1" applyAlignment="1">
      <alignment horizontal="left"/>
    </xf>
    <xf numFmtId="9" fontId="36" fillId="0" borderId="0" xfId="47" applyFont="1" applyFill="1"/>
    <xf numFmtId="42" fontId="36" fillId="30" borderId="11" xfId="0" applyNumberFormat="1" applyFont="1" applyFill="1" applyBorder="1"/>
    <xf numFmtId="42" fontId="36" fillId="30" borderId="12" xfId="0" applyNumberFormat="1" applyFont="1" applyFill="1" applyBorder="1"/>
    <xf numFmtId="42" fontId="36" fillId="30" borderId="0" xfId="0" applyNumberFormat="1" applyFont="1" applyFill="1"/>
    <xf numFmtId="165" fontId="36" fillId="30" borderId="0" xfId="28" applyNumberFormat="1" applyFont="1" applyFill="1"/>
    <xf numFmtId="175" fontId="0" fillId="0" borderId="0" xfId="47" applyNumberFormat="1" applyFont="1"/>
    <xf numFmtId="175" fontId="47" fillId="0" borderId="0" xfId="47" applyNumberFormat="1" applyFont="1"/>
    <xf numFmtId="175" fontId="1" fillId="0" borderId="0" xfId="0" applyNumberFormat="1" applyFont="1"/>
    <xf numFmtId="175" fontId="0" fillId="0" borderId="0" xfId="28" applyNumberFormat="1" applyFont="1"/>
    <xf numFmtId="175" fontId="47" fillId="0" borderId="0" xfId="28" applyNumberFormat="1" applyFont="1"/>
    <xf numFmtId="175" fontId="55" fillId="0" borderId="0" xfId="0" applyNumberFormat="1" applyFont="1" applyAlignment="1">
      <alignment horizontal="right"/>
    </xf>
    <xf numFmtId="175" fontId="56" fillId="0" borderId="0" xfId="0" applyNumberFormat="1" applyFont="1" applyAlignment="1">
      <alignment horizontal="right"/>
    </xf>
    <xf numFmtId="0" fontId="0" fillId="0" borderId="0" xfId="0" applyAlignment="1">
      <alignment horizontal="center"/>
    </xf>
    <xf numFmtId="0" fontId="41" fillId="0" borderId="29" xfId="0" applyFont="1" applyBorder="1" applyAlignment="1">
      <alignment horizontal="right"/>
    </xf>
    <xf numFmtId="0" fontId="39" fillId="0" borderId="16" xfId="0" applyFont="1" applyBorder="1" applyAlignment="1">
      <alignment horizontal="center"/>
    </xf>
    <xf numFmtId="0" fontId="39" fillId="0" borderId="39" xfId="0" applyFont="1" applyBorder="1" applyAlignment="1">
      <alignment horizontal="center"/>
    </xf>
    <xf numFmtId="0" fontId="41" fillId="0" borderId="11" xfId="0" applyFont="1" applyBorder="1" applyAlignment="1">
      <alignment horizontal="right"/>
    </xf>
    <xf numFmtId="0" fontId="1" fillId="0" borderId="11" xfId="0" applyFont="1" applyBorder="1" applyAlignment="1">
      <alignment horizontal="right"/>
    </xf>
    <xf numFmtId="166" fontId="0" fillId="0" borderId="0" xfId="47" applyNumberFormat="1" applyFont="1" applyBorder="1"/>
    <xf numFmtId="0" fontId="47" fillId="0" borderId="11" xfId="0" applyFont="1" applyBorder="1" applyAlignment="1">
      <alignment horizontal="right"/>
    </xf>
    <xf numFmtId="166" fontId="47" fillId="0" borderId="0" xfId="47" applyNumberFormat="1" applyFont="1" applyBorder="1"/>
    <xf numFmtId="0" fontId="25" fillId="0" borderId="31" xfId="0" applyFont="1" applyBorder="1" applyAlignment="1">
      <alignment horizontal="right"/>
    </xf>
    <xf numFmtId="175" fontId="25" fillId="0" borderId="10" xfId="0" applyNumberFormat="1" applyFont="1" applyBorder="1"/>
    <xf numFmtId="166" fontId="25" fillId="0" borderId="10" xfId="47" applyNumberFormat="1" applyFont="1" applyBorder="1"/>
    <xf numFmtId="0" fontId="27" fillId="0" borderId="11" xfId="0" applyFont="1" applyBorder="1" applyAlignment="1">
      <alignment horizontal="left" indent="2"/>
    </xf>
    <xf numFmtId="0" fontId="28" fillId="0" borderId="0" xfId="47" applyNumberFormat="1" applyFont="1" applyBorder="1"/>
    <xf numFmtId="44" fontId="27" fillId="0" borderId="0" xfId="29" applyFont="1" applyBorder="1"/>
    <xf numFmtId="44" fontId="27" fillId="0" borderId="11" xfId="0" applyNumberFormat="1" applyFont="1" applyBorder="1"/>
    <xf numFmtId="9" fontId="27" fillId="0" borderId="0" xfId="47" applyFont="1" applyBorder="1"/>
    <xf numFmtId="0" fontId="28" fillId="0" borderId="0" xfId="0" applyFont="1" applyAlignment="1">
      <alignment horizontal="center"/>
    </xf>
    <xf numFmtId="176" fontId="28" fillId="0" borderId="0" xfId="0" applyNumberFormat="1" applyFont="1" applyAlignment="1">
      <alignment horizontal="center"/>
    </xf>
    <xf numFmtId="0" fontId="26" fillId="0" borderId="0" xfId="0" applyFont="1" applyAlignment="1">
      <alignment horizontal="center"/>
    </xf>
    <xf numFmtId="166" fontId="27" fillId="0" borderId="0" xfId="47" applyNumberFormat="1" applyFont="1" applyFill="1" applyBorder="1"/>
    <xf numFmtId="166" fontId="27" fillId="0" borderId="0" xfId="0" applyNumberFormat="1" applyFont="1"/>
    <xf numFmtId="166" fontId="28" fillId="0" borderId="0" xfId="47" applyNumberFormat="1" applyFont="1" applyFill="1" applyBorder="1"/>
    <xf numFmtId="166" fontId="27" fillId="0" borderId="0" xfId="47" applyNumberFormat="1" applyFont="1" applyBorder="1" applyAlignment="1">
      <alignment horizontal="center"/>
    </xf>
    <xf numFmtId="175" fontId="27" fillId="0" borderId="0" xfId="47" applyNumberFormat="1" applyFont="1" applyBorder="1"/>
    <xf numFmtId="9" fontId="27" fillId="0" borderId="0" xfId="47" applyFont="1"/>
    <xf numFmtId="0" fontId="29" fillId="0" borderId="0" xfId="0" applyFont="1" applyAlignment="1">
      <alignment horizontal="center"/>
    </xf>
    <xf numFmtId="175" fontId="28" fillId="0" borderId="0" xfId="47" applyNumberFormat="1" applyFont="1" applyBorder="1"/>
    <xf numFmtId="0" fontId="26" fillId="0" borderId="19" xfId="0" applyFont="1" applyBorder="1" applyAlignment="1">
      <alignment wrapText="1"/>
    </xf>
    <xf numFmtId="0" fontId="26" fillId="0" borderId="20" xfId="0" applyFont="1" applyBorder="1" applyAlignment="1">
      <alignment horizontal="center" wrapText="1"/>
    </xf>
    <xf numFmtId="0" fontId="26" fillId="0" borderId="21" xfId="0" applyFont="1" applyBorder="1" applyAlignment="1">
      <alignment horizontal="center" wrapText="1"/>
    </xf>
    <xf numFmtId="0" fontId="27" fillId="0" borderId="22" xfId="0" applyFont="1" applyBorder="1"/>
    <xf numFmtId="0" fontId="26" fillId="0" borderId="22" xfId="0" applyFont="1" applyBorder="1"/>
    <xf numFmtId="0" fontId="27" fillId="0" borderId="23" xfId="0" applyFont="1" applyBorder="1"/>
    <xf numFmtId="0" fontId="27" fillId="0" borderId="22" xfId="0" applyFont="1" applyBorder="1" applyAlignment="1">
      <alignment horizontal="left" indent="1"/>
    </xf>
    <xf numFmtId="0" fontId="28" fillId="0" borderId="22" xfId="0" applyFont="1" applyBorder="1"/>
    <xf numFmtId="0" fontId="27" fillId="0" borderId="22" xfId="0" applyFont="1" applyBorder="1" applyAlignment="1">
      <alignment horizontal="left" indent="3"/>
    </xf>
    <xf numFmtId="0" fontId="27" fillId="0" borderId="22" xfId="0" applyFont="1" applyBorder="1" applyAlignment="1">
      <alignment horizontal="left" indent="2"/>
    </xf>
    <xf numFmtId="0" fontId="27" fillId="0" borderId="22" xfId="0" applyFont="1" applyBorder="1" applyAlignment="1">
      <alignment horizontal="right"/>
    </xf>
    <xf numFmtId="0" fontId="27" fillId="0" borderId="24" xfId="0" applyFont="1" applyBorder="1" applyAlignment="1">
      <alignment horizontal="right"/>
    </xf>
    <xf numFmtId="175" fontId="27" fillId="0" borderId="13" xfId="0" applyNumberFormat="1" applyFont="1" applyBorder="1"/>
    <xf numFmtId="175" fontId="27" fillId="0" borderId="25" xfId="0" applyNumberFormat="1" applyFont="1" applyBorder="1"/>
    <xf numFmtId="0" fontId="27" fillId="0" borderId="19" xfId="0" applyFont="1" applyBorder="1"/>
    <xf numFmtId="0" fontId="27" fillId="0" borderId="24" xfId="0" applyFont="1" applyBorder="1"/>
    <xf numFmtId="0" fontId="29" fillId="0" borderId="22" xfId="0" applyFont="1" applyBorder="1"/>
    <xf numFmtId="175" fontId="29" fillId="0" borderId="0" xfId="0" applyNumberFormat="1" applyFont="1"/>
    <xf numFmtId="175" fontId="29" fillId="0" borderId="23" xfId="0" applyNumberFormat="1" applyFont="1" applyBorder="1"/>
    <xf numFmtId="189" fontId="36" fillId="0" borderId="0" xfId="0" applyNumberFormat="1" applyFont="1"/>
    <xf numFmtId="0" fontId="47" fillId="0" borderId="0" xfId="0" applyFont="1" applyAlignment="1">
      <alignment horizontal="center"/>
    </xf>
    <xf numFmtId="0" fontId="28" fillId="0" borderId="39" xfId="0" applyFont="1" applyBorder="1"/>
    <xf numFmtId="176" fontId="28" fillId="0" borderId="27" xfId="0" applyNumberFormat="1" applyFont="1" applyBorder="1"/>
    <xf numFmtId="176" fontId="27" fillId="0" borderId="0" xfId="29" applyNumberFormat="1" applyFont="1" applyFill="1" applyBorder="1"/>
    <xf numFmtId="178" fontId="27" fillId="0" borderId="0" xfId="29" applyNumberFormat="1" applyFont="1" applyFill="1" applyBorder="1"/>
    <xf numFmtId="179" fontId="27" fillId="0" borderId="0" xfId="29" applyNumberFormat="1" applyFont="1" applyFill="1" applyBorder="1"/>
    <xf numFmtId="0" fontId="27" fillId="0" borderId="29" xfId="0" applyFont="1" applyBorder="1"/>
    <xf numFmtId="0" fontId="28" fillId="0" borderId="16" xfId="0" applyFont="1" applyBorder="1" applyAlignment="1">
      <alignment horizontal="center"/>
    </xf>
    <xf numFmtId="0" fontId="28" fillId="0" borderId="31" xfId="0" applyFont="1" applyBorder="1"/>
    <xf numFmtId="0" fontId="28" fillId="0" borderId="10" xfId="0" applyFont="1" applyBorder="1"/>
    <xf numFmtId="6" fontId="28" fillId="0" borderId="10" xfId="0" applyNumberFormat="1" applyFont="1" applyBorder="1"/>
    <xf numFmtId="182" fontId="0" fillId="0" borderId="0" xfId="0" applyNumberFormat="1"/>
    <xf numFmtId="0" fontId="57" fillId="0" borderId="0" xfId="0" applyFont="1"/>
    <xf numFmtId="0" fontId="58" fillId="0" borderId="0" xfId="0" applyFont="1"/>
    <xf numFmtId="0" fontId="59" fillId="0" borderId="0" xfId="0" applyFont="1" applyAlignment="1">
      <alignment horizontal="center" wrapText="1"/>
    </xf>
    <xf numFmtId="0" fontId="35" fillId="0" borderId="0" xfId="0" applyFont="1"/>
    <xf numFmtId="165" fontId="35" fillId="0" borderId="0" xfId="28" applyNumberFormat="1" applyFont="1"/>
    <xf numFmtId="0" fontId="59" fillId="0" borderId="0" xfId="0" applyFont="1"/>
    <xf numFmtId="190" fontId="35" fillId="0" borderId="0" xfId="47" applyNumberFormat="1" applyFont="1"/>
    <xf numFmtId="165" fontId="35" fillId="0" borderId="0" xfId="28" applyNumberFormat="1" applyFont="1" applyFill="1"/>
    <xf numFmtId="0" fontId="36" fillId="32" borderId="0" xfId="0" applyFont="1" applyFill="1" applyAlignment="1">
      <alignment horizontal="right"/>
    </xf>
    <xf numFmtId="174" fontId="36" fillId="0" borderId="0" xfId="0" applyNumberFormat="1" applyFont="1" applyAlignment="1">
      <alignment horizontal="right"/>
    </xf>
    <xf numFmtId="0" fontId="35" fillId="0" borderId="32" xfId="0" applyFont="1" applyBorder="1" applyAlignment="1">
      <alignment wrapText="1"/>
    </xf>
    <xf numFmtId="182" fontId="35" fillId="0" borderId="40" xfId="0" applyNumberFormat="1" applyFont="1" applyBorder="1"/>
    <xf numFmtId="182" fontId="35" fillId="0" borderId="41" xfId="0" applyNumberFormat="1" applyFont="1" applyBorder="1"/>
    <xf numFmtId="175" fontId="35" fillId="0" borderId="0" xfId="0" applyNumberFormat="1" applyFont="1"/>
    <xf numFmtId="182" fontId="35" fillId="0" borderId="0" xfId="0" applyNumberFormat="1" applyFont="1"/>
    <xf numFmtId="0" fontId="60" fillId="30" borderId="0" xfId="0" applyFont="1" applyFill="1"/>
    <xf numFmtId="165" fontId="60" fillId="30" borderId="0" xfId="28" applyNumberFormat="1" applyFont="1" applyFill="1"/>
    <xf numFmtId="175" fontId="25" fillId="0" borderId="0" xfId="28" applyNumberFormat="1" applyFont="1"/>
    <xf numFmtId="175" fontId="48" fillId="0" borderId="0" xfId="28" applyNumberFormat="1" applyFont="1"/>
    <xf numFmtId="175" fontId="48" fillId="0" borderId="0" xfId="0" applyNumberFormat="1" applyFont="1"/>
    <xf numFmtId="174" fontId="0" fillId="0" borderId="0" xfId="28" applyNumberFormat="1" applyFont="1"/>
    <xf numFmtId="174" fontId="47" fillId="0" borderId="0" xfId="28" applyNumberFormat="1" applyFont="1"/>
    <xf numFmtId="0" fontId="1" fillId="0" borderId="0" xfId="0" applyFont="1" applyAlignment="1">
      <alignment horizontal="left"/>
    </xf>
    <xf numFmtId="0" fontId="0" fillId="0" borderId="0" xfId="0" applyAlignment="1">
      <alignment horizontal="left"/>
    </xf>
    <xf numFmtId="6" fontId="38" fillId="30" borderId="11" xfId="0" applyNumberFormat="1" applyFont="1" applyFill="1" applyBorder="1" applyAlignment="1">
      <alignment horizontal="right"/>
    </xf>
    <xf numFmtId="0" fontId="39" fillId="30" borderId="29" xfId="0" applyFont="1" applyFill="1" applyBorder="1" applyAlignment="1">
      <alignment horizontal="center" vertical="center"/>
    </xf>
    <xf numFmtId="0" fontId="37" fillId="30" borderId="11" xfId="0" applyFont="1" applyFill="1" applyBorder="1" applyAlignment="1">
      <alignment horizontal="center" vertical="center"/>
    </xf>
    <xf numFmtId="175" fontId="38" fillId="30" borderId="0" xfId="0" applyNumberFormat="1" applyFont="1" applyFill="1" applyAlignment="1">
      <alignment horizontal="right"/>
    </xf>
    <xf numFmtId="175" fontId="38" fillId="30" borderId="10" xfId="0" applyNumberFormat="1" applyFont="1" applyFill="1" applyBorder="1" applyAlignment="1">
      <alignment horizontal="right"/>
    </xf>
    <xf numFmtId="165" fontId="38" fillId="30" borderId="0" xfId="28" applyNumberFormat="1" applyFont="1" applyFill="1" applyBorder="1" applyAlignment="1">
      <alignment horizontal="right"/>
    </xf>
    <xf numFmtId="165" fontId="38" fillId="30" borderId="10" xfId="28" applyNumberFormat="1" applyFont="1" applyFill="1" applyBorder="1" applyAlignment="1">
      <alignment horizontal="right"/>
    </xf>
    <xf numFmtId="165" fontId="37" fillId="30" borderId="10" xfId="28" applyNumberFormat="1" applyFont="1" applyFill="1" applyBorder="1" applyAlignment="1">
      <alignment horizontal="right"/>
    </xf>
    <xf numFmtId="182" fontId="36" fillId="32" borderId="0" xfId="0" applyNumberFormat="1" applyFont="1" applyFill="1" applyAlignment="1">
      <alignment horizontal="right"/>
    </xf>
    <xf numFmtId="0" fontId="3" fillId="0" borderId="0" xfId="0" applyFont="1"/>
    <xf numFmtId="166" fontId="40" fillId="0" borderId="0" xfId="47" applyNumberFormat="1" applyFont="1"/>
    <xf numFmtId="3" fontId="40" fillId="0" borderId="0" xfId="0" applyNumberFormat="1" applyFont="1"/>
    <xf numFmtId="166" fontId="40" fillId="0" borderId="0" xfId="47" applyNumberFormat="1" applyFont="1" applyFill="1"/>
    <xf numFmtId="165" fontId="40" fillId="0" borderId="0" xfId="0" applyNumberFormat="1" applyFont="1"/>
    <xf numFmtId="166" fontId="41" fillId="0" borderId="11" xfId="0" applyNumberFormat="1" applyFont="1" applyBorder="1" applyAlignment="1">
      <alignment horizontal="center"/>
    </xf>
    <xf numFmtId="1" fontId="41" fillId="0" borderId="0" xfId="0" applyNumberFormat="1" applyFont="1" applyAlignment="1">
      <alignment horizontal="center"/>
    </xf>
    <xf numFmtId="0" fontId="39" fillId="28" borderId="12" xfId="0" applyFont="1" applyFill="1" applyBorder="1" applyAlignment="1">
      <alignment horizontal="center"/>
    </xf>
    <xf numFmtId="0" fontId="39" fillId="28" borderId="17" xfId="0" applyFont="1" applyFill="1" applyBorder="1" applyAlignment="1">
      <alignment horizontal="center"/>
    </xf>
    <xf numFmtId="165" fontId="40" fillId="0" borderId="0" xfId="28" applyNumberFormat="1" applyFont="1" applyFill="1"/>
    <xf numFmtId="0" fontId="39" fillId="0" borderId="28" xfId="0" applyFont="1" applyBorder="1" applyAlignment="1">
      <alignment horizontal="center"/>
    </xf>
    <xf numFmtId="0" fontId="36" fillId="0" borderId="48" xfId="0" applyFont="1" applyBorder="1"/>
    <xf numFmtId="0" fontId="47" fillId="0" borderId="0" xfId="0" applyFont="1" applyAlignment="1">
      <alignment horizontal="left"/>
    </xf>
    <xf numFmtId="6" fontId="47" fillId="0" borderId="0" xfId="0" applyNumberFormat="1" applyFont="1"/>
    <xf numFmtId="0" fontId="39" fillId="0" borderId="29" xfId="0" applyFont="1" applyBorder="1" applyAlignment="1">
      <alignment horizontal="center"/>
    </xf>
    <xf numFmtId="0" fontId="39" fillId="29" borderId="30" xfId="0" applyFont="1" applyFill="1" applyBorder="1" applyAlignment="1">
      <alignment horizontal="center"/>
    </xf>
    <xf numFmtId="166" fontId="36" fillId="0" borderId="27" xfId="47" applyNumberFormat="1" applyFont="1" applyBorder="1" applyAlignment="1">
      <alignment horizontal="center"/>
    </xf>
    <xf numFmtId="166" fontId="36" fillId="0" borderId="42" xfId="47" applyNumberFormat="1" applyFont="1" applyBorder="1" applyAlignment="1">
      <alignment horizontal="center"/>
    </xf>
    <xf numFmtId="166" fontId="36" fillId="0" borderId="27" xfId="47" applyNumberFormat="1" applyFont="1" applyFill="1" applyBorder="1"/>
    <xf numFmtId="170" fontId="27" fillId="0" borderId="0" xfId="29" applyNumberFormat="1" applyFont="1" applyFill="1" applyBorder="1"/>
    <xf numFmtId="182" fontId="27" fillId="0" borderId="0" xfId="47" applyNumberFormat="1" applyFont="1" applyFill="1" applyBorder="1"/>
    <xf numFmtId="0" fontId="31" fillId="0" borderId="0" xfId="0" applyFont="1" applyAlignment="1">
      <alignment horizontal="center"/>
    </xf>
    <xf numFmtId="0" fontId="33" fillId="0" borderId="0" xfId="0" applyFont="1" applyAlignment="1">
      <alignment horizontal="center"/>
    </xf>
    <xf numFmtId="0" fontId="38" fillId="31" borderId="0" xfId="0" applyFont="1" applyFill="1"/>
    <xf numFmtId="0" fontId="38" fillId="31" borderId="0" xfId="0" applyFont="1" applyFill="1" applyAlignment="1">
      <alignment horizontal="center"/>
    </xf>
    <xf numFmtId="0" fontId="36" fillId="0" borderId="27" xfId="0" applyFont="1" applyBorder="1"/>
    <xf numFmtId="0" fontId="41" fillId="0" borderId="29" xfId="0" applyFont="1" applyBorder="1" applyAlignment="1">
      <alignment horizontal="center" wrapText="1"/>
    </xf>
    <xf numFmtId="0" fontId="41" fillId="0" borderId="39" xfId="0" applyFont="1" applyBorder="1" applyAlignment="1">
      <alignment horizontal="center" wrapText="1"/>
    </xf>
    <xf numFmtId="165" fontId="63" fillId="0" borderId="11" xfId="28" applyNumberFormat="1" applyFont="1" applyBorder="1"/>
    <xf numFmtId="165" fontId="63" fillId="0" borderId="0" xfId="0" applyNumberFormat="1" applyFont="1"/>
    <xf numFmtId="165" fontId="63" fillId="0" borderId="0" xfId="28" applyNumberFormat="1" applyFont="1" applyBorder="1"/>
    <xf numFmtId="165" fontId="63" fillId="0" borderId="27" xfId="28" applyNumberFormat="1" applyFont="1" applyBorder="1"/>
    <xf numFmtId="165" fontId="35" fillId="0" borderId="31" xfId="28" applyNumberFormat="1" applyFont="1" applyBorder="1"/>
    <xf numFmtId="165" fontId="35" fillId="0" borderId="10" xfId="0" applyNumberFormat="1" applyFont="1" applyBorder="1"/>
    <xf numFmtId="165" fontId="35" fillId="0" borderId="42" xfId="0" applyNumberFormat="1" applyFont="1" applyBorder="1"/>
    <xf numFmtId="165" fontId="41" fillId="0" borderId="16" xfId="28" applyNumberFormat="1" applyFont="1" applyBorder="1" applyAlignment="1">
      <alignment horizontal="center" wrapText="1"/>
    </xf>
    <xf numFmtId="0" fontId="41" fillId="0" borderId="16" xfId="0" applyFont="1" applyBorder="1" applyAlignment="1">
      <alignment horizontal="center" wrapText="1"/>
    </xf>
    <xf numFmtId="175" fontId="41" fillId="0" borderId="28" xfId="0" applyNumberFormat="1" applyFont="1" applyBorder="1" applyAlignment="1">
      <alignment horizontal="center" wrapText="1"/>
    </xf>
    <xf numFmtId="175" fontId="41" fillId="0" borderId="29" xfId="0" applyNumberFormat="1" applyFont="1" applyBorder="1" applyAlignment="1">
      <alignment horizontal="center" wrapText="1"/>
    </xf>
    <xf numFmtId="175" fontId="41" fillId="0" borderId="16" xfId="0" applyNumberFormat="1" applyFont="1" applyBorder="1" applyAlignment="1">
      <alignment horizontal="center" wrapText="1"/>
    </xf>
    <xf numFmtId="175" fontId="41" fillId="0" borderId="39" xfId="0" applyNumberFormat="1" applyFont="1" applyBorder="1" applyAlignment="1">
      <alignment horizontal="center" wrapText="1"/>
    </xf>
    <xf numFmtId="165" fontId="36" fillId="0" borderId="0" xfId="28" applyNumberFormat="1" applyFont="1" applyBorder="1"/>
    <xf numFmtId="175" fontId="36" fillId="0" borderId="12" xfId="0" applyNumberFormat="1" applyFont="1" applyBorder="1"/>
    <xf numFmtId="175" fontId="36" fillId="0" borderId="11" xfId="0" applyNumberFormat="1" applyFont="1" applyBorder="1"/>
    <xf numFmtId="165" fontId="36" fillId="0" borderId="27" xfId="28" applyNumberFormat="1" applyFont="1" applyBorder="1"/>
    <xf numFmtId="174" fontId="36" fillId="0" borderId="12" xfId="0" applyNumberFormat="1" applyFont="1" applyBorder="1"/>
    <xf numFmtId="175" fontId="40" fillId="0" borderId="11" xfId="0" applyNumberFormat="1" applyFont="1" applyBorder="1"/>
    <xf numFmtId="175" fontId="39" fillId="0" borderId="11" xfId="0" applyNumberFormat="1" applyFont="1" applyBorder="1"/>
    <xf numFmtId="175" fontId="39" fillId="31" borderId="33" xfId="0" applyNumberFormat="1" applyFont="1" applyFill="1" applyBorder="1"/>
    <xf numFmtId="165" fontId="41" fillId="0" borderId="0" xfId="28" applyNumberFormat="1" applyFont="1" applyBorder="1" applyAlignment="1">
      <alignment horizontal="center"/>
    </xf>
    <xf numFmtId="165" fontId="36" fillId="0" borderId="10" xfId="28" applyNumberFormat="1" applyFont="1" applyBorder="1"/>
    <xf numFmtId="165" fontId="36" fillId="0" borderId="42" xfId="28" applyNumberFormat="1" applyFont="1" applyBorder="1"/>
    <xf numFmtId="175" fontId="36" fillId="0" borderId="30" xfId="0" applyNumberFormat="1" applyFont="1" applyBorder="1"/>
    <xf numFmtId="175" fontId="39" fillId="0" borderId="31" xfId="0" applyNumberFormat="1" applyFont="1" applyBorder="1"/>
    <xf numFmtId="175" fontId="39" fillId="0" borderId="10" xfId="0" applyNumberFormat="1" applyFont="1" applyBorder="1"/>
    <xf numFmtId="165" fontId="39" fillId="0" borderId="32" xfId="28" applyNumberFormat="1" applyFont="1" applyBorder="1"/>
    <xf numFmtId="0" fontId="36" fillId="0" borderId="41" xfId="0" applyFont="1" applyBorder="1"/>
    <xf numFmtId="175" fontId="39" fillId="0" borderId="32" xfId="0" applyNumberFormat="1" applyFont="1" applyBorder="1"/>
    <xf numFmtId="175" fontId="39" fillId="0" borderId="40" xfId="0" applyNumberFormat="1" applyFont="1" applyBorder="1"/>
    <xf numFmtId="175" fontId="39" fillId="0" borderId="41" xfId="0" applyNumberFormat="1" applyFont="1" applyBorder="1"/>
    <xf numFmtId="165" fontId="50" fillId="0" borderId="29" xfId="28" applyNumberFormat="1" applyFont="1" applyBorder="1" applyAlignment="1">
      <alignment horizontal="center"/>
    </xf>
    <xf numFmtId="0" fontId="50" fillId="0" borderId="16" xfId="0" applyFont="1" applyBorder="1" applyAlignment="1">
      <alignment horizontal="center"/>
    </xf>
    <xf numFmtId="0" fontId="50" fillId="0" borderId="39" xfId="0" applyFont="1" applyBorder="1" applyAlignment="1">
      <alignment horizontal="center"/>
    </xf>
    <xf numFmtId="0" fontId="41" fillId="0" borderId="0" xfId="0" applyFont="1" applyAlignment="1">
      <alignment horizontal="center" wrapText="1"/>
    </xf>
    <xf numFmtId="165" fontId="40" fillId="0" borderId="11" xfId="28" applyNumberFormat="1" applyFont="1" applyBorder="1"/>
    <xf numFmtId="174" fontId="40" fillId="0" borderId="0" xfId="0" applyNumberFormat="1" applyFont="1"/>
    <xf numFmtId="175" fontId="40" fillId="0" borderId="27" xfId="0" applyNumberFormat="1" applyFont="1" applyBorder="1"/>
    <xf numFmtId="165" fontId="40" fillId="0" borderId="0" xfId="28" applyNumberFormat="1" applyFont="1" applyBorder="1"/>
    <xf numFmtId="0" fontId="39" fillId="0" borderId="31" xfId="0" applyFont="1" applyBorder="1"/>
    <xf numFmtId="174" fontId="39" fillId="0" borderId="10" xfId="0" applyNumberFormat="1" applyFont="1" applyBorder="1"/>
    <xf numFmtId="175" fontId="39" fillId="0" borderId="42" xfId="0" applyNumberFormat="1" applyFont="1" applyBorder="1"/>
    <xf numFmtId="0" fontId="39" fillId="0" borderId="10" xfId="0" applyFont="1" applyBorder="1"/>
    <xf numFmtId="165" fontId="40" fillId="0" borderId="0" xfId="28" applyNumberFormat="1" applyFont="1"/>
    <xf numFmtId="175" fontId="38" fillId="0" borderId="27" xfId="0" applyNumberFormat="1" applyFont="1" applyBorder="1" applyAlignment="1">
      <alignment horizontal="right"/>
    </xf>
    <xf numFmtId="175" fontId="38" fillId="0" borderId="27" xfId="0" applyNumberFormat="1" applyFont="1" applyBorder="1"/>
    <xf numFmtId="0" fontId="37" fillId="0" borderId="29" xfId="0" applyFont="1" applyBorder="1" applyAlignment="1">
      <alignment horizontal="center"/>
    </xf>
    <xf numFmtId="0" fontId="43" fillId="0" borderId="11" xfId="0" applyFont="1" applyBorder="1" applyAlignment="1">
      <alignment horizontal="center"/>
    </xf>
    <xf numFmtId="6" fontId="37" fillId="0" borderId="10" xfId="0" applyNumberFormat="1" applyFont="1" applyBorder="1"/>
    <xf numFmtId="0" fontId="4" fillId="0" borderId="33" xfId="0" applyFont="1" applyBorder="1" applyAlignment="1">
      <alignment horizontal="center" vertical="center" wrapText="1"/>
    </xf>
    <xf numFmtId="0" fontId="41" fillId="0" borderId="33" xfId="0" applyFont="1" applyBorder="1" applyAlignment="1">
      <alignment horizontal="center" wrapText="1"/>
    </xf>
    <xf numFmtId="6" fontId="36" fillId="30" borderId="0" xfId="0" applyNumberFormat="1" applyFont="1" applyFill="1"/>
    <xf numFmtId="0" fontId="36" fillId="27" borderId="33" xfId="28" applyNumberFormat="1" applyFont="1" applyFill="1" applyBorder="1"/>
    <xf numFmtId="166" fontId="39" fillId="0" borderId="0" xfId="47" applyNumberFormat="1" applyFont="1" applyFill="1" applyBorder="1"/>
    <xf numFmtId="9" fontId="27" fillId="0" borderId="0" xfId="47" applyFont="1" applyFill="1" applyBorder="1" applyAlignment="1"/>
    <xf numFmtId="0" fontId="40" fillId="0" borderId="27" xfId="0" applyFont="1" applyBorder="1" applyAlignment="1">
      <alignment horizontal="center"/>
    </xf>
    <xf numFmtId="175" fontId="36" fillId="0" borderId="11" xfId="28" applyNumberFormat="1" applyFont="1" applyFill="1" applyBorder="1" applyAlignment="1"/>
    <xf numFmtId="175" fontId="36" fillId="0" borderId="31" xfId="28" applyNumberFormat="1" applyFont="1" applyFill="1" applyBorder="1" applyAlignment="1"/>
    <xf numFmtId="175" fontId="3" fillId="0" borderId="0" xfId="47" applyNumberFormat="1" applyFont="1" applyBorder="1" applyAlignment="1"/>
    <xf numFmtId="165" fontId="50" fillId="0" borderId="0" xfId="28" applyNumberFormat="1" applyFont="1" applyAlignment="1">
      <alignment horizontal="center"/>
    </xf>
    <xf numFmtId="0" fontId="50" fillId="0" borderId="0" xfId="0" applyFont="1" applyAlignment="1">
      <alignment horizontal="center"/>
    </xf>
    <xf numFmtId="0" fontId="40" fillId="0" borderId="16" xfId="0" applyFont="1" applyBorder="1" applyAlignment="1">
      <alignment horizontal="center"/>
    </xf>
    <xf numFmtId="165" fontId="36" fillId="0" borderId="27" xfId="0" applyNumberFormat="1" applyFont="1" applyBorder="1"/>
    <xf numFmtId="165" fontId="42" fillId="0" borderId="0" xfId="0" applyNumberFormat="1" applyFont="1"/>
    <xf numFmtId="9" fontId="42" fillId="0" borderId="0" xfId="47" applyFont="1" applyFill="1" applyBorder="1"/>
    <xf numFmtId="165" fontId="36" fillId="0" borderId="10" xfId="0" applyNumberFormat="1" applyFont="1" applyBorder="1"/>
    <xf numFmtId="0" fontId="1" fillId="30" borderId="0" xfId="0" applyFont="1" applyFill="1" applyAlignment="1">
      <alignment horizontal="center"/>
    </xf>
    <xf numFmtId="0" fontId="0" fillId="30" borderId="0" xfId="0" applyFill="1" applyAlignment="1">
      <alignment horizontal="center"/>
    </xf>
    <xf numFmtId="0" fontId="28" fillId="0" borderId="27" xfId="0" applyFont="1" applyBorder="1" applyAlignment="1">
      <alignment horizontal="center" wrapText="1"/>
    </xf>
    <xf numFmtId="175" fontId="27" fillId="0" borderId="11" xfId="0" applyNumberFormat="1" applyFont="1" applyBorder="1"/>
    <xf numFmtId="175" fontId="27" fillId="0" borderId="27" xfId="0" applyNumberFormat="1" applyFont="1" applyBorder="1"/>
    <xf numFmtId="175" fontId="29" fillId="0" borderId="11" xfId="0" applyNumberFormat="1" applyFont="1" applyBorder="1"/>
    <xf numFmtId="175" fontId="29" fillId="0" borderId="27" xfId="0" applyNumberFormat="1" applyFont="1" applyBorder="1"/>
    <xf numFmtId="175" fontId="27" fillId="0" borderId="12" xfId="0" applyNumberFormat="1" applyFont="1" applyBorder="1"/>
    <xf numFmtId="175" fontId="29" fillId="0" borderId="12" xfId="0" applyNumberFormat="1" applyFont="1" applyBorder="1"/>
    <xf numFmtId="0" fontId="26" fillId="0" borderId="12" xfId="0" applyFont="1" applyBorder="1" applyAlignment="1">
      <alignment horizontal="center" wrapText="1"/>
    </xf>
    <xf numFmtId="0" fontId="26" fillId="0" borderId="28" xfId="0" applyFont="1" applyBorder="1" applyAlignment="1">
      <alignment wrapText="1"/>
    </xf>
    <xf numFmtId="0" fontId="27" fillId="0" borderId="12" xfId="0" applyFont="1" applyBorder="1"/>
    <xf numFmtId="0" fontId="29" fillId="0" borderId="12" xfId="0" applyFont="1" applyBorder="1"/>
    <xf numFmtId="0" fontId="28" fillId="0" borderId="30" xfId="0" applyFont="1" applyBorder="1"/>
    <xf numFmtId="175" fontId="28" fillId="0" borderId="30" xfId="0" applyNumberFormat="1" applyFont="1" applyBorder="1"/>
    <xf numFmtId="175" fontId="28" fillId="0" borderId="31" xfId="0" applyNumberFormat="1" applyFont="1" applyBorder="1"/>
    <xf numFmtId="175" fontId="28" fillId="0" borderId="42" xfId="0" applyNumberFormat="1" applyFont="1" applyBorder="1"/>
    <xf numFmtId="0" fontId="26" fillId="0" borderId="28" xfId="0" applyFont="1" applyBorder="1" applyAlignment="1">
      <alignment horizontal="center"/>
    </xf>
    <xf numFmtId="6" fontId="43" fillId="30" borderId="27" xfId="0" applyNumberFormat="1" applyFont="1" applyFill="1" applyBorder="1" applyAlignment="1">
      <alignment horizontal="center"/>
    </xf>
    <xf numFmtId="165" fontId="42" fillId="0" borderId="27" xfId="0" applyNumberFormat="1" applyFont="1" applyBorder="1"/>
    <xf numFmtId="166" fontId="38" fillId="0" borderId="10" xfId="47" applyNumberFormat="1" applyFont="1" applyBorder="1"/>
    <xf numFmtId="165" fontId="28" fillId="0" borderId="0" xfId="28" applyNumberFormat="1" applyFont="1" applyBorder="1"/>
    <xf numFmtId="0" fontId="29" fillId="0" borderId="31" xfId="0" applyFont="1" applyBorder="1"/>
    <xf numFmtId="166" fontId="27" fillId="0" borderId="10" xfId="47" applyNumberFormat="1" applyFont="1" applyBorder="1"/>
    <xf numFmtId="170" fontId="36" fillId="0" borderId="0" xfId="29" applyNumberFormat="1" applyFont="1"/>
    <xf numFmtId="175" fontId="27" fillId="0" borderId="0" xfId="47" applyNumberFormat="1" applyFont="1" applyFill="1" applyBorder="1"/>
    <xf numFmtId="0" fontId="41" fillId="0" borderId="39" xfId="0" applyFont="1" applyBorder="1" applyAlignment="1">
      <alignment horizontal="center"/>
    </xf>
    <xf numFmtId="166" fontId="36" fillId="31" borderId="0" xfId="47" applyNumberFormat="1" applyFont="1" applyFill="1"/>
    <xf numFmtId="0" fontId="27" fillId="0" borderId="20" xfId="0" applyFont="1" applyBorder="1"/>
    <xf numFmtId="0" fontId="27" fillId="0" borderId="13" xfId="0" applyFont="1" applyBorder="1"/>
    <xf numFmtId="0" fontId="28" fillId="0" borderId="11" xfId="0" applyFont="1" applyBorder="1" applyAlignment="1">
      <alignment horizontal="center"/>
    </xf>
    <xf numFmtId="176" fontId="28" fillId="0" borderId="11" xfId="0" applyNumberFormat="1" applyFont="1" applyBorder="1" applyAlignment="1">
      <alignment horizontal="center"/>
    </xf>
    <xf numFmtId="0" fontId="26" fillId="0" borderId="11" xfId="0" applyFont="1" applyBorder="1" applyAlignment="1">
      <alignment horizontal="center"/>
    </xf>
    <xf numFmtId="170" fontId="27" fillId="0" borderId="11" xfId="29" applyNumberFormat="1" applyFont="1" applyFill="1" applyBorder="1"/>
    <xf numFmtId="166" fontId="27" fillId="0" borderId="11" xfId="47" applyNumberFormat="1" applyFont="1" applyFill="1" applyBorder="1"/>
    <xf numFmtId="182" fontId="27" fillId="0" borderId="11" xfId="47" applyNumberFormat="1" applyFont="1" applyFill="1" applyBorder="1"/>
    <xf numFmtId="182" fontId="27" fillId="0" borderId="11" xfId="28" applyNumberFormat="1" applyFont="1" applyFill="1" applyBorder="1"/>
    <xf numFmtId="166" fontId="28" fillId="0" borderId="31" xfId="47" applyNumberFormat="1" applyFont="1" applyFill="1" applyBorder="1"/>
    <xf numFmtId="166" fontId="28" fillId="0" borderId="10" xfId="47" applyNumberFormat="1" applyFont="1" applyFill="1" applyBorder="1"/>
    <xf numFmtId="176" fontId="28" fillId="0" borderId="0" xfId="0" applyNumberFormat="1" applyFont="1"/>
    <xf numFmtId="0" fontId="28" fillId="0" borderId="0" xfId="0" quotePrefix="1" applyFont="1" applyAlignment="1">
      <alignment horizontal="center"/>
    </xf>
    <xf numFmtId="0" fontId="27" fillId="0" borderId="0" xfId="0" applyFont="1" applyAlignment="1">
      <alignment horizontal="center"/>
    </xf>
    <xf numFmtId="166" fontId="27" fillId="0" borderId="0" xfId="47" applyNumberFormat="1" applyFont="1" applyFill="1" applyBorder="1" applyAlignment="1">
      <alignment horizontal="center"/>
    </xf>
    <xf numFmtId="166" fontId="28" fillId="0" borderId="0" xfId="47" applyNumberFormat="1" applyFont="1" applyFill="1" applyBorder="1" applyAlignment="1">
      <alignment horizontal="center"/>
    </xf>
    <xf numFmtId="10" fontId="27" fillId="0" borderId="0" xfId="47" applyNumberFormat="1" applyFont="1" applyFill="1" applyBorder="1" applyAlignment="1">
      <alignment horizontal="center"/>
    </xf>
    <xf numFmtId="175" fontId="41" fillId="0" borderId="16" xfId="0" applyNumberFormat="1" applyFont="1" applyBorder="1" applyAlignment="1">
      <alignment horizontal="center"/>
    </xf>
    <xf numFmtId="165" fontId="41" fillId="0" borderId="16" xfId="28" applyNumberFormat="1" applyFont="1" applyBorder="1" applyAlignment="1">
      <alignment horizontal="center"/>
    </xf>
    <xf numFmtId="9" fontId="36" fillId="0" borderId="27" xfId="47" applyFont="1" applyBorder="1"/>
    <xf numFmtId="165" fontId="42" fillId="0" borderId="0" xfId="28" applyNumberFormat="1" applyFont="1" applyBorder="1"/>
    <xf numFmtId="175" fontId="42" fillId="0" borderId="0" xfId="0" applyNumberFormat="1" applyFont="1"/>
    <xf numFmtId="9" fontId="42" fillId="0" borderId="27" xfId="47" applyFont="1" applyBorder="1"/>
    <xf numFmtId="175" fontId="39" fillId="31" borderId="0" xfId="0" applyNumberFormat="1" applyFont="1" applyFill="1"/>
    <xf numFmtId="9" fontId="39" fillId="0" borderId="27" xfId="0" applyNumberFormat="1" applyFont="1" applyBorder="1"/>
    <xf numFmtId="166" fontId="36" fillId="31" borderId="10" xfId="47" applyNumberFormat="1" applyFont="1" applyFill="1" applyBorder="1"/>
    <xf numFmtId="0" fontId="36" fillId="0" borderId="42" xfId="0" applyFont="1" applyBorder="1"/>
    <xf numFmtId="175" fontId="41" fillId="0" borderId="29" xfId="0" applyNumberFormat="1" applyFont="1" applyBorder="1"/>
    <xf numFmtId="9" fontId="40" fillId="0" borderId="27" xfId="47" applyFont="1" applyBorder="1"/>
    <xf numFmtId="177" fontId="64" fillId="0" borderId="0" xfId="47" applyNumberFormat="1" applyFont="1"/>
    <xf numFmtId="6" fontId="36" fillId="30" borderId="27" xfId="0" applyNumberFormat="1" applyFont="1" applyFill="1" applyBorder="1"/>
    <xf numFmtId="182" fontId="36" fillId="0" borderId="11" xfId="0" applyNumberFormat="1" applyFont="1" applyBorder="1" applyAlignment="1">
      <alignment horizontal="center"/>
    </xf>
    <xf numFmtId="182" fontId="36" fillId="0" borderId="16" xfId="0" applyNumberFormat="1" applyFont="1" applyBorder="1" applyAlignment="1">
      <alignment horizontal="center"/>
    </xf>
    <xf numFmtId="182" fontId="36" fillId="0" borderId="39" xfId="0" applyNumberFormat="1" applyFont="1" applyBorder="1" applyAlignment="1">
      <alignment horizontal="center"/>
    </xf>
    <xf numFmtId="5" fontId="36" fillId="30" borderId="42" xfId="0" applyNumberFormat="1" applyFont="1" applyFill="1" applyBorder="1"/>
    <xf numFmtId="175" fontId="36" fillId="30" borderId="29" xfId="0" applyNumberFormat="1" applyFont="1" applyFill="1" applyBorder="1"/>
    <xf numFmtId="175" fontId="36" fillId="30" borderId="16" xfId="0" applyNumberFormat="1" applyFont="1" applyFill="1" applyBorder="1"/>
    <xf numFmtId="6" fontId="36" fillId="31" borderId="39" xfId="0" applyNumberFormat="1" applyFont="1" applyFill="1" applyBorder="1"/>
    <xf numFmtId="6" fontId="36" fillId="30" borderId="16" xfId="0" applyNumberFormat="1" applyFont="1" applyFill="1" applyBorder="1"/>
    <xf numFmtId="165" fontId="36" fillId="30" borderId="42" xfId="28" applyNumberFormat="1" applyFont="1" applyFill="1" applyBorder="1"/>
    <xf numFmtId="0" fontId="39" fillId="0" borderId="0" xfId="0" applyFont="1" applyAlignment="1">
      <alignment horizontal="right"/>
    </xf>
    <xf numFmtId="0" fontId="3" fillId="30" borderId="33" xfId="0" applyFont="1" applyFill="1" applyBorder="1" applyAlignment="1">
      <alignment horizontal="center" vertical="center" wrapText="1"/>
    </xf>
    <xf numFmtId="3" fontId="36" fillId="30" borderId="33" xfId="0" applyNumberFormat="1" applyFont="1" applyFill="1" applyBorder="1" applyAlignment="1">
      <alignment horizontal="center"/>
    </xf>
    <xf numFmtId="0" fontId="3" fillId="30" borderId="33" xfId="0" applyFont="1" applyFill="1" applyBorder="1" applyAlignment="1">
      <alignment horizontal="center" wrapText="1"/>
    </xf>
    <xf numFmtId="3" fontId="3" fillId="30" borderId="33" xfId="28" applyNumberFormat="1" applyFont="1" applyFill="1" applyBorder="1" applyAlignment="1">
      <alignment horizontal="center" wrapText="1"/>
    </xf>
    <xf numFmtId="3" fontId="3" fillId="30" borderId="33" xfId="0" applyNumberFormat="1" applyFont="1" applyFill="1" applyBorder="1" applyAlignment="1">
      <alignment horizontal="center" wrapText="1"/>
    </xf>
    <xf numFmtId="166" fontId="36" fillId="0" borderId="0" xfId="47" applyNumberFormat="1" applyFont="1" applyAlignment="1"/>
    <xf numFmtId="165" fontId="36" fillId="30" borderId="33" xfId="28" applyNumberFormat="1" applyFont="1" applyFill="1" applyBorder="1" applyAlignment="1">
      <alignment horizontal="center"/>
    </xf>
    <xf numFmtId="3" fontId="36" fillId="30" borderId="33" xfId="28" applyNumberFormat="1" applyFont="1" applyFill="1" applyBorder="1" applyAlignment="1">
      <alignment horizontal="center"/>
    </xf>
    <xf numFmtId="0" fontId="36" fillId="0" borderId="29" xfId="0" applyFont="1" applyBorder="1"/>
    <xf numFmtId="165" fontId="42" fillId="0" borderId="11" xfId="28" applyNumberFormat="1" applyFont="1" applyFill="1" applyBorder="1"/>
    <xf numFmtId="166" fontId="42" fillId="0" borderId="27" xfId="47" applyNumberFormat="1" applyFont="1" applyFill="1" applyBorder="1"/>
    <xf numFmtId="9" fontId="36" fillId="0" borderId="27" xfId="47" applyFont="1" applyFill="1" applyBorder="1"/>
    <xf numFmtId="9" fontId="42" fillId="0" borderId="27" xfId="47" applyFont="1" applyFill="1" applyBorder="1"/>
    <xf numFmtId="165" fontId="40" fillId="0" borderId="0" xfId="28" applyNumberFormat="1" applyFont="1" applyFill="1" applyBorder="1"/>
    <xf numFmtId="0" fontId="39" fillId="0" borderId="33" xfId="0" applyFont="1" applyBorder="1" applyAlignment="1">
      <alignment horizontal="center"/>
    </xf>
    <xf numFmtId="175" fontId="38" fillId="30" borderId="0" xfId="0" applyNumberFormat="1" applyFont="1" applyFill="1"/>
    <xf numFmtId="166" fontId="36" fillId="0" borderId="12" xfId="47" applyNumberFormat="1" applyFont="1" applyBorder="1" applyAlignment="1">
      <alignment horizontal="center"/>
    </xf>
    <xf numFmtId="182" fontId="36" fillId="30" borderId="0" xfId="0" applyNumberFormat="1" applyFont="1" applyFill="1" applyAlignment="1">
      <alignment horizontal="center"/>
    </xf>
    <xf numFmtId="182" fontId="36" fillId="0" borderId="0" xfId="29" applyNumberFormat="1" applyFont="1"/>
    <xf numFmtId="9" fontId="36" fillId="27" borderId="27" xfId="47" applyFont="1" applyFill="1" applyBorder="1"/>
    <xf numFmtId="9" fontId="36" fillId="27" borderId="0" xfId="47" applyFont="1" applyFill="1" applyBorder="1"/>
    <xf numFmtId="165" fontId="36" fillId="27" borderId="27" xfId="0" applyNumberFormat="1" applyFont="1" applyFill="1" applyBorder="1"/>
    <xf numFmtId="165" fontId="36" fillId="27" borderId="0" xfId="0" applyNumberFormat="1" applyFont="1" applyFill="1"/>
    <xf numFmtId="43" fontId="36" fillId="0" borderId="0" xfId="0" applyNumberFormat="1" applyFont="1"/>
    <xf numFmtId="5" fontId="36" fillId="31" borderId="40" xfId="0" applyNumberFormat="1" applyFont="1" applyFill="1" applyBorder="1"/>
    <xf numFmtId="5" fontId="36" fillId="31" borderId="41" xfId="0" applyNumberFormat="1" applyFont="1" applyFill="1" applyBorder="1"/>
    <xf numFmtId="5" fontId="36" fillId="31" borderId="32" xfId="0" applyNumberFormat="1" applyFont="1" applyFill="1" applyBorder="1"/>
    <xf numFmtId="175" fontId="36" fillId="31" borderId="33" xfId="0" applyNumberFormat="1" applyFont="1" applyFill="1" applyBorder="1"/>
    <xf numFmtId="6" fontId="38" fillId="30" borderId="31" xfId="0" applyNumberFormat="1" applyFont="1" applyFill="1" applyBorder="1" applyAlignment="1">
      <alignment horizontal="right"/>
    </xf>
    <xf numFmtId="6" fontId="37" fillId="30" borderId="31" xfId="0" applyNumberFormat="1" applyFont="1" applyFill="1" applyBorder="1" applyAlignment="1">
      <alignment horizontal="right"/>
    </xf>
    <xf numFmtId="175" fontId="37" fillId="30" borderId="31" xfId="0" applyNumberFormat="1" applyFont="1" applyFill="1" applyBorder="1" applyAlignment="1">
      <alignment horizontal="right"/>
    </xf>
    <xf numFmtId="165" fontId="37" fillId="30" borderId="42" xfId="28" applyNumberFormat="1" applyFont="1" applyFill="1" applyBorder="1" applyAlignment="1">
      <alignment horizontal="right"/>
    </xf>
    <xf numFmtId="175" fontId="30" fillId="30" borderId="0" xfId="0" applyNumberFormat="1" applyFont="1" applyFill="1"/>
    <xf numFmtId="175" fontId="38" fillId="30" borderId="12" xfId="0" applyNumberFormat="1" applyFont="1" applyFill="1" applyBorder="1"/>
    <xf numFmtId="165" fontId="62" fillId="30" borderId="11" xfId="28" applyNumberFormat="1" applyFont="1" applyFill="1" applyBorder="1"/>
    <xf numFmtId="164" fontId="3" fillId="30" borderId="12" xfId="29" applyNumberFormat="1" applyFont="1" applyFill="1" applyBorder="1" applyProtection="1">
      <protection locked="0"/>
    </xf>
    <xf numFmtId="165" fontId="36" fillId="31" borderId="27" xfId="0" applyNumberFormat="1" applyFont="1" applyFill="1" applyBorder="1"/>
    <xf numFmtId="42" fontId="39" fillId="30" borderId="11" xfId="0" applyNumberFormat="1" applyFont="1" applyFill="1" applyBorder="1"/>
    <xf numFmtId="42" fontId="39" fillId="30" borderId="32" xfId="0" applyNumberFormat="1" applyFont="1" applyFill="1" applyBorder="1"/>
    <xf numFmtId="42" fontId="39" fillId="30" borderId="30" xfId="0" applyNumberFormat="1" applyFont="1" applyFill="1" applyBorder="1"/>
    <xf numFmtId="42" fontId="39" fillId="0" borderId="11" xfId="0" applyNumberFormat="1" applyFont="1" applyBorder="1"/>
    <xf numFmtId="43" fontId="39" fillId="25" borderId="31" xfId="28" applyFont="1" applyFill="1" applyBorder="1"/>
    <xf numFmtId="165" fontId="39" fillId="25" borderId="31" xfId="28" applyNumberFormat="1" applyFont="1" applyFill="1" applyBorder="1"/>
    <xf numFmtId="165" fontId="39" fillId="25" borderId="30" xfId="28" applyNumberFormat="1" applyFont="1" applyFill="1" applyBorder="1"/>
    <xf numFmtId="165" fontId="39" fillId="0" borderId="31" xfId="0" applyNumberFormat="1" applyFont="1" applyBorder="1"/>
    <xf numFmtId="165" fontId="39" fillId="0" borderId="10" xfId="0" applyNumberFormat="1" applyFont="1" applyBorder="1"/>
    <xf numFmtId="166" fontId="39" fillId="0" borderId="42" xfId="47" applyNumberFormat="1" applyFont="1" applyFill="1" applyBorder="1"/>
    <xf numFmtId="166" fontId="39" fillId="0" borderId="10" xfId="47" applyNumberFormat="1" applyFont="1" applyFill="1" applyBorder="1"/>
    <xf numFmtId="165" fontId="39" fillId="0" borderId="42" xfId="0" applyNumberFormat="1" applyFont="1" applyBorder="1"/>
    <xf numFmtId="166" fontId="39" fillId="0" borderId="10" xfId="47" applyNumberFormat="1" applyFont="1" applyBorder="1"/>
    <xf numFmtId="165" fontId="39" fillId="0" borderId="42" xfId="28" applyNumberFormat="1" applyFont="1" applyBorder="1"/>
    <xf numFmtId="9" fontId="39" fillId="0" borderId="42" xfId="47" applyFont="1" applyFill="1" applyBorder="1"/>
    <xf numFmtId="42" fontId="40" fillId="30" borderId="11" xfId="0" applyNumberFormat="1" applyFont="1" applyFill="1" applyBorder="1"/>
    <xf numFmtId="165" fontId="42" fillId="27" borderId="27" xfId="0" applyNumberFormat="1" applyFont="1" applyFill="1" applyBorder="1"/>
    <xf numFmtId="175" fontId="38" fillId="30" borderId="30" xfId="0" applyNumberFormat="1" applyFont="1" applyFill="1" applyBorder="1"/>
    <xf numFmtId="42" fontId="40" fillId="30" borderId="12" xfId="0" applyNumberFormat="1" applyFont="1" applyFill="1" applyBorder="1"/>
    <xf numFmtId="42" fontId="40" fillId="30" borderId="0" xfId="0" applyNumberFormat="1" applyFont="1" applyFill="1"/>
    <xf numFmtId="0" fontId="65" fillId="29" borderId="0" xfId="0" applyFont="1" applyFill="1" applyAlignment="1">
      <alignment horizontal="right"/>
    </xf>
    <xf numFmtId="175" fontId="36" fillId="29" borderId="0" xfId="0" applyNumberFormat="1" applyFont="1" applyFill="1"/>
    <xf numFmtId="165" fontId="36" fillId="30" borderId="0" xfId="28" applyNumberFormat="1" applyFont="1" applyFill="1" applyBorder="1"/>
    <xf numFmtId="166" fontId="38" fillId="30" borderId="11" xfId="47" applyNumberFormat="1" applyFont="1" applyFill="1" applyBorder="1"/>
    <xf numFmtId="6" fontId="38" fillId="30" borderId="0" xfId="0" applyNumberFormat="1" applyFont="1" applyFill="1" applyAlignment="1">
      <alignment horizontal="right"/>
    </xf>
    <xf numFmtId="166" fontId="38" fillId="30" borderId="31" xfId="47" applyNumberFormat="1" applyFont="1" applyFill="1" applyBorder="1"/>
    <xf numFmtId="6" fontId="38" fillId="30" borderId="10" xfId="0" applyNumberFormat="1" applyFont="1" applyFill="1" applyBorder="1" applyAlignment="1">
      <alignment horizontal="right"/>
    </xf>
    <xf numFmtId="166" fontId="37" fillId="30" borderId="31" xfId="47" applyNumberFormat="1" applyFont="1" applyFill="1" applyBorder="1" applyAlignment="1">
      <alignment horizontal="right"/>
    </xf>
    <xf numFmtId="6" fontId="37" fillId="30" borderId="10" xfId="0" applyNumberFormat="1" applyFont="1" applyFill="1" applyBorder="1" applyAlignment="1">
      <alignment horizontal="right"/>
    </xf>
    <xf numFmtId="0" fontId="41" fillId="27" borderId="0" xfId="0" applyFont="1" applyFill="1" applyAlignment="1">
      <alignment horizontal="center"/>
    </xf>
    <xf numFmtId="182" fontId="36" fillId="0" borderId="32" xfId="0" applyNumberFormat="1" applyFont="1" applyBorder="1" applyAlignment="1">
      <alignment horizontal="center"/>
    </xf>
    <xf numFmtId="165" fontId="36" fillId="31" borderId="11" xfId="28" applyNumberFormat="1" applyFont="1" applyFill="1" applyBorder="1"/>
    <xf numFmtId="0" fontId="39" fillId="30" borderId="28" xfId="0" applyFont="1" applyFill="1" applyBorder="1" applyAlignment="1">
      <alignment horizontal="center" vertical="center"/>
    </xf>
    <xf numFmtId="0" fontId="37" fillId="30" borderId="12" xfId="0" applyFont="1" applyFill="1" applyBorder="1" applyAlignment="1">
      <alignment horizontal="center" vertical="center"/>
    </xf>
    <xf numFmtId="0" fontId="37" fillId="30" borderId="12" xfId="0" applyFont="1" applyFill="1" applyBorder="1" applyAlignment="1">
      <alignment horizontal="center"/>
    </xf>
    <xf numFmtId="6" fontId="43" fillId="30" borderId="12" xfId="0" applyNumberFormat="1" applyFont="1" applyFill="1" applyBorder="1" applyAlignment="1">
      <alignment horizontal="center"/>
    </xf>
    <xf numFmtId="6" fontId="36" fillId="30" borderId="12" xfId="0" applyNumberFormat="1" applyFont="1" applyFill="1" applyBorder="1" applyAlignment="1">
      <alignment horizontal="right"/>
    </xf>
    <xf numFmtId="6" fontId="36" fillId="30" borderId="30" xfId="0" applyNumberFormat="1" applyFont="1" applyFill="1" applyBorder="1" applyAlignment="1">
      <alignment horizontal="right"/>
    </xf>
    <xf numFmtId="6" fontId="37" fillId="30" borderId="30" xfId="0" applyNumberFormat="1" applyFont="1" applyFill="1" applyBorder="1" applyAlignment="1">
      <alignment horizontal="right"/>
    </xf>
    <xf numFmtId="0" fontId="39" fillId="30" borderId="39" xfId="0" applyFont="1" applyFill="1" applyBorder="1" applyAlignment="1">
      <alignment horizontal="center"/>
    </xf>
    <xf numFmtId="0" fontId="41" fillId="30" borderId="27" xfId="0" applyFont="1" applyFill="1" applyBorder="1" applyAlignment="1">
      <alignment horizontal="center"/>
    </xf>
    <xf numFmtId="0" fontId="38" fillId="30" borderId="27" xfId="0" applyFont="1" applyFill="1" applyBorder="1"/>
    <xf numFmtId="175" fontId="32" fillId="30" borderId="0" xfId="0" applyNumberFormat="1" applyFont="1" applyFill="1"/>
    <xf numFmtId="6" fontId="40" fillId="30" borderId="0" xfId="0" applyNumberFormat="1" applyFont="1" applyFill="1"/>
    <xf numFmtId="166" fontId="36" fillId="30" borderId="27" xfId="47" applyNumberFormat="1" applyFont="1" applyFill="1" applyBorder="1"/>
    <xf numFmtId="166" fontId="40" fillId="30" borderId="27" xfId="47" applyNumberFormat="1" applyFont="1" applyFill="1" applyBorder="1"/>
    <xf numFmtId="6" fontId="36" fillId="30" borderId="0" xfId="29" applyNumberFormat="1" applyFont="1" applyFill="1"/>
    <xf numFmtId="6" fontId="40" fillId="30" borderId="0" xfId="29" applyNumberFormat="1" applyFont="1" applyFill="1"/>
    <xf numFmtId="6" fontId="36" fillId="30" borderId="16" xfId="29" applyNumberFormat="1" applyFont="1" applyFill="1" applyBorder="1"/>
    <xf numFmtId="9" fontId="36" fillId="30" borderId="39" xfId="47" applyFont="1" applyFill="1" applyBorder="1"/>
    <xf numFmtId="165" fontId="58" fillId="29" borderId="0" xfId="28" applyNumberFormat="1" applyFont="1" applyFill="1"/>
    <xf numFmtId="166" fontId="0" fillId="31" borderId="0" xfId="0" applyNumberFormat="1" applyFill="1"/>
    <xf numFmtId="0" fontId="59" fillId="0" borderId="0" xfId="0" applyFont="1" applyAlignment="1">
      <alignment horizontal="center"/>
    </xf>
    <xf numFmtId="166" fontId="27" fillId="0" borderId="0" xfId="47" applyNumberFormat="1" applyFont="1"/>
    <xf numFmtId="6" fontId="39" fillId="0" borderId="0" xfId="0" applyNumberFormat="1" applyFont="1" applyAlignment="1">
      <alignment horizontal="center"/>
    </xf>
    <xf numFmtId="0" fontId="26" fillId="0" borderId="0" xfId="0" applyFont="1" applyAlignment="1">
      <alignment horizontal="center" vertical="center" wrapText="1"/>
    </xf>
    <xf numFmtId="0" fontId="26" fillId="0" borderId="27" xfId="0" applyFont="1" applyBorder="1" applyAlignment="1">
      <alignment horizontal="center" vertical="center" wrapText="1"/>
    </xf>
    <xf numFmtId="170" fontId="27" fillId="0" borderId="0" xfId="0" applyNumberFormat="1" applyFont="1"/>
    <xf numFmtId="164" fontId="27" fillId="0" borderId="27" xfId="29" applyNumberFormat="1" applyFont="1" applyBorder="1"/>
    <xf numFmtId="164" fontId="27" fillId="0" borderId="0" xfId="0" applyNumberFormat="1" applyFont="1"/>
    <xf numFmtId="164" fontId="27" fillId="0" borderId="0" xfId="29" applyNumberFormat="1" applyFont="1" applyBorder="1"/>
    <xf numFmtId="164" fontId="27" fillId="0" borderId="27" xfId="0" applyNumberFormat="1" applyFont="1" applyBorder="1"/>
    <xf numFmtId="164" fontId="27" fillId="0" borderId="10" xfId="0" applyNumberFormat="1" applyFont="1" applyBorder="1"/>
    <xf numFmtId="164" fontId="27" fillId="0" borderId="42" xfId="0" applyNumberFormat="1" applyFont="1" applyBorder="1"/>
    <xf numFmtId="0" fontId="28" fillId="0" borderId="32" xfId="0" applyFont="1" applyBorder="1"/>
    <xf numFmtId="164" fontId="28" fillId="0" borderId="40" xfId="0" applyNumberFormat="1" applyFont="1" applyBorder="1"/>
    <xf numFmtId="164" fontId="28" fillId="0" borderId="41" xfId="0" applyNumberFormat="1" applyFont="1" applyBorder="1"/>
    <xf numFmtId="44" fontId="27" fillId="0" borderId="0" xfId="0" applyNumberFormat="1" applyFont="1"/>
    <xf numFmtId="0" fontId="27" fillId="0" borderId="42" xfId="0" applyFont="1" applyBorder="1"/>
    <xf numFmtId="0" fontId="26" fillId="0" borderId="11" xfId="0" applyFont="1" applyBorder="1" applyAlignment="1">
      <alignment horizontal="center" vertical="center" wrapText="1"/>
    </xf>
    <xf numFmtId="9" fontId="36" fillId="27" borderId="33" xfId="47" applyFont="1" applyFill="1" applyBorder="1"/>
    <xf numFmtId="0" fontId="28" fillId="0" borderId="40" xfId="0" applyFont="1" applyBorder="1"/>
    <xf numFmtId="0" fontId="28" fillId="0" borderId="41" xfId="0" applyFont="1" applyBorder="1"/>
    <xf numFmtId="165" fontId="27" fillId="0" borderId="0" xfId="0" applyNumberFormat="1" applyFont="1"/>
    <xf numFmtId="9" fontId="27" fillId="27" borderId="0" xfId="47" applyFont="1" applyFill="1" applyBorder="1"/>
    <xf numFmtId="166" fontId="27" fillId="0" borderId="23" xfId="47" applyNumberFormat="1" applyFont="1" applyFill="1" applyBorder="1"/>
    <xf numFmtId="175" fontId="27" fillId="0" borderId="23" xfId="47" applyNumberFormat="1" applyFont="1" applyFill="1" applyBorder="1"/>
    <xf numFmtId="166" fontId="28" fillId="0" borderId="23" xfId="47" applyNumberFormat="1" applyFont="1" applyFill="1" applyBorder="1"/>
    <xf numFmtId="175" fontId="28" fillId="0" borderId="23" xfId="0" applyNumberFormat="1" applyFont="1" applyBorder="1"/>
    <xf numFmtId="0" fontId="28" fillId="0" borderId="27" xfId="0" applyFont="1" applyBorder="1" applyAlignment="1">
      <alignment horizontal="center"/>
    </xf>
    <xf numFmtId="176" fontId="28" fillId="0" borderId="27" xfId="0" applyNumberFormat="1" applyFont="1" applyBorder="1" applyAlignment="1">
      <alignment horizontal="center"/>
    </xf>
    <xf numFmtId="170" fontId="27" fillId="0" borderId="27" xfId="29" applyNumberFormat="1" applyFont="1" applyFill="1" applyBorder="1"/>
    <xf numFmtId="44" fontId="27" fillId="0" borderId="27" xfId="29" applyFont="1" applyFill="1" applyBorder="1"/>
    <xf numFmtId="0" fontId="28" fillId="0" borderId="33" xfId="0" applyFont="1" applyBorder="1" applyAlignment="1">
      <alignment horizontal="center" vertical="center"/>
    </xf>
    <xf numFmtId="0" fontId="28" fillId="0" borderId="32" xfId="0" applyFont="1" applyBorder="1" applyAlignment="1">
      <alignment vertical="center" wrapText="1"/>
    </xf>
    <xf numFmtId="0" fontId="28" fillId="0" borderId="40" xfId="0" applyFont="1" applyBorder="1" applyAlignment="1">
      <alignment horizontal="center" vertical="center" wrapText="1"/>
    </xf>
    <xf numFmtId="9" fontId="27" fillId="32" borderId="23" xfId="47" applyFont="1" applyFill="1" applyBorder="1"/>
    <xf numFmtId="9" fontId="27" fillId="32" borderId="0" xfId="0" applyNumberFormat="1" applyFont="1" applyFill="1"/>
    <xf numFmtId="175" fontId="36" fillId="0" borderId="0" xfId="28" applyNumberFormat="1" applyFont="1"/>
    <xf numFmtId="0" fontId="28" fillId="0" borderId="0" xfId="0" applyFont="1" applyAlignment="1">
      <alignment horizontal="center" wrapText="1"/>
    </xf>
    <xf numFmtId="0" fontId="28" fillId="0" borderId="0" xfId="0" applyFont="1" applyAlignment="1">
      <alignment horizontal="center" vertical="center" wrapText="1"/>
    </xf>
    <xf numFmtId="6" fontId="36" fillId="0" borderId="14" xfId="0" applyNumberFormat="1" applyFont="1" applyBorder="1"/>
    <xf numFmtId="6" fontId="58" fillId="0" borderId="0" xfId="0" applyNumberFormat="1" applyFont="1"/>
    <xf numFmtId="182" fontId="58" fillId="0" borderId="0" xfId="0" applyNumberFormat="1" applyFont="1"/>
    <xf numFmtId="175" fontId="58" fillId="0" borderId="0" xfId="0" applyNumberFormat="1" applyFont="1"/>
    <xf numFmtId="0" fontId="67" fillId="0" borderId="0" xfId="0" applyFont="1"/>
    <xf numFmtId="182" fontId="67" fillId="0" borderId="0" xfId="0" applyNumberFormat="1" applyFont="1"/>
    <xf numFmtId="0" fontId="58" fillId="0" borderId="0" xfId="0" applyFont="1" applyAlignment="1">
      <alignment horizontal="right"/>
    </xf>
    <xf numFmtId="0" fontId="67" fillId="0" borderId="0" xfId="0" applyFont="1" applyAlignment="1">
      <alignment horizontal="right"/>
    </xf>
    <xf numFmtId="165" fontId="58" fillId="0" borderId="0" xfId="28" applyNumberFormat="1" applyFont="1"/>
    <xf numFmtId="191" fontId="58" fillId="0" borderId="0" xfId="47" applyNumberFormat="1" applyFont="1"/>
    <xf numFmtId="0" fontId="1" fillId="0" borderId="12" xfId="0" applyFont="1" applyBorder="1"/>
    <xf numFmtId="9" fontId="1" fillId="0" borderId="0" xfId="47" applyFont="1"/>
    <xf numFmtId="0" fontId="1" fillId="0" borderId="0" xfId="0" applyFont="1" applyAlignment="1">
      <alignment horizontal="left" indent="1"/>
    </xf>
    <xf numFmtId="165" fontId="1" fillId="0" borderId="0" xfId="28" applyNumberFormat="1" applyFont="1"/>
    <xf numFmtId="166" fontId="1" fillId="0" borderId="0" xfId="47" applyNumberFormat="1" applyFont="1"/>
    <xf numFmtId="166" fontId="58" fillId="0" borderId="0" xfId="47" applyNumberFormat="1" applyFont="1"/>
    <xf numFmtId="166" fontId="27" fillId="31" borderId="27" xfId="47" applyNumberFormat="1" applyFont="1" applyFill="1" applyBorder="1"/>
    <xf numFmtId="8" fontId="36" fillId="0" borderId="14" xfId="0" applyNumberFormat="1" applyFont="1" applyBorder="1"/>
    <xf numFmtId="0" fontId="31" fillId="0" borderId="0" xfId="0" applyNumberFormat="1" applyFont="1" applyAlignment="1">
      <alignment horizontal="center"/>
    </xf>
    <xf numFmtId="175" fontId="30" fillId="0" borderId="0" xfId="0" applyNumberFormat="1" applyFont="1" applyAlignment="1">
      <alignment horizontal="right"/>
    </xf>
    <xf numFmtId="175" fontId="30" fillId="0" borderId="0" xfId="0" applyNumberFormat="1" applyFont="1" applyAlignment="1"/>
    <xf numFmtId="175" fontId="32" fillId="0" borderId="0" xfId="0" applyNumberFormat="1" applyFont="1" applyAlignment="1"/>
    <xf numFmtId="175" fontId="37" fillId="30" borderId="40" xfId="0" applyNumberFormat="1" applyFont="1" applyFill="1" applyBorder="1"/>
    <xf numFmtId="0" fontId="27" fillId="0" borderId="32" xfId="0" applyFont="1" applyBorder="1" applyAlignment="1">
      <alignment horizontal="right"/>
    </xf>
    <xf numFmtId="9" fontId="27" fillId="27" borderId="41" xfId="47" applyFont="1" applyFill="1" applyBorder="1" applyAlignment="1">
      <alignment horizontal="center"/>
    </xf>
    <xf numFmtId="0" fontId="25" fillId="0" borderId="32" xfId="0" applyFont="1" applyBorder="1" applyAlignment="1">
      <alignment horizontal="center"/>
    </xf>
    <xf numFmtId="0" fontId="25" fillId="0" borderId="40" xfId="0" applyFont="1" applyBorder="1" applyAlignment="1">
      <alignment horizontal="center"/>
    </xf>
    <xf numFmtId="0" fontId="25" fillId="0" borderId="41" xfId="0" applyFont="1" applyBorder="1" applyAlignment="1">
      <alignment horizontal="center"/>
    </xf>
    <xf numFmtId="175" fontId="25" fillId="0" borderId="32" xfId="0" applyNumberFormat="1" applyFont="1" applyBorder="1" applyAlignment="1">
      <alignment horizontal="center"/>
    </xf>
    <xf numFmtId="175" fontId="25" fillId="0" borderId="41" xfId="0" applyNumberFormat="1" applyFont="1" applyBorder="1" applyAlignment="1">
      <alignment horizontal="center"/>
    </xf>
    <xf numFmtId="0" fontId="25" fillId="0" borderId="10" xfId="0" applyFont="1" applyBorder="1" applyAlignment="1">
      <alignment horizontal="center" wrapText="1"/>
    </xf>
    <xf numFmtId="0" fontId="25" fillId="0" borderId="10" xfId="0" applyFont="1" applyBorder="1" applyAlignment="1">
      <alignment horizontal="center"/>
    </xf>
    <xf numFmtId="0" fontId="36" fillId="0" borderId="36" xfId="0" applyFont="1" applyBorder="1" applyAlignment="1">
      <alignment horizontal="center"/>
    </xf>
    <xf numFmtId="0" fontId="36" fillId="0" borderId="43" xfId="0" applyFont="1" applyBorder="1" applyAlignment="1">
      <alignment horizontal="center"/>
    </xf>
    <xf numFmtId="0" fontId="36" fillId="0" borderId="44" xfId="0" applyFont="1" applyBorder="1" applyAlignment="1">
      <alignment horizontal="center"/>
    </xf>
    <xf numFmtId="0" fontId="36" fillId="0" borderId="31" xfId="0" applyFont="1" applyBorder="1" applyAlignment="1">
      <alignment horizontal="center"/>
    </xf>
    <xf numFmtId="0" fontId="36" fillId="0" borderId="10" xfId="0" applyFont="1" applyBorder="1" applyAlignment="1">
      <alignment horizontal="center"/>
    </xf>
    <xf numFmtId="0" fontId="36" fillId="0" borderId="32" xfId="0" applyFont="1" applyBorder="1" applyAlignment="1">
      <alignment horizontal="center"/>
    </xf>
    <xf numFmtId="0" fontId="36" fillId="0" borderId="40" xfId="0" applyFont="1" applyBorder="1" applyAlignment="1">
      <alignment horizontal="center"/>
    </xf>
    <xf numFmtId="0" fontId="36" fillId="0" borderId="41" xfId="0" applyFont="1" applyBorder="1" applyAlignment="1">
      <alignment horizontal="center"/>
    </xf>
    <xf numFmtId="0" fontId="40" fillId="0" borderId="11" xfId="0" applyFont="1" applyBorder="1" applyAlignment="1">
      <alignment horizontal="center"/>
    </xf>
    <xf numFmtId="0" fontId="40" fillId="0" borderId="27" xfId="0" applyFont="1" applyBorder="1" applyAlignment="1">
      <alignment horizontal="center"/>
    </xf>
    <xf numFmtId="0" fontId="40" fillId="0" borderId="32" xfId="0" applyFont="1" applyBorder="1" applyAlignment="1">
      <alignment horizontal="center"/>
    </xf>
    <xf numFmtId="0" fontId="40" fillId="0" borderId="40" xfId="0" applyFont="1" applyBorder="1" applyAlignment="1">
      <alignment horizontal="center"/>
    </xf>
    <xf numFmtId="0" fontId="40" fillId="0" borderId="41" xfId="0" applyFont="1" applyBorder="1" applyAlignment="1">
      <alignment horizontal="center"/>
    </xf>
    <xf numFmtId="0" fontId="36" fillId="0" borderId="29" xfId="0" applyFont="1" applyBorder="1" applyAlignment="1">
      <alignment horizontal="center"/>
    </xf>
    <xf numFmtId="0" fontId="36" fillId="0" borderId="16" xfId="0" applyFont="1" applyBorder="1" applyAlignment="1">
      <alignment horizontal="center"/>
    </xf>
    <xf numFmtId="0" fontId="36" fillId="0" borderId="39" xfId="0" applyFont="1" applyBorder="1" applyAlignment="1">
      <alignment horizontal="center"/>
    </xf>
    <xf numFmtId="0" fontId="39" fillId="0" borderId="45" xfId="0" applyFont="1" applyBorder="1" applyAlignment="1"/>
    <xf numFmtId="0" fontId="39" fillId="0" borderId="46" xfId="0" applyFont="1" applyBorder="1" applyAlignment="1"/>
    <xf numFmtId="0" fontId="39" fillId="0" borderId="47" xfId="0" applyFont="1" applyBorder="1" applyAlignment="1"/>
    <xf numFmtId="0" fontId="39" fillId="0" borderId="33" xfId="0" applyFont="1" applyBorder="1" applyAlignment="1">
      <alignment horizontal="center"/>
    </xf>
    <xf numFmtId="0" fontId="39" fillId="0" borderId="29" xfId="0" applyFont="1" applyBorder="1" applyAlignment="1">
      <alignment horizontal="center"/>
    </xf>
    <xf numFmtId="0" fontId="39" fillId="0" borderId="16" xfId="0" applyFont="1" applyBorder="1" applyAlignment="1">
      <alignment horizontal="center"/>
    </xf>
    <xf numFmtId="0" fontId="39" fillId="0" borderId="39" xfId="0" applyFont="1" applyBorder="1" applyAlignment="1">
      <alignment horizontal="center"/>
    </xf>
    <xf numFmtId="0" fontId="66" fillId="0" borderId="29" xfId="0" applyFont="1" applyBorder="1" applyAlignment="1">
      <alignment horizontal="center" vertical="center" wrapText="1"/>
    </xf>
    <xf numFmtId="0" fontId="66" fillId="0" borderId="16" xfId="0" applyFont="1" applyBorder="1" applyAlignment="1">
      <alignment horizontal="center" vertical="center" wrapText="1"/>
    </xf>
    <xf numFmtId="0" fontId="66" fillId="0" borderId="39" xfId="0" applyFont="1" applyBorder="1" applyAlignment="1">
      <alignment horizontal="center" vertical="center" wrapText="1"/>
    </xf>
    <xf numFmtId="0" fontId="28" fillId="0" borderId="32" xfId="0" applyFont="1" applyBorder="1" applyAlignment="1">
      <alignment horizontal="center"/>
    </xf>
    <xf numFmtId="0" fontId="28" fillId="0" borderId="40" xfId="0" applyFont="1" applyBorder="1" applyAlignment="1">
      <alignment horizontal="center"/>
    </xf>
    <xf numFmtId="0" fontId="28" fillId="0" borderId="41" xfId="0" applyFont="1" applyBorder="1" applyAlignment="1">
      <alignment horizontal="center"/>
    </xf>
    <xf numFmtId="0" fontId="66" fillId="0" borderId="29" xfId="0" applyFont="1" applyBorder="1" applyAlignment="1">
      <alignment horizontal="center" vertical="center"/>
    </xf>
    <xf numFmtId="0" fontId="66" fillId="0" borderId="16" xfId="0" applyFont="1" applyBorder="1" applyAlignment="1">
      <alignment horizontal="center" vertical="center"/>
    </xf>
    <xf numFmtId="0" fontId="66" fillId="0" borderId="39" xfId="0" applyFont="1" applyBorder="1" applyAlignment="1">
      <alignment horizontal="center" vertical="center"/>
    </xf>
    <xf numFmtId="0" fontId="39" fillId="31" borderId="32" xfId="0" applyFont="1" applyFill="1" applyBorder="1" applyAlignment="1">
      <alignment horizontal="center"/>
    </xf>
    <xf numFmtId="0" fontId="39" fillId="31" borderId="40" xfId="0" applyFont="1" applyFill="1" applyBorder="1" applyAlignment="1">
      <alignment horizontal="center"/>
    </xf>
    <xf numFmtId="0" fontId="39" fillId="31" borderId="41" xfId="0" applyFont="1" applyFill="1" applyBorder="1" applyAlignment="1">
      <alignment horizontal="center"/>
    </xf>
    <xf numFmtId="0" fontId="41" fillId="0" borderId="29" xfId="0" applyFont="1" applyBorder="1" applyAlignment="1">
      <alignment horizontal="center"/>
    </xf>
    <xf numFmtId="0" fontId="41" fillId="0" borderId="39" xfId="0" applyFont="1" applyBorder="1" applyAlignment="1">
      <alignment horizontal="center"/>
    </xf>
    <xf numFmtId="0" fontId="43" fillId="0" borderId="29" xfId="0" applyFont="1" applyBorder="1" applyAlignment="1">
      <alignment horizontal="center"/>
    </xf>
    <xf numFmtId="0" fontId="43" fillId="0" borderId="39" xfId="0" applyFont="1" applyBorder="1" applyAlignment="1">
      <alignment horizontal="center"/>
    </xf>
    <xf numFmtId="0" fontId="39" fillId="0" borderId="32" xfId="0" applyFont="1" applyBorder="1" applyAlignment="1">
      <alignment horizontal="center"/>
    </xf>
    <xf numFmtId="0" fontId="39" fillId="0" borderId="40" xfId="0" applyFont="1" applyBorder="1" applyAlignment="1">
      <alignment horizontal="center"/>
    </xf>
    <xf numFmtId="0" fontId="39" fillId="0" borderId="41" xfId="0" applyFont="1" applyBorder="1" applyAlignment="1">
      <alignment horizontal="center"/>
    </xf>
    <xf numFmtId="182" fontId="39" fillId="0" borderId="32" xfId="0" applyNumberFormat="1" applyFont="1" applyBorder="1" applyAlignment="1">
      <alignment horizontal="center"/>
    </xf>
    <xf numFmtId="182" fontId="39" fillId="0" borderId="40" xfId="0" applyNumberFormat="1" applyFont="1" applyBorder="1" applyAlignment="1">
      <alignment horizontal="center"/>
    </xf>
    <xf numFmtId="0" fontId="26" fillId="0" borderId="29" xfId="0" applyFont="1" applyBorder="1" applyAlignment="1">
      <alignment horizontal="center" wrapText="1"/>
    </xf>
    <xf numFmtId="0" fontId="26" fillId="0" borderId="39" xfId="0" applyFont="1" applyBorder="1" applyAlignment="1">
      <alignment horizontal="center"/>
    </xf>
    <xf numFmtId="0" fontId="26" fillId="0" borderId="0" xfId="0" applyFont="1" applyAlignment="1">
      <alignment horizontal="center" wrapText="1"/>
    </xf>
    <xf numFmtId="0" fontId="28" fillId="0" borderId="16" xfId="0" applyFont="1" applyBorder="1" applyAlignment="1">
      <alignment horizontal="center"/>
    </xf>
    <xf numFmtId="0" fontId="26" fillId="0" borderId="39" xfId="0" applyFont="1" applyBorder="1" applyAlignment="1">
      <alignment horizontal="center" wrapText="1"/>
    </xf>
    <xf numFmtId="0" fontId="28" fillId="0" borderId="0" xfId="0" applyFont="1" applyAlignment="1">
      <alignment horizontal="center"/>
    </xf>
    <xf numFmtId="0" fontId="53" fillId="0" borderId="32" xfId="0" applyFont="1" applyBorder="1" applyAlignment="1">
      <alignment horizontal="center"/>
    </xf>
    <xf numFmtId="0" fontId="53" fillId="0" borderId="41" xfId="0" applyFont="1" applyBorder="1" applyAlignment="1">
      <alignment horizontal="center"/>
    </xf>
    <xf numFmtId="0" fontId="39" fillId="0" borderId="0" xfId="0" applyFont="1" applyAlignment="1">
      <alignment horizontal="center"/>
    </xf>
    <xf numFmtId="0" fontId="39" fillId="0" borderId="13" xfId="0" applyFont="1" applyBorder="1" applyAlignment="1">
      <alignment horizontal="center"/>
    </xf>
    <xf numFmtId="182" fontId="39" fillId="30" borderId="32" xfId="0" applyNumberFormat="1" applyFont="1" applyFill="1" applyBorder="1" applyAlignment="1">
      <alignment horizontal="center"/>
    </xf>
    <xf numFmtId="182" fontId="39" fillId="30" borderId="40" xfId="0" applyNumberFormat="1" applyFont="1" applyFill="1" applyBorder="1" applyAlignment="1">
      <alignment horizontal="center"/>
    </xf>
    <xf numFmtId="182" fontId="39" fillId="30" borderId="41" xfId="0" applyNumberFormat="1" applyFont="1" applyFill="1" applyBorder="1" applyAlignment="1">
      <alignment horizontal="center"/>
    </xf>
    <xf numFmtId="0" fontId="36" fillId="0" borderId="42" xfId="0" applyFont="1" applyBorder="1" applyAlignment="1">
      <alignment horizontal="center"/>
    </xf>
  </cellXfs>
  <cellStyles count="56">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52" xr:uid="{16E29733-6F4D-4526-BFD4-2208F80F9B9B}"/>
    <cellStyle name="Comma 3" xfId="53" xr:uid="{C53A3F5E-A253-474B-8603-3E202ED5D413}"/>
    <cellStyle name="Currency" xfId="29" builtinId="4"/>
    <cellStyle name="Currency 2" xfId="30" xr:uid="{00000000-0005-0000-0000-00001D000000}"/>
    <cellStyle name="Currency 2 2" xfId="54" xr:uid="{F779A932-2495-4A42-A03C-8BDE49CEA55C}"/>
    <cellStyle name="Currency 3" xfId="31" xr:uid="{00000000-0005-0000-0000-00001E000000}"/>
    <cellStyle name="Currency 3 2" xfId="55" xr:uid="{0253FA44-D737-40CF-9DE9-0F47B6BE1451}"/>
    <cellStyle name="Currency 4" xfId="32" xr:uid="{00000000-0005-0000-0000-00001F000000}"/>
    <cellStyle name="Currency 5"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8000000}"/>
    <cellStyle name="Linked Cell 2" xfId="41" xr:uid="{00000000-0005-0000-0000-000029000000}"/>
    <cellStyle name="Neutral 2" xfId="42" xr:uid="{00000000-0005-0000-0000-00002A000000}"/>
    <cellStyle name="Normal" xfId="0" builtinId="0"/>
    <cellStyle name="Normal 2" xfId="43" xr:uid="{00000000-0005-0000-0000-00002C000000}"/>
    <cellStyle name="Normal 3" xfId="44" xr:uid="{00000000-0005-0000-0000-00002D000000}"/>
    <cellStyle name="Note 2" xfId="45" xr:uid="{00000000-0005-0000-0000-00002E000000}"/>
    <cellStyle name="Output 2" xfId="46" xr:uid="{00000000-0005-0000-0000-00002F000000}"/>
    <cellStyle name="Percent" xfId="47" builtinId="5"/>
    <cellStyle name="Title 2" xfId="48" xr:uid="{00000000-0005-0000-0000-000031000000}"/>
    <cellStyle name="Total 2" xfId="49" xr:uid="{00000000-0005-0000-0000-000032000000}"/>
    <cellStyle name="Total 3" xfId="50" xr:uid="{00000000-0005-0000-0000-000033000000}"/>
    <cellStyle name="Warning Text 2" xfId="51" xr:uid="{00000000-0005-0000-0000-000034000000}"/>
  </cellStyles>
  <dxfs count="1">
    <dxf>
      <fill>
        <patternFill>
          <bgColor rgb="FFFFFF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 Id="rId30"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2021</a:t>
            </a:r>
            <a:r>
              <a:rPr lang="en-US" baseline="0"/>
              <a:t> EEC Collections by Sector</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101970012369144"/>
          <c:y val="0.11412320382079191"/>
          <c:w val="0.82030430104282936"/>
          <c:h val="0.7038936027011975"/>
        </c:manualLayout>
      </c:layout>
      <c:barChart>
        <c:barDir val="col"/>
        <c:grouping val="clustered"/>
        <c:varyColors val="0"/>
        <c:ser>
          <c:idx val="0"/>
          <c:order val="0"/>
          <c:tx>
            <c:strRef>
              <c:f>'Retail Sales v EEC'!$B$17</c:f>
              <c:strCache>
                <c:ptCount val="1"/>
                <c:pt idx="0">
                  <c:v>Budget</c:v>
                </c:pt>
              </c:strCache>
            </c:strRef>
          </c:tx>
          <c:spPr>
            <a:solidFill>
              <a:schemeClr val="tx2">
                <a:lumMod val="75000"/>
              </a:schemeClr>
            </a:solidFill>
            <a:ln>
              <a:noFill/>
            </a:ln>
            <a:effectLst/>
          </c:spPr>
          <c:invertIfNegative val="0"/>
          <c:cat>
            <c:strRef>
              <c:f>'Retail Sales v EEC'!$A$18:$A$20</c:f>
              <c:strCache>
                <c:ptCount val="3"/>
                <c:pt idx="0">
                  <c:v>Residential</c:v>
                </c:pt>
                <c:pt idx="1">
                  <c:v>Commercial</c:v>
                </c:pt>
                <c:pt idx="2">
                  <c:v>Industrial</c:v>
                </c:pt>
              </c:strCache>
            </c:strRef>
          </c:cat>
          <c:val>
            <c:numRef>
              <c:f>'Retail Sales v EEC'!$B$18:$B$20</c:f>
              <c:numCache>
                <c:formatCode>"$"#,##0</c:formatCode>
                <c:ptCount val="3"/>
                <c:pt idx="0">
                  <c:v>23971458.88654479</c:v>
                </c:pt>
                <c:pt idx="1">
                  <c:v>16887621.761909448</c:v>
                </c:pt>
                <c:pt idx="2">
                  <c:v>5554813.6215446219</c:v>
                </c:pt>
              </c:numCache>
            </c:numRef>
          </c:val>
          <c:extLst>
            <c:ext xmlns:c16="http://schemas.microsoft.com/office/drawing/2014/chart" uri="{C3380CC4-5D6E-409C-BE32-E72D297353CC}">
              <c16:uniqueId val="{00000000-6D9E-4F7B-A8A9-FDE5E4698AE7}"/>
            </c:ext>
          </c:extLst>
        </c:ser>
        <c:ser>
          <c:idx val="1"/>
          <c:order val="1"/>
          <c:tx>
            <c:strRef>
              <c:f>'Retail Sales v EEC'!$C$17</c:f>
              <c:strCache>
                <c:ptCount val="1"/>
                <c:pt idx="0">
                  <c:v>Actual</c:v>
                </c:pt>
              </c:strCache>
            </c:strRef>
          </c:tx>
          <c:spPr>
            <a:solidFill>
              <a:schemeClr val="accent2">
                <a:lumMod val="50000"/>
              </a:schemeClr>
            </a:solidFill>
            <a:ln>
              <a:noFill/>
            </a:ln>
            <a:effectLst/>
          </c:spPr>
          <c:invertIfNegative val="0"/>
          <c:cat>
            <c:strRef>
              <c:f>'Retail Sales v EEC'!$A$18:$A$20</c:f>
              <c:strCache>
                <c:ptCount val="3"/>
                <c:pt idx="0">
                  <c:v>Residential</c:v>
                </c:pt>
                <c:pt idx="1">
                  <c:v>Commercial</c:v>
                </c:pt>
                <c:pt idx="2">
                  <c:v>Industrial</c:v>
                </c:pt>
              </c:strCache>
            </c:strRef>
          </c:cat>
          <c:val>
            <c:numRef>
              <c:f>'Retail Sales v EEC'!$C$18:$C$20</c:f>
              <c:numCache>
                <c:formatCode>"$"#,##0</c:formatCode>
                <c:ptCount val="3"/>
                <c:pt idx="0">
                  <c:v>25261411.799999993</c:v>
                </c:pt>
                <c:pt idx="1">
                  <c:v>17382684.18</c:v>
                </c:pt>
                <c:pt idx="2">
                  <c:v>5515499.1999999993</c:v>
                </c:pt>
              </c:numCache>
            </c:numRef>
          </c:val>
          <c:extLst>
            <c:ext xmlns:c16="http://schemas.microsoft.com/office/drawing/2014/chart" uri="{C3380CC4-5D6E-409C-BE32-E72D297353CC}">
              <c16:uniqueId val="{00000001-6D9E-4F7B-A8A9-FDE5E4698AE7}"/>
            </c:ext>
          </c:extLst>
        </c:ser>
        <c:dLbls>
          <c:showLegendKey val="0"/>
          <c:showVal val="0"/>
          <c:showCatName val="0"/>
          <c:showSerName val="0"/>
          <c:showPercent val="0"/>
          <c:showBubbleSize val="0"/>
        </c:dLbls>
        <c:gapWidth val="99"/>
        <c:overlap val="-27"/>
        <c:axId val="1926526032"/>
        <c:axId val="1926536848"/>
      </c:barChart>
      <c:catAx>
        <c:axId val="1926526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926536848"/>
        <c:crosses val="autoZero"/>
        <c:auto val="1"/>
        <c:lblAlgn val="ctr"/>
        <c:lblOffset val="100"/>
        <c:noMultiLvlLbl val="0"/>
      </c:catAx>
      <c:valAx>
        <c:axId val="1926536848"/>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926526032"/>
        <c:crosses val="autoZero"/>
        <c:crossBetween val="between"/>
        <c:dispUnits>
          <c:builtInUnit val="millions"/>
          <c:dispUnitsLbl>
            <c:layout>
              <c:manualLayout>
                <c:xMode val="edge"/>
                <c:yMode val="edge"/>
                <c:x val="1.6973280638770728E-2"/>
                <c:y val="0.3963769748061392"/>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solidFill>
          <a:schemeClr val="accent6">
            <a:lumMod val="20000"/>
            <a:lumOff val="80000"/>
          </a:schemeClr>
        </a:solidFill>
        <a:ln>
          <a:noFill/>
        </a:ln>
        <a:effectLst/>
      </c:spPr>
    </c:plotArea>
    <c:legend>
      <c:legendPos val="b"/>
      <c:overlay val="0"/>
      <c:spPr>
        <a:solidFill>
          <a:schemeClr val="accent3">
            <a:lumMod val="20000"/>
            <a:lumOff val="80000"/>
          </a:schemeClr>
        </a:solidFill>
        <a:ln>
          <a:solidFill>
            <a:schemeClr val="accent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lumMod val="85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2021 EEC Collections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101970012369144"/>
          <c:y val="0.11412320382079191"/>
          <c:w val="0.81519574421013452"/>
          <c:h val="0.74602103120647312"/>
        </c:manualLayout>
      </c:layout>
      <c:barChart>
        <c:barDir val="col"/>
        <c:grouping val="clustered"/>
        <c:varyColors val="0"/>
        <c:ser>
          <c:idx val="0"/>
          <c:order val="0"/>
          <c:tx>
            <c:strRef>
              <c:f>'Retail Sales v EEC'!$B$17</c:f>
              <c:strCache>
                <c:ptCount val="1"/>
                <c:pt idx="0">
                  <c:v>Budget</c:v>
                </c:pt>
              </c:strCache>
            </c:strRef>
          </c:tx>
          <c:spPr>
            <a:solidFill>
              <a:schemeClr val="tx2">
                <a:lumMod val="75000"/>
              </a:schemeClr>
            </a:solidFill>
            <a:ln>
              <a:noFill/>
            </a:ln>
            <a:effectLst/>
          </c:spPr>
          <c:invertIfNegative val="0"/>
          <c:dLbls>
            <c:numFmt formatCode="&quot;$&quot;#,##0.0" sourceLinked="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'Retail Sales v EEC'!$A$21</c:f>
              <c:strCache>
                <c:ptCount val="1"/>
                <c:pt idx="0">
                  <c:v>Total</c:v>
                </c:pt>
              </c:strCache>
            </c:strRef>
          </c:cat>
          <c:val>
            <c:numRef>
              <c:f>'Retail Sales v EEC'!$B$21</c:f>
              <c:numCache>
                <c:formatCode>"$"#,##0</c:formatCode>
                <c:ptCount val="1"/>
                <c:pt idx="0">
                  <c:v>46413894.269998856</c:v>
                </c:pt>
              </c:numCache>
            </c:numRef>
          </c:val>
          <c:extLst>
            <c:ext xmlns:c16="http://schemas.microsoft.com/office/drawing/2014/chart" uri="{C3380CC4-5D6E-409C-BE32-E72D297353CC}">
              <c16:uniqueId val="{00000000-724E-4B79-8040-F09C0D56FACE}"/>
            </c:ext>
          </c:extLst>
        </c:ser>
        <c:ser>
          <c:idx val="1"/>
          <c:order val="1"/>
          <c:tx>
            <c:strRef>
              <c:f>'Retail Sales v EEC'!$C$17</c:f>
              <c:strCache>
                <c:ptCount val="1"/>
                <c:pt idx="0">
                  <c:v>Actual</c:v>
                </c:pt>
              </c:strCache>
            </c:strRef>
          </c:tx>
          <c:spPr>
            <a:solidFill>
              <a:schemeClr val="accent2">
                <a:lumMod val="50000"/>
              </a:schemeClr>
            </a:solidFill>
            <a:ln>
              <a:noFill/>
            </a:ln>
            <a:effectLst/>
          </c:spPr>
          <c:invertIfNegative val="0"/>
          <c:dLbls>
            <c:numFmt formatCode="&quot;$&quot;#,##0.0" sourceLinked="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'Retail Sales v EEC'!$A$21</c:f>
              <c:strCache>
                <c:ptCount val="1"/>
                <c:pt idx="0">
                  <c:v>Total</c:v>
                </c:pt>
              </c:strCache>
            </c:strRef>
          </c:cat>
          <c:val>
            <c:numRef>
              <c:f>'Retail Sales v EEC'!$C$21</c:f>
              <c:numCache>
                <c:formatCode>"$"#,##0</c:formatCode>
                <c:ptCount val="1"/>
                <c:pt idx="0">
                  <c:v>48159595.179999992</c:v>
                </c:pt>
              </c:numCache>
            </c:numRef>
          </c:val>
          <c:extLst>
            <c:ext xmlns:c16="http://schemas.microsoft.com/office/drawing/2014/chart" uri="{C3380CC4-5D6E-409C-BE32-E72D297353CC}">
              <c16:uniqueId val="{00000001-724E-4B79-8040-F09C0D56FACE}"/>
            </c:ext>
          </c:extLst>
        </c:ser>
        <c:dLbls>
          <c:showLegendKey val="0"/>
          <c:showVal val="0"/>
          <c:showCatName val="0"/>
          <c:showSerName val="0"/>
          <c:showPercent val="0"/>
          <c:showBubbleSize val="0"/>
        </c:dLbls>
        <c:gapWidth val="99"/>
        <c:overlap val="-27"/>
        <c:axId val="1926526032"/>
        <c:axId val="1926536848"/>
      </c:barChart>
      <c:catAx>
        <c:axId val="1926526032"/>
        <c:scaling>
          <c:orientation val="minMax"/>
        </c:scaling>
        <c:delete val="1"/>
        <c:axPos val="b"/>
        <c:numFmt formatCode="General" sourceLinked="1"/>
        <c:majorTickMark val="none"/>
        <c:minorTickMark val="none"/>
        <c:tickLblPos val="nextTo"/>
        <c:crossAx val="1926536848"/>
        <c:crosses val="autoZero"/>
        <c:auto val="1"/>
        <c:lblAlgn val="ctr"/>
        <c:lblOffset val="100"/>
        <c:noMultiLvlLbl val="0"/>
      </c:catAx>
      <c:valAx>
        <c:axId val="1926536848"/>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926526032"/>
        <c:crosses val="autoZero"/>
        <c:crossBetween val="between"/>
        <c:dispUnits>
          <c:builtInUnit val="millions"/>
          <c:dispUnitsLbl>
            <c:layout>
              <c:manualLayout>
                <c:xMode val="edge"/>
                <c:yMode val="edge"/>
                <c:x val="1.6973280638770728E-2"/>
                <c:y val="0.3963769748061392"/>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solidFill>
          <a:schemeClr val="accent6">
            <a:lumMod val="20000"/>
            <a:lumOff val="80000"/>
          </a:schemeClr>
        </a:solidFill>
        <a:ln>
          <a:noFill/>
        </a:ln>
        <a:effectLst/>
      </c:spPr>
    </c:plotArea>
    <c:legend>
      <c:legendPos val="b"/>
      <c:overlay val="0"/>
      <c:spPr>
        <a:solidFill>
          <a:schemeClr val="accent3">
            <a:lumMod val="20000"/>
            <a:lumOff val="80000"/>
          </a:schemeClr>
        </a:solidFill>
        <a:ln>
          <a:solidFill>
            <a:schemeClr val="accent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lumMod val="85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2022 EEC Collections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101970012369144"/>
          <c:y val="0.11412320382079191"/>
          <c:w val="0.81519574421013452"/>
          <c:h val="0.74602103120647312"/>
        </c:manualLayout>
      </c:layout>
      <c:barChart>
        <c:barDir val="col"/>
        <c:grouping val="clustered"/>
        <c:varyColors val="0"/>
        <c:ser>
          <c:idx val="0"/>
          <c:order val="0"/>
          <c:tx>
            <c:strRef>
              <c:f>'Retail Sales v EEC'!$J$40</c:f>
              <c:strCache>
                <c:ptCount val="1"/>
                <c:pt idx="0">
                  <c:v>Budget</c:v>
                </c:pt>
              </c:strCache>
            </c:strRef>
          </c:tx>
          <c:spPr>
            <a:solidFill>
              <a:schemeClr val="tx2">
                <a:lumMod val="75000"/>
              </a:schemeClr>
            </a:solidFill>
            <a:ln>
              <a:noFill/>
            </a:ln>
            <a:effectLst/>
          </c:spPr>
          <c:invertIfNegative val="0"/>
          <c:dLbls>
            <c:numFmt formatCode="&quot;$&quot;#,##0.0" sourceLinked="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'Retail Sales v EEC'!$I$41:$I$44</c15:sqref>
                  </c15:fullRef>
                </c:ext>
              </c:extLst>
              <c:f>'Retail Sales v EEC'!$I$44</c:f>
              <c:strCache>
                <c:ptCount val="1"/>
                <c:pt idx="0">
                  <c:v>Total</c:v>
                </c:pt>
              </c:strCache>
            </c:strRef>
          </c:cat>
          <c:val>
            <c:numRef>
              <c:extLst>
                <c:ext xmlns:c15="http://schemas.microsoft.com/office/drawing/2012/chart" uri="{02D57815-91ED-43cb-92C2-25804820EDAC}">
                  <c15:fullRef>
                    <c15:sqref>'Retail Sales v EEC'!$J$41:$J$44</c15:sqref>
                  </c15:fullRef>
                </c:ext>
              </c:extLst>
              <c:f>'Retail Sales v EEC'!$J$44</c:f>
              <c:numCache>
                <c:formatCode>"$"#,##0</c:formatCode>
                <c:ptCount val="1"/>
                <c:pt idx="0">
                  <c:v>46264059.419934735</c:v>
                </c:pt>
              </c:numCache>
            </c:numRef>
          </c:val>
          <c:extLst>
            <c:ext xmlns:c16="http://schemas.microsoft.com/office/drawing/2014/chart" uri="{C3380CC4-5D6E-409C-BE32-E72D297353CC}">
              <c16:uniqueId val="{00000000-0593-4610-8485-1BF91A3D01B2}"/>
            </c:ext>
          </c:extLst>
        </c:ser>
        <c:ser>
          <c:idx val="1"/>
          <c:order val="1"/>
          <c:tx>
            <c:strRef>
              <c:f>'Retail Sales v EEC'!$K$40</c:f>
              <c:strCache>
                <c:ptCount val="1"/>
                <c:pt idx="0">
                  <c:v>Estimated</c:v>
                </c:pt>
              </c:strCache>
            </c:strRef>
          </c:tx>
          <c:spPr>
            <a:solidFill>
              <a:schemeClr val="accent2">
                <a:lumMod val="50000"/>
              </a:schemeClr>
            </a:solidFill>
            <a:ln>
              <a:noFill/>
            </a:ln>
            <a:effectLst/>
          </c:spPr>
          <c:invertIfNegative val="0"/>
          <c:dLbls>
            <c:numFmt formatCode="&quot;$&quot;#,##0.0" sourceLinked="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'Retail Sales v EEC'!$I$41:$I$44</c15:sqref>
                  </c15:fullRef>
                </c:ext>
              </c:extLst>
              <c:f>'Retail Sales v EEC'!$I$44</c:f>
              <c:strCache>
                <c:ptCount val="1"/>
                <c:pt idx="0">
                  <c:v>Total</c:v>
                </c:pt>
              </c:strCache>
            </c:strRef>
          </c:cat>
          <c:val>
            <c:numRef>
              <c:extLst>
                <c:ext xmlns:c15="http://schemas.microsoft.com/office/drawing/2012/chart" uri="{02D57815-91ED-43cb-92C2-25804820EDAC}">
                  <c15:fullRef>
                    <c15:sqref>'Retail Sales v EEC'!$K$41:$K$44</c15:sqref>
                  </c15:fullRef>
                </c:ext>
              </c:extLst>
              <c:f>'Retail Sales v EEC'!$K$44</c:f>
              <c:numCache>
                <c:formatCode>"$"#,##0</c:formatCode>
                <c:ptCount val="1"/>
                <c:pt idx="0">
                  <c:v>46725792.038050219</c:v>
                </c:pt>
              </c:numCache>
            </c:numRef>
          </c:val>
          <c:extLst>
            <c:ext xmlns:c16="http://schemas.microsoft.com/office/drawing/2014/chart" uri="{C3380CC4-5D6E-409C-BE32-E72D297353CC}">
              <c16:uniqueId val="{00000001-0593-4610-8485-1BF91A3D01B2}"/>
            </c:ext>
          </c:extLst>
        </c:ser>
        <c:dLbls>
          <c:showLegendKey val="0"/>
          <c:showVal val="0"/>
          <c:showCatName val="0"/>
          <c:showSerName val="0"/>
          <c:showPercent val="0"/>
          <c:showBubbleSize val="0"/>
        </c:dLbls>
        <c:gapWidth val="99"/>
        <c:overlap val="-27"/>
        <c:axId val="1926526032"/>
        <c:axId val="1926536848"/>
      </c:barChart>
      <c:catAx>
        <c:axId val="1926526032"/>
        <c:scaling>
          <c:orientation val="minMax"/>
        </c:scaling>
        <c:delete val="1"/>
        <c:axPos val="b"/>
        <c:numFmt formatCode="General" sourceLinked="1"/>
        <c:majorTickMark val="none"/>
        <c:minorTickMark val="none"/>
        <c:tickLblPos val="nextTo"/>
        <c:crossAx val="1926536848"/>
        <c:crosses val="autoZero"/>
        <c:auto val="1"/>
        <c:lblAlgn val="ctr"/>
        <c:lblOffset val="100"/>
        <c:noMultiLvlLbl val="0"/>
      </c:catAx>
      <c:valAx>
        <c:axId val="1926536848"/>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926526032"/>
        <c:crosses val="autoZero"/>
        <c:crossBetween val="between"/>
        <c:dispUnits>
          <c:builtInUnit val="millions"/>
          <c:dispUnitsLbl>
            <c:layout>
              <c:manualLayout>
                <c:xMode val="edge"/>
                <c:yMode val="edge"/>
                <c:x val="1.6973280638770728E-2"/>
                <c:y val="0.3963769748061392"/>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solidFill>
          <a:schemeClr val="accent6">
            <a:lumMod val="20000"/>
            <a:lumOff val="80000"/>
          </a:schemeClr>
        </a:solidFill>
        <a:ln>
          <a:noFill/>
        </a:ln>
        <a:effectLst/>
      </c:spPr>
    </c:plotArea>
    <c:legend>
      <c:legendPos val="b"/>
      <c:overlay val="0"/>
      <c:spPr>
        <a:solidFill>
          <a:schemeClr val="accent3">
            <a:lumMod val="20000"/>
            <a:lumOff val="80000"/>
          </a:schemeClr>
        </a:solidFill>
        <a:ln>
          <a:solidFill>
            <a:schemeClr val="accent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lumMod val="85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2022</a:t>
            </a:r>
            <a:r>
              <a:rPr lang="en-US" baseline="0"/>
              <a:t> EEC Collections by Sector</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101970012369144"/>
          <c:y val="0.11412320382079191"/>
          <c:w val="0.82030430104282936"/>
          <c:h val="0.7038936027011975"/>
        </c:manualLayout>
      </c:layout>
      <c:barChart>
        <c:barDir val="col"/>
        <c:grouping val="clustered"/>
        <c:varyColors val="0"/>
        <c:ser>
          <c:idx val="0"/>
          <c:order val="0"/>
          <c:tx>
            <c:strRef>
              <c:f>'Retail Sales v EEC'!$J$40</c:f>
              <c:strCache>
                <c:ptCount val="1"/>
                <c:pt idx="0">
                  <c:v>Budget</c:v>
                </c:pt>
              </c:strCache>
            </c:strRef>
          </c:tx>
          <c:spPr>
            <a:solidFill>
              <a:schemeClr val="tx2">
                <a:lumMod val="75000"/>
              </a:schemeClr>
            </a:solidFill>
            <a:ln>
              <a:noFill/>
            </a:ln>
            <a:effectLst/>
          </c:spPr>
          <c:invertIfNegative val="0"/>
          <c:cat>
            <c:strRef>
              <c:f>'Retail Sales v EEC'!$I$41:$I$43</c:f>
              <c:strCache>
                <c:ptCount val="3"/>
                <c:pt idx="0">
                  <c:v>Residential</c:v>
                </c:pt>
                <c:pt idx="1">
                  <c:v>Commercial</c:v>
                </c:pt>
                <c:pt idx="2">
                  <c:v>Industrial</c:v>
                </c:pt>
              </c:strCache>
            </c:strRef>
          </c:cat>
          <c:val>
            <c:numRef>
              <c:f>'Retail Sales v EEC'!$J$41:$J$43</c:f>
              <c:numCache>
                <c:formatCode>"$"#,##0</c:formatCode>
                <c:ptCount val="3"/>
                <c:pt idx="0">
                  <c:v>23402001.622796677</c:v>
                </c:pt>
                <c:pt idx="1">
                  <c:v>17473824.322025269</c:v>
                </c:pt>
                <c:pt idx="2">
                  <c:v>5388233.4751127912</c:v>
                </c:pt>
              </c:numCache>
            </c:numRef>
          </c:val>
          <c:extLst>
            <c:ext xmlns:c16="http://schemas.microsoft.com/office/drawing/2014/chart" uri="{C3380CC4-5D6E-409C-BE32-E72D297353CC}">
              <c16:uniqueId val="{00000000-3A19-45A8-AC87-C71EED714B5A}"/>
            </c:ext>
          </c:extLst>
        </c:ser>
        <c:ser>
          <c:idx val="1"/>
          <c:order val="1"/>
          <c:tx>
            <c:strRef>
              <c:f>'Retail Sales v EEC'!$K$40</c:f>
              <c:strCache>
                <c:ptCount val="1"/>
                <c:pt idx="0">
                  <c:v>Estimated</c:v>
                </c:pt>
              </c:strCache>
            </c:strRef>
          </c:tx>
          <c:spPr>
            <a:solidFill>
              <a:schemeClr val="accent2">
                <a:lumMod val="50000"/>
              </a:schemeClr>
            </a:solidFill>
            <a:ln>
              <a:noFill/>
            </a:ln>
            <a:effectLst/>
          </c:spPr>
          <c:invertIfNegative val="0"/>
          <c:cat>
            <c:strRef>
              <c:f>'Retail Sales v EEC'!$I$41:$I$43</c:f>
              <c:strCache>
                <c:ptCount val="3"/>
                <c:pt idx="0">
                  <c:v>Residential</c:v>
                </c:pt>
                <c:pt idx="1">
                  <c:v>Commercial</c:v>
                </c:pt>
                <c:pt idx="2">
                  <c:v>Industrial</c:v>
                </c:pt>
              </c:strCache>
            </c:strRef>
          </c:cat>
          <c:val>
            <c:numRef>
              <c:f>'Retail Sales v EEC'!$K$41:$K$43</c:f>
              <c:numCache>
                <c:formatCode>"$"#,##0</c:formatCode>
                <c:ptCount val="3"/>
                <c:pt idx="0">
                  <c:v>23951137.494618792</c:v>
                </c:pt>
                <c:pt idx="1">
                  <c:v>17343508.069244817</c:v>
                </c:pt>
                <c:pt idx="2">
                  <c:v>5431146.4741866169</c:v>
                </c:pt>
              </c:numCache>
            </c:numRef>
          </c:val>
          <c:extLst>
            <c:ext xmlns:c16="http://schemas.microsoft.com/office/drawing/2014/chart" uri="{C3380CC4-5D6E-409C-BE32-E72D297353CC}">
              <c16:uniqueId val="{00000001-3A19-45A8-AC87-C71EED714B5A}"/>
            </c:ext>
          </c:extLst>
        </c:ser>
        <c:dLbls>
          <c:showLegendKey val="0"/>
          <c:showVal val="0"/>
          <c:showCatName val="0"/>
          <c:showSerName val="0"/>
          <c:showPercent val="0"/>
          <c:showBubbleSize val="0"/>
        </c:dLbls>
        <c:gapWidth val="99"/>
        <c:overlap val="-27"/>
        <c:axId val="1926526032"/>
        <c:axId val="1926536848"/>
      </c:barChart>
      <c:catAx>
        <c:axId val="1926526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926536848"/>
        <c:crosses val="autoZero"/>
        <c:auto val="1"/>
        <c:lblAlgn val="ctr"/>
        <c:lblOffset val="100"/>
        <c:noMultiLvlLbl val="0"/>
      </c:catAx>
      <c:valAx>
        <c:axId val="1926536848"/>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926526032"/>
        <c:crosses val="autoZero"/>
        <c:crossBetween val="between"/>
        <c:dispUnits>
          <c:builtInUnit val="millions"/>
          <c:dispUnitsLbl>
            <c:layout>
              <c:manualLayout>
                <c:xMode val="edge"/>
                <c:yMode val="edge"/>
                <c:x val="1.6973280638770728E-2"/>
                <c:y val="0.3963769748061392"/>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solidFill>
          <a:schemeClr val="accent6">
            <a:lumMod val="20000"/>
            <a:lumOff val="80000"/>
          </a:schemeClr>
        </a:solidFill>
        <a:ln>
          <a:noFill/>
        </a:ln>
        <a:effectLst/>
      </c:spPr>
    </c:plotArea>
    <c:legend>
      <c:legendPos val="b"/>
      <c:overlay val="0"/>
      <c:spPr>
        <a:solidFill>
          <a:schemeClr val="accent3">
            <a:lumMod val="20000"/>
            <a:lumOff val="80000"/>
          </a:schemeClr>
        </a:solidFill>
        <a:ln>
          <a:solidFill>
            <a:schemeClr val="accent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lumMod val="85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914400</xdr:colOff>
      <xdr:row>8</xdr:row>
      <xdr:rowOff>104775</xdr:rowOff>
    </xdr:from>
    <xdr:to>
      <xdr:col>1</xdr:col>
      <xdr:colOff>28575</xdr:colOff>
      <xdr:row>8</xdr:row>
      <xdr:rowOff>104775</xdr:rowOff>
    </xdr:to>
    <xdr:sp macro="" textlink="">
      <xdr:nvSpPr>
        <xdr:cNvPr id="4" name="Line 1">
          <a:extLst>
            <a:ext uri="{FF2B5EF4-FFF2-40B4-BE49-F238E27FC236}">
              <a16:creationId xmlns:a16="http://schemas.microsoft.com/office/drawing/2014/main" id="{AE3C485E-167A-4AB3-8FD9-81222C4B056E}"/>
            </a:ext>
          </a:extLst>
        </xdr:cNvPr>
        <xdr:cNvSpPr>
          <a:spLocks noChangeShapeType="1"/>
        </xdr:cNvSpPr>
      </xdr:nvSpPr>
      <xdr:spPr bwMode="auto">
        <a:xfrm>
          <a:off x="914400" y="111347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9</xdr:row>
      <xdr:rowOff>104775</xdr:rowOff>
    </xdr:from>
    <xdr:to>
      <xdr:col>0</xdr:col>
      <xdr:colOff>1838325</xdr:colOff>
      <xdr:row>9</xdr:row>
      <xdr:rowOff>104775</xdr:rowOff>
    </xdr:to>
    <xdr:sp macro="" textlink="">
      <xdr:nvSpPr>
        <xdr:cNvPr id="5" name="Line 2">
          <a:extLst>
            <a:ext uri="{FF2B5EF4-FFF2-40B4-BE49-F238E27FC236}">
              <a16:creationId xmlns:a16="http://schemas.microsoft.com/office/drawing/2014/main" id="{60DDF8E1-0A85-40FF-B795-8486A559E692}"/>
            </a:ext>
          </a:extLst>
        </xdr:cNvPr>
        <xdr:cNvSpPr>
          <a:spLocks noChangeShapeType="1"/>
        </xdr:cNvSpPr>
      </xdr:nvSpPr>
      <xdr:spPr bwMode="auto">
        <a:xfrm>
          <a:off x="790575" y="113252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43</xdr:row>
      <xdr:rowOff>104775</xdr:rowOff>
    </xdr:from>
    <xdr:to>
      <xdr:col>1</xdr:col>
      <xdr:colOff>28575</xdr:colOff>
      <xdr:row>43</xdr:row>
      <xdr:rowOff>104775</xdr:rowOff>
    </xdr:to>
    <xdr:sp macro="" textlink="">
      <xdr:nvSpPr>
        <xdr:cNvPr id="6" name="Line 1">
          <a:extLst>
            <a:ext uri="{FF2B5EF4-FFF2-40B4-BE49-F238E27FC236}">
              <a16:creationId xmlns:a16="http://schemas.microsoft.com/office/drawing/2014/main" id="{B515130C-F780-43AD-9378-13014C13C6E8}"/>
            </a:ext>
          </a:extLst>
        </xdr:cNvPr>
        <xdr:cNvSpPr>
          <a:spLocks noChangeShapeType="1"/>
        </xdr:cNvSpPr>
      </xdr:nvSpPr>
      <xdr:spPr bwMode="auto">
        <a:xfrm>
          <a:off x="914400" y="1524000"/>
          <a:ext cx="1419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44</xdr:row>
      <xdr:rowOff>104775</xdr:rowOff>
    </xdr:from>
    <xdr:to>
      <xdr:col>0</xdr:col>
      <xdr:colOff>1838325</xdr:colOff>
      <xdr:row>44</xdr:row>
      <xdr:rowOff>104775</xdr:rowOff>
    </xdr:to>
    <xdr:sp macro="" textlink="">
      <xdr:nvSpPr>
        <xdr:cNvPr id="7" name="Line 2">
          <a:extLst>
            <a:ext uri="{FF2B5EF4-FFF2-40B4-BE49-F238E27FC236}">
              <a16:creationId xmlns:a16="http://schemas.microsoft.com/office/drawing/2014/main" id="{96B27DEC-657F-4A79-8203-26D31AB61AEF}"/>
            </a:ext>
          </a:extLst>
        </xdr:cNvPr>
        <xdr:cNvSpPr>
          <a:spLocks noChangeShapeType="1"/>
        </xdr:cNvSpPr>
      </xdr:nvSpPr>
      <xdr:spPr bwMode="auto">
        <a:xfrm>
          <a:off x="790575" y="1714500"/>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79</xdr:row>
      <xdr:rowOff>104775</xdr:rowOff>
    </xdr:from>
    <xdr:to>
      <xdr:col>1</xdr:col>
      <xdr:colOff>28575</xdr:colOff>
      <xdr:row>79</xdr:row>
      <xdr:rowOff>104775</xdr:rowOff>
    </xdr:to>
    <xdr:sp macro="" textlink="">
      <xdr:nvSpPr>
        <xdr:cNvPr id="8" name="Line 1">
          <a:extLst>
            <a:ext uri="{FF2B5EF4-FFF2-40B4-BE49-F238E27FC236}">
              <a16:creationId xmlns:a16="http://schemas.microsoft.com/office/drawing/2014/main" id="{4409567A-3699-4EDF-AB6D-A2D8634C2E34}"/>
            </a:ext>
          </a:extLst>
        </xdr:cNvPr>
        <xdr:cNvSpPr>
          <a:spLocks noChangeShapeType="1"/>
        </xdr:cNvSpPr>
      </xdr:nvSpPr>
      <xdr:spPr bwMode="auto">
        <a:xfrm>
          <a:off x="914400" y="8143875"/>
          <a:ext cx="1419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80</xdr:row>
      <xdr:rowOff>104775</xdr:rowOff>
    </xdr:from>
    <xdr:to>
      <xdr:col>0</xdr:col>
      <xdr:colOff>1838325</xdr:colOff>
      <xdr:row>80</xdr:row>
      <xdr:rowOff>104775</xdr:rowOff>
    </xdr:to>
    <xdr:sp macro="" textlink="">
      <xdr:nvSpPr>
        <xdr:cNvPr id="9" name="Line 2">
          <a:extLst>
            <a:ext uri="{FF2B5EF4-FFF2-40B4-BE49-F238E27FC236}">
              <a16:creationId xmlns:a16="http://schemas.microsoft.com/office/drawing/2014/main" id="{E293B9F9-E944-420A-BCB9-013083AC5327}"/>
            </a:ext>
          </a:extLst>
        </xdr:cNvPr>
        <xdr:cNvSpPr>
          <a:spLocks noChangeShapeType="1"/>
        </xdr:cNvSpPr>
      </xdr:nvSpPr>
      <xdr:spPr bwMode="auto">
        <a:xfrm>
          <a:off x="790575" y="833437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914400</xdr:colOff>
      <xdr:row>59</xdr:row>
      <xdr:rowOff>104775</xdr:rowOff>
    </xdr:from>
    <xdr:to>
      <xdr:col>1</xdr:col>
      <xdr:colOff>28575</xdr:colOff>
      <xdr:row>59</xdr:row>
      <xdr:rowOff>104775</xdr:rowOff>
    </xdr:to>
    <xdr:sp macro="" textlink="">
      <xdr:nvSpPr>
        <xdr:cNvPr id="141527" name="Line 1">
          <a:extLst>
            <a:ext uri="{FF2B5EF4-FFF2-40B4-BE49-F238E27FC236}">
              <a16:creationId xmlns:a16="http://schemas.microsoft.com/office/drawing/2014/main" id="{2FD7F993-D475-4D06-8F20-230FB0C94D6E}"/>
            </a:ext>
          </a:extLst>
        </xdr:cNvPr>
        <xdr:cNvSpPr>
          <a:spLocks noChangeShapeType="1"/>
        </xdr:cNvSpPr>
      </xdr:nvSpPr>
      <xdr:spPr bwMode="auto">
        <a:xfrm>
          <a:off x="914400" y="115157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60</xdr:row>
      <xdr:rowOff>104775</xdr:rowOff>
    </xdr:from>
    <xdr:to>
      <xdr:col>0</xdr:col>
      <xdr:colOff>1838325</xdr:colOff>
      <xdr:row>60</xdr:row>
      <xdr:rowOff>104775</xdr:rowOff>
    </xdr:to>
    <xdr:sp macro="" textlink="">
      <xdr:nvSpPr>
        <xdr:cNvPr id="141528" name="Line 2">
          <a:extLst>
            <a:ext uri="{FF2B5EF4-FFF2-40B4-BE49-F238E27FC236}">
              <a16:creationId xmlns:a16="http://schemas.microsoft.com/office/drawing/2014/main" id="{26D32375-8B41-4E86-B55D-3DD9A479B457}"/>
            </a:ext>
          </a:extLst>
        </xdr:cNvPr>
        <xdr:cNvSpPr>
          <a:spLocks noChangeShapeType="1"/>
        </xdr:cNvSpPr>
      </xdr:nvSpPr>
      <xdr:spPr bwMode="auto">
        <a:xfrm>
          <a:off x="790575" y="117062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914400</xdr:colOff>
      <xdr:row>13</xdr:row>
      <xdr:rowOff>104775</xdr:rowOff>
    </xdr:from>
    <xdr:to>
      <xdr:col>1</xdr:col>
      <xdr:colOff>28575</xdr:colOff>
      <xdr:row>13</xdr:row>
      <xdr:rowOff>104775</xdr:rowOff>
    </xdr:to>
    <xdr:sp macro="" textlink="">
      <xdr:nvSpPr>
        <xdr:cNvPr id="141529" name="Line 3">
          <a:extLst>
            <a:ext uri="{FF2B5EF4-FFF2-40B4-BE49-F238E27FC236}">
              <a16:creationId xmlns:a16="http://schemas.microsoft.com/office/drawing/2014/main" id="{425B96C0-D0A4-4C1E-9D9E-BA76E7291034}"/>
            </a:ext>
          </a:extLst>
        </xdr:cNvPr>
        <xdr:cNvSpPr>
          <a:spLocks noChangeShapeType="1"/>
        </xdr:cNvSpPr>
      </xdr:nvSpPr>
      <xdr:spPr bwMode="auto">
        <a:xfrm>
          <a:off x="914400" y="2409825"/>
          <a:ext cx="13049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790575</xdr:colOff>
      <xdr:row>14</xdr:row>
      <xdr:rowOff>104775</xdr:rowOff>
    </xdr:from>
    <xdr:to>
      <xdr:col>0</xdr:col>
      <xdr:colOff>1838325</xdr:colOff>
      <xdr:row>14</xdr:row>
      <xdr:rowOff>104775</xdr:rowOff>
    </xdr:to>
    <xdr:sp macro="" textlink="">
      <xdr:nvSpPr>
        <xdr:cNvPr id="141530" name="Line 4">
          <a:extLst>
            <a:ext uri="{FF2B5EF4-FFF2-40B4-BE49-F238E27FC236}">
              <a16:creationId xmlns:a16="http://schemas.microsoft.com/office/drawing/2014/main" id="{9CEC8660-19FC-48A7-8EBD-1BFC88C58B2E}"/>
            </a:ext>
          </a:extLst>
        </xdr:cNvPr>
        <xdr:cNvSpPr>
          <a:spLocks noChangeShapeType="1"/>
        </xdr:cNvSpPr>
      </xdr:nvSpPr>
      <xdr:spPr bwMode="auto">
        <a:xfrm>
          <a:off x="790575" y="2600325"/>
          <a:ext cx="10477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533400</xdr:colOff>
      <xdr:row>13</xdr:row>
      <xdr:rowOff>23811</xdr:rowOff>
    </xdr:from>
    <xdr:to>
      <xdr:col>14</xdr:col>
      <xdr:colOff>19050</xdr:colOff>
      <xdr:row>31</xdr:row>
      <xdr:rowOff>95249</xdr:rowOff>
    </xdr:to>
    <xdr:graphicFrame macro="">
      <xdr:nvGraphicFramePr>
        <xdr:cNvPr id="2" name="Chart 1">
          <a:extLst>
            <a:ext uri="{FF2B5EF4-FFF2-40B4-BE49-F238E27FC236}">
              <a16:creationId xmlns:a16="http://schemas.microsoft.com/office/drawing/2014/main" id="{29643B06-3F44-762C-D1A0-6E51B31A99C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161925</xdr:colOff>
      <xdr:row>23</xdr:row>
      <xdr:rowOff>76200</xdr:rowOff>
    </xdr:from>
    <xdr:to>
      <xdr:col>5</xdr:col>
      <xdr:colOff>180975</xdr:colOff>
      <xdr:row>42</xdr:row>
      <xdr:rowOff>14288</xdr:rowOff>
    </xdr:to>
    <xdr:graphicFrame macro="">
      <xdr:nvGraphicFramePr>
        <xdr:cNvPr id="3" name="Chart 2">
          <a:extLst>
            <a:ext uri="{FF2B5EF4-FFF2-40B4-BE49-F238E27FC236}">
              <a16:creationId xmlns:a16="http://schemas.microsoft.com/office/drawing/2014/main" id="{F10087AF-00C4-4F0E-A424-B5A5593F8B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44</xdr:row>
      <xdr:rowOff>0</xdr:rowOff>
    </xdr:from>
    <xdr:to>
      <xdr:col>5</xdr:col>
      <xdr:colOff>19050</xdr:colOff>
      <xdr:row>62</xdr:row>
      <xdr:rowOff>128588</xdr:rowOff>
    </xdr:to>
    <xdr:graphicFrame macro="">
      <xdr:nvGraphicFramePr>
        <xdr:cNvPr id="4" name="Chart 3">
          <a:extLst>
            <a:ext uri="{FF2B5EF4-FFF2-40B4-BE49-F238E27FC236}">
              <a16:creationId xmlns:a16="http://schemas.microsoft.com/office/drawing/2014/main" id="{7CC1971A-4335-4901-842D-A95A57C661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0</xdr:colOff>
      <xdr:row>48</xdr:row>
      <xdr:rowOff>0</xdr:rowOff>
    </xdr:from>
    <xdr:to>
      <xdr:col>16</xdr:col>
      <xdr:colOff>95250</xdr:colOff>
      <xdr:row>66</xdr:row>
      <xdr:rowOff>100013</xdr:rowOff>
    </xdr:to>
    <xdr:graphicFrame macro="">
      <xdr:nvGraphicFramePr>
        <xdr:cNvPr id="5" name="Chart 4">
          <a:extLst>
            <a:ext uri="{FF2B5EF4-FFF2-40B4-BE49-F238E27FC236}">
              <a16:creationId xmlns:a16="http://schemas.microsoft.com/office/drawing/2014/main" id="{E1DA2447-F5D8-4F17-B009-640DAC8E0B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gulatory/Cases/2020/20-2022-INV%202021%20EEC%20Rates/Filings/2020-09-04_FINAL_2021%20Efficiency%20Vermont%20EEC%20Calculation_Filing%20Cop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FA Data"/>
      <sheetName val="2019 Detailed True-up"/>
      <sheetName val="Sheet1"/>
      <sheetName val="Gross Consumption"/>
      <sheetName val="2018-2020 C&amp;I Comp"/>
      <sheetName val="2018-2019 Comp"/>
      <sheetName val="Util Rev and Load Data"/>
      <sheetName val="EEC Uncollectibles"/>
      <sheetName val="Net Meter Est"/>
      <sheetName val="EEC Collection True-Up"/>
      <sheetName val="2020 Collection Forecast"/>
      <sheetName val="EEC Calculation"/>
      <sheetName val="EEC Rates Report"/>
      <sheetName val="2021 Rate Factors"/>
    </sheetNames>
    <sheetDataSet>
      <sheetData sheetId="0"/>
      <sheetData sheetId="1"/>
      <sheetData sheetId="2"/>
      <sheetData sheetId="3"/>
      <sheetData sheetId="4"/>
      <sheetData sheetId="5"/>
      <sheetData sheetId="6">
        <row r="26">
          <cell r="AA26">
            <v>71949207</v>
          </cell>
        </row>
      </sheetData>
      <sheetData sheetId="7"/>
      <sheetData sheetId="8"/>
      <sheetData sheetId="9"/>
      <sheetData sheetId="10"/>
      <sheetData sheetId="11"/>
      <sheetData sheetId="12"/>
      <sheetData sheetId="13"/>
    </sheetDataSet>
  </externalBook>
</externalLink>
</file>

<file path=xl/persons/person.xml><?xml version="1.0" encoding="utf-8"?>
<personList xmlns="http://schemas.microsoft.com/office/spreadsheetml/2018/threadedcomments" xmlns:x="http://schemas.openxmlformats.org/spreadsheetml/2006/main">
  <person displayName="Jim Massie" id="{00B488F6-BF05-458C-8A95-28C41C04F4AC}" userId="S::jmassie@veic.org::80dfa999-5526-4642-837c-b5fa1cd05ad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307" dT="2020-06-16T17:56:08.80" personId="{00B488F6-BF05-458C-8A95-28C41C04F4AC}" id="{868A9134-91CA-4557-8B61-E80A7705F4BF}">
    <text>used avg for Jan-Aug of 314 kWh per kW</text>
  </threadedComment>
  <threadedComment ref="C462" dT="2020-06-16T17:57:02.26" personId="{00B488F6-BF05-458C-8A95-28C41C04F4AC}" id="{26F91F11-45C1-4611-8CFC-339B058E0202}">
    <text>used avg for year of 414-was 43,179</text>
  </threadedComment>
</ThreadedComments>
</file>

<file path=xl/threadedComments/threadedComment2.xml><?xml version="1.0" encoding="utf-8"?>
<ThreadedComments xmlns="http://schemas.microsoft.com/office/spreadsheetml/2018/threadedcomments" xmlns:x="http://schemas.openxmlformats.org/spreadsheetml/2006/main">
  <threadedComment ref="A24" dT="2022-08-02T18:30:06.27" personId="{00B488F6-BF05-458C-8A95-28C41C04F4AC}" id="{07AA3CDE-CB2F-437B-8421-C5FAFF525D64}">
    <text>per 8/1 filing</text>
  </threadedComment>
  <threadedComment ref="A25" dT="2022-08-02T18:40:21.70" personId="{00B488F6-BF05-458C-8A95-28C41C04F4AC}" id="{26EC4265-FBA1-4E70-9232-E156E12E32CE}">
    <text>per 8/1 filing</text>
  </threadedComment>
  <threadedComment ref="A26" dT="2022-08-02T18:54:21.44" personId="{00B488F6-BF05-458C-8A95-28C41C04F4AC}" id="{663756CD-0A18-472F-86CD-F5FE52054AAD}">
    <text>per 8/1 filing</text>
  </threadedComment>
  <threadedComment ref="A27" dT="2022-08-02T18:54:21.44" personId="{00B488F6-BF05-458C-8A95-28C41C04F4AC}" id="{DA6114A6-5E8F-492D-AC33-C3583266B590}">
    <text>per 8/1 filing</text>
  </threadedComment>
  <threadedComment ref="A28" dT="2022-08-02T15:46:03.21" personId="{00B488F6-BF05-458C-8A95-28C41C04F4AC}" id="{AED677AC-7D3D-4DB5-8B1C-DF9D741B05B9}">
    <text>per 8/01 filing</text>
  </threadedComment>
  <threadedComment ref="A29" dT="2022-08-02T19:22:06.72" personId="{00B488F6-BF05-458C-8A95-28C41C04F4AC}" id="{BD4D1D35-8998-49E1-B622-F5602FDD0FBE}">
    <text>per 8/1 filing</text>
  </threadedComment>
  <threadedComment ref="A30" dT="2022-07-27T18:26:23.07" personId="{00B488F6-BF05-458C-8A95-28C41C04F4AC}" id="{33862F5D-8FAD-4EC8-AE90-950568F307AC}">
    <text>per 8/1 filing</text>
  </threadedComment>
  <threadedComment ref="A31" dT="2022-08-02T16:03:16.78" personId="{00B488F6-BF05-458C-8A95-28C41C04F4AC}" id="{D18E1813-7897-42FB-B839-6D78B9373FF0}">
    <text>per 8/1 filing</text>
  </threadedComment>
  <threadedComment ref="A32" dT="2022-08-02T19:32:29.67" personId="{00B488F6-BF05-458C-8A95-28C41C04F4AC}" id="{5141933A-1AB7-4CE6-AEA0-01D6286E99BE}">
    <text>per 8/1 filing</text>
  </threadedComment>
  <threadedComment ref="A33" dT="2022-08-02T17:30:03.82" personId="{00B488F6-BF05-458C-8A95-28C41C04F4AC}" id="{7CA308B6-9D89-4E3F-BD7D-B09AE46DFC5B}">
    <text>per 8/1 filing</text>
  </threadedComment>
  <threadedComment ref="A34" dT="2022-08-02T19:39:14.49" personId="{00B488F6-BF05-458C-8A95-28C41C04F4AC}" id="{90A6E416-52C7-4570-8A72-665F59C1DCC8}">
    <text>per 8/1 filing</text>
  </threadedComment>
  <threadedComment ref="A35" dT="2022-08-02T19:46:30.00" personId="{00B488F6-BF05-458C-8A95-28C41C04F4AC}" id="{BC0BBC28-99E6-4CB8-8A80-87136F0FEB44}">
    <text>per 8/1 filing</text>
  </threadedComment>
  <threadedComment ref="A36" dT="2022-08-02T15:58:16.04" personId="{00B488F6-BF05-458C-8A95-28C41C04F4AC}" id="{C7FDAA8E-8B05-4C21-91D6-D553076F1406}">
    <text>per 8/1 filing</text>
  </threadedComment>
  <threadedComment ref="A37" dT="2022-08-02T19:51:58.20" personId="{00B488F6-BF05-458C-8A95-28C41C04F4AC}" id="{01C5C1D9-8864-4FA4-AE4B-3F93B399192A}">
    <text>per 8/1 filing</text>
  </threadedComment>
  <threadedComment ref="A38" dT="2022-08-02T13:51:04.40" personId="{00B488F6-BF05-458C-8A95-28C41C04F4AC}" id="{C75564B9-CD00-4F32-8125-E221AF780965}">
    <text>filed on 8/1</text>
  </threadedComment>
  <threadedComment ref="A39" dT="2022-08-02T16:40:52.93" personId="{00B488F6-BF05-458C-8A95-28C41C04F4AC}" id="{3822F3EF-DA15-4243-A66A-6FA0D8F94D0B}">
    <text>per 8/1 filing</text>
  </threadedComment>
  <threadedComment ref="AE69" dT="2021-07-28T21:28:57.82" personId="{00B488F6-BF05-458C-8A95-28C41C04F4AC}" id="{D62E2E5E-1B44-4BF2-B6F1-728E5B926BC3}">
    <text>includes an estimate of net metering data</text>
  </threadedComment>
  <threadedComment ref="A70" dT="2022-08-02T18:30:06.27" personId="{00B488F6-BF05-458C-8A95-28C41C04F4AC}" id="{98FC8D9B-FCCE-4D65-86B3-524F39FDF764}">
    <text>per 8/1 filing</text>
  </threadedComment>
  <threadedComment ref="A71" dT="2022-08-02T18:40:21.70" personId="{00B488F6-BF05-458C-8A95-28C41C04F4AC}" id="{0E5B8539-2491-4F06-A3C9-61B96D6CC512}">
    <text>per 8/1 filing</text>
  </threadedComment>
  <threadedComment ref="A72" dT="2022-08-02T18:40:21.70" personId="{00B488F6-BF05-458C-8A95-28C41C04F4AC}" id="{057F44B8-0028-470E-BD35-FACF6BE497F5}">
    <text>per 8/1 filing</text>
  </threadedComment>
  <threadedComment ref="A73" dT="2022-08-02T18:54:21.44" personId="{00B488F6-BF05-458C-8A95-28C41C04F4AC}" id="{4538DF33-B21A-4E47-8040-D3E7D2BB75EE}">
    <text>per 8/1 filing</text>
  </threadedComment>
  <threadedComment ref="A74" dT="2022-08-02T15:46:03.21" personId="{00B488F6-BF05-458C-8A95-28C41C04F4AC}" id="{D4B9D00E-6D5C-4C17-AEFA-7F5A822DB61D}">
    <text>per 8/01 filing</text>
  </threadedComment>
  <threadedComment ref="A75" dT="2022-08-02T19:22:06.72" personId="{00B488F6-BF05-458C-8A95-28C41C04F4AC}" id="{0499CB0F-A7C9-40FC-B4CB-8531084A45CB}">
    <text>per 8/1 filing</text>
  </threadedComment>
  <threadedComment ref="A76" dT="2022-07-27T18:26:23.07" personId="{00B488F6-BF05-458C-8A95-28C41C04F4AC}" id="{67C50C4E-AF8B-403C-ADB8-427643B6FF3E}">
    <text>per 8/1 filing</text>
  </threadedComment>
  <threadedComment ref="A77" dT="2022-08-02T16:03:16.78" personId="{00B488F6-BF05-458C-8A95-28C41C04F4AC}" id="{36A54696-79E8-49AD-85DB-47FCA16696CD}">
    <text>per 8/1 filing</text>
  </threadedComment>
  <threadedComment ref="AM77" dT="2022-06-22T20:36:05.64" personId="{00B488F6-BF05-458C-8A95-28C41C04F4AC}" id="{09CD6754-8A8A-49A3-9BA5-C218C1E3F450}">
    <text>this matches the monthly reported total</text>
  </threadedComment>
  <threadedComment ref="A78" dT="2022-08-02T19:32:29.67" personId="{00B488F6-BF05-458C-8A95-28C41C04F4AC}" id="{F90185D3-2FD1-493D-8A08-767A752C18A6}">
    <text>per 8/1 filing</text>
  </threadedComment>
  <threadedComment ref="A79" dT="2022-08-02T17:30:03.82" personId="{00B488F6-BF05-458C-8A95-28C41C04F4AC}" id="{82C2BD71-4C3B-40C7-8619-4A04B6EEF03E}">
    <text>per 8/1 filing</text>
  </threadedComment>
  <threadedComment ref="A80" dT="2022-08-02T19:39:14.49" personId="{00B488F6-BF05-458C-8A95-28C41C04F4AC}" id="{41A9BEE9-5407-4117-9BF1-5C079C65457E}">
    <text>per 8/1 filing</text>
  </threadedComment>
  <threadedComment ref="A81" dT="2022-08-02T19:46:30.00" personId="{00B488F6-BF05-458C-8A95-28C41C04F4AC}" id="{B30C901A-5DA1-4646-852D-E26BA3A8FBFB}">
    <text>per 8/1 filing</text>
  </threadedComment>
  <threadedComment ref="BF81" dT="2022-07-25T18:03:42.38" personId="{00B488F6-BF05-458C-8A95-28C41C04F4AC}" id="{5A7FF280-D3C7-440D-B95A-8977E7BD1E4C}">
    <text>Ethan Allen</text>
  </threadedComment>
  <threadedComment ref="A82" dT="2022-08-02T15:58:16.04" personId="{00B488F6-BF05-458C-8A95-28C41C04F4AC}" id="{A53EECAC-24B9-4A17-A1D2-3EE3300F6E3D}">
    <text>per 8/1 filing</text>
  </threadedComment>
  <threadedComment ref="A83" dT="2022-08-02T19:51:58.20" personId="{00B488F6-BF05-458C-8A95-28C41C04F4AC}" id="{7B237E95-277E-4F50-BBB1-8AC0A37E2692}">
    <text>per 8/1 filing</text>
  </threadedComment>
  <threadedComment ref="A84" dT="2022-08-02T13:51:04.40" personId="{00B488F6-BF05-458C-8A95-28C41C04F4AC}" id="{EDED3CEE-6E4B-4B1E-8926-5905E111F6DA}">
    <text>filed on 8/1</text>
  </threadedComment>
  <threadedComment ref="AQ84" dT="2022-06-22T20:33:29.18" personId="{00B488F6-BF05-458C-8A95-28C41C04F4AC}" id="{405FAA49-BA95-46B7-B0F6-80F424668779}">
    <text>the reported monthly total to Scott C was 66,428,473</text>
  </threadedComment>
  <threadedComment ref="AU84" dT="2022-06-22T20:31:43.32" personId="{00B488F6-BF05-458C-8A95-28C41C04F4AC}" id="{5033FF4B-EA94-477C-BF8D-D690D1A6E1CA}">
    <text>was reported as 378,299 but is obviously incorrect as the monthlies total 22,442</text>
  </threadedComment>
  <threadedComment ref="A85" dT="2022-08-02T16:40:52.93" personId="{00B488F6-BF05-458C-8A95-28C41C04F4AC}" id="{664D300B-D350-4BC6-8CD6-EC22319DE769}">
    <text>per 8/1 filing</text>
  </threadedComment>
  <threadedComment ref="AF85" dT="2022-06-22T20:10:14.68" personId="{00B488F6-BF05-458C-8A95-28C41C04F4AC}" id="{13910550-23F8-41C6-A868-80318993B607}">
    <text>apparent error in 2021 reported EEC data</text>
  </threadedComment>
</ThreadedComments>
</file>

<file path=xl/threadedComments/threadedComment3.xml><?xml version="1.0" encoding="utf-8"?>
<ThreadedComments xmlns="http://schemas.microsoft.com/office/spreadsheetml/2018/threadedcomments" xmlns:x="http://schemas.openxmlformats.org/spreadsheetml/2006/main">
  <threadedComment ref="B17" dT="2022-09-01T14:03:43.45" personId="{00B488F6-BF05-458C-8A95-28C41C04F4AC}" id="{EBB011EA-B7DF-40EE-8D97-8E3DBF1BDF6A}">
    <text>Approved 2021 rates times 2021 estimated consumption plus fixed fee revenue estimates</text>
  </threadedComment>
</ThreadedComments>
</file>

<file path=xl/threadedComments/threadedComment4.xml><?xml version="1.0" encoding="utf-8"?>
<ThreadedComments xmlns="http://schemas.microsoft.com/office/spreadsheetml/2018/threadedcomments" xmlns:x="http://schemas.openxmlformats.org/spreadsheetml/2006/main">
  <threadedComment ref="H16" dT="2021-08-30T16:21:46.18" personId="{00B488F6-BF05-458C-8A95-28C41C04F4AC}" id="{72802E3F-DB68-4DD1-AD30-AB00B46116AA}">
    <text>2019 Rate Calcs as reported by DUs</text>
  </threadedComment>
  <threadedComment ref="O16" dT="2021-08-30T16:21:46.18" personId="{00B488F6-BF05-458C-8A95-28C41C04F4AC}" id="{34690021-1A6C-44EF-BFE5-CC4BE5C6BC1B}">
    <text>2019 Rate Calcs as reported by DUs</text>
  </threadedComment>
  <threadedComment ref="V16" dT="2021-08-30T16:21:46.18" personId="{00B488F6-BF05-458C-8A95-28C41C04F4AC}" id="{45980CC5-34A8-4886-BD5A-215EC596C3F3}">
    <text>2019 Rate Calcs as reported by DUs</text>
  </threadedComment>
  <threadedComment ref="H17" dT="2021-08-30T16:21:54.17" personId="{00B488F6-BF05-458C-8A95-28C41C04F4AC}" id="{219688A7-E9A3-43A0-A72D-67E67F43D011}">
    <text>2020 Rate Cales as reported by DUs</text>
  </threadedComment>
  <threadedComment ref="O17" dT="2021-08-30T16:21:54.17" personId="{00B488F6-BF05-458C-8A95-28C41C04F4AC}" id="{4147774A-8BA4-488B-9386-E6AFFC09B4B8}">
    <text>2020 Rate Cales as reported by DUs</text>
  </threadedComment>
  <threadedComment ref="V17" dT="2021-08-30T16:21:54.17" personId="{00B488F6-BF05-458C-8A95-28C41C04F4AC}" id="{7F128001-D352-4953-AD0B-45851CE52D9D}">
    <text>2020 Rate Cales as reported by DUs</text>
  </threadedComment>
  <threadedComment ref="H18" dT="2021-08-30T16:22:10.84" personId="{00B488F6-BF05-458C-8A95-28C41C04F4AC}" id="{7CF34249-5DAC-46D4-9FFB-EE3EFB7A5AFC}">
    <text>2021 Rate Calcs w/o NM - filing April 2021</text>
  </threadedComment>
  <threadedComment ref="O18" dT="2021-08-30T16:22:10.84" personId="{00B488F6-BF05-458C-8A95-28C41C04F4AC}" id="{2FED3B0D-1303-40A5-8FAD-A525D8B1332E}">
    <text>2021 Rate Calcs w/o NM - filing April 2021</text>
  </threadedComment>
  <threadedComment ref="V18" dT="2021-08-30T16:22:10.84" personId="{00B488F6-BF05-458C-8A95-28C41C04F4AC}" id="{103875FB-42E0-4FFC-BA73-67FA8DE186BF}">
    <text>2021 Rate Calcs w/o NM - filing April 2021</text>
  </threadedComment>
  <threadedComment ref="H19" dT="2021-08-30T19:00:48.65" personId="{00B488F6-BF05-458C-8A95-28C41C04F4AC}" id="{3C2F6486-B545-4320-992E-FA35EDD3B09E}">
    <text>from DUs for 2022 rates w/o NM, but includes a shift of CVPS rate 06 from CD to CND-estimated at about 82,000,000 kWh</text>
  </threadedComment>
  <threadedComment ref="O19" dT="2021-08-30T19:00:48.65" personId="{00B488F6-BF05-458C-8A95-28C41C04F4AC}" id="{26057C47-F03C-44E8-9244-6A226F05F238}">
    <text>from DUs for 2022 rates w/o NM</text>
  </threadedComment>
  <threadedComment ref="V19" dT="2021-08-30T19:00:48.65" personId="{00B488F6-BF05-458C-8A95-28C41C04F4AC}" id="{621F4E3C-8332-4A76-9BE4-6F8545E20315}">
    <text>from DUs for 2022 rates w/o NM</text>
  </threadedComment>
  <threadedComment ref="H20" dT="2021-08-30T19:00:48.65" personId="{00B488F6-BF05-458C-8A95-28C41C04F4AC}" id="{4043620B-6E5A-466B-844E-C3D051FF3B17}">
    <text>from April 2021 NM filing with six months of NM-excludes the CVPS Rate 06 shift</text>
  </threadedComment>
  <threadedComment ref="O20" dT="2021-08-30T19:00:48.65" personId="{00B488F6-BF05-458C-8A95-28C41C04F4AC}" id="{F970BA66-57C6-44BF-A19A-8598A672A4BF}">
    <text>from April 2021 NM filing with six months of NM</text>
  </threadedComment>
  <threadedComment ref="V20" dT="2021-08-30T19:00:48.65" personId="{00B488F6-BF05-458C-8A95-28C41C04F4AC}" id="{03348873-34B7-4A4E-A599-CEEE4EC09F9E}">
    <text>from April 2021 NM filing with six months of NM</text>
  </threadedComment>
  <threadedComment ref="H21" dT="2021-08-30T19:04:53.52" personId="{00B488F6-BF05-458C-8A95-28C41C04F4AC}" id="{799A1106-73EF-4C3B-A1E0-13062B313572}">
    <text>2020 actuals plus estimated 2022 NM sales</text>
  </threadedComment>
  <threadedComment ref="O21" dT="2021-08-30T19:04:53.52" personId="{00B488F6-BF05-458C-8A95-28C41C04F4AC}" id="{C51E8133-C930-4EC1-9F9B-9D18D1FDDE9E}">
    <text>2020 actuals plus estimated 2022 NM sales</text>
  </threadedComment>
  <threadedComment ref="V21" dT="2021-08-30T19:04:53.52" personId="{00B488F6-BF05-458C-8A95-28C41C04F4AC}" id="{6DAA7BC9-009D-4EFC-997C-5A8974921BE1}">
    <text>2020 actuals plus estimated 2022 NM sales</text>
  </threadedComment>
  <threadedComment ref="K24" dT="2021-08-30T20:04:35.82" personId="{00B488F6-BF05-458C-8A95-28C41C04F4AC}" id="{FBAF7ACB-51E2-403C-B17B-10CFC6C23BF3}">
    <text>estimated to be the change from CVPS rate 06 in Com Demand to Com non-demand</text>
  </threadedComment>
</ThreadedComments>
</file>

<file path=xl/threadedComments/threadedComment5.xml><?xml version="1.0" encoding="utf-8"?>
<ThreadedComments xmlns="http://schemas.microsoft.com/office/spreadsheetml/2018/threadedcomments" xmlns:x="http://schemas.openxmlformats.org/spreadsheetml/2006/main">
  <threadedComment ref="E166" dT="2021-08-04T16:19:51.33" personId="{00B488F6-BF05-458C-8A95-28C41C04F4AC}" id="{54137C83-E391-481E-A290-98CCAFB0CD4E}">
    <text>from DU reported 2020 values for 2022 rate year filing</text>
  </threadedComment>
  <threadedComment ref="F166" dT="2021-08-04T16:19:20.32" personId="{00B488F6-BF05-458C-8A95-28C41C04F4AC}" id="{60B836AE-4E5B-4DCE-BF43-7CDBA141068D}">
    <text>from "Revised without C&amp;I Forecast" sheet in Attachment A of EVT Fixed Monthly Fee filing on April 29, 2021</text>
  </threadedComment>
</ThreadedComments>
</file>

<file path=xl/threadedComments/threadedComment6.xml><?xml version="1.0" encoding="utf-8"?>
<ThreadedComments xmlns="http://schemas.microsoft.com/office/spreadsheetml/2018/threadedcomments" xmlns:x="http://schemas.openxmlformats.org/spreadsheetml/2006/main">
  <threadedComment ref="F8" dT="2022-08-02T13:51:58.96" personId="{00B488F6-BF05-458C-8A95-28C41C04F4AC}" id="{FAEC7334-56FE-409A-9319-F51A43075DE9}">
    <text>per 8/1/22 filing</text>
  </threadedComment>
  <threadedComment ref="F9" dT="2022-08-02T18:38:28.76" personId="{00B488F6-BF05-458C-8A95-28C41C04F4AC}" id="{95A3084E-2591-4313-9D23-E35FCC5E8A2F}">
    <text>per 8/1 filing</text>
  </threadedComment>
  <threadedComment ref="F10" dT="2022-08-02T13:51:58.96" personId="{00B488F6-BF05-458C-8A95-28C41C04F4AC}" id="{7B39EAC0-D920-4475-9AFB-062D8E331BB1}">
    <text>per 8/1/22 filing</text>
  </threadedComment>
  <threadedComment ref="F11" dT="2022-08-02T13:51:58.96" personId="{00B488F6-BF05-458C-8A95-28C41C04F4AC}" id="{4CAEE8E6-DAB0-4080-830C-B38B9607DAB0}">
    <text>per 8/1/22 filing</text>
  </threadedComment>
  <threadedComment ref="F12" dT="2022-08-02T13:51:58.96" personId="{00B488F6-BF05-458C-8A95-28C41C04F4AC}" id="{3BA2329A-A12F-46F8-868D-5A01F69A28A6}">
    <text>per 8/1/22 filing</text>
  </threadedComment>
  <threadedComment ref="F13" dT="2022-08-02T13:51:58.96" personId="{00B488F6-BF05-458C-8A95-28C41C04F4AC}" id="{7789BF7B-406B-4C81-8EFF-2C22DBE50436}">
    <text>per 8/1/22 filing</text>
  </threadedComment>
  <threadedComment ref="F14" dT="2022-08-02T13:51:58.96" personId="{00B488F6-BF05-458C-8A95-28C41C04F4AC}" id="{F9C9B858-F1BA-4913-B752-1A7F682CA8E7}">
    <text>per 8/1/22 filing</text>
  </threadedComment>
  <threadedComment ref="F15" dT="2022-08-02T16:02:52.66" personId="{00B488F6-BF05-458C-8A95-28C41C04F4AC}" id="{0348B178-631A-4F3E-97CF-771E4B26E7FB}">
    <text>per 8/1 filing</text>
  </threadedComment>
  <threadedComment ref="F17" dT="2022-08-02T18:34:42.61" personId="{00B488F6-BF05-458C-8A95-28C41C04F4AC}" id="{788A9BDB-26B7-4BE7-9CB2-7DDA89CA8F93}">
    <text>per 8/1 filing</text>
  </threadedComment>
  <threadedComment ref="F18" dT="2022-08-02T13:51:58.96" personId="{00B488F6-BF05-458C-8A95-28C41C04F4AC}" id="{BAAD10E5-7C82-4A48-8CC8-7CD5EA2E26EC}">
    <text>per 8/1/22 filing</text>
  </threadedComment>
  <threadedComment ref="F19" dT="2022-08-02T13:51:58.96" personId="{00B488F6-BF05-458C-8A95-28C41C04F4AC}" id="{1AE524D1-F475-4BAA-A4E3-9521177EC76C}">
    <text>per 8/1/22 filing</text>
  </threadedComment>
  <threadedComment ref="F20" dT="2022-08-02T13:51:58.96" personId="{00B488F6-BF05-458C-8A95-28C41C04F4AC}" id="{7FD27578-A8C3-4193-8D2D-50F62816FA27}">
    <text>per 8/1/22 filing</text>
  </threadedComment>
  <threadedComment ref="F21" dT="2022-08-02T19:51:43.14" personId="{00B488F6-BF05-458C-8A95-28C41C04F4AC}" id="{C3B73D98-E3B4-449F-A7A9-4703F4CB68F2}">
    <text>per 8/1 filing</text>
  </threadedComment>
  <threadedComment ref="F22" dT="2022-08-02T13:51:58.96" personId="{00B488F6-BF05-458C-8A95-28C41C04F4AC}" id="{6CEBB2B7-DF7C-445D-A6C1-5D9233849B18}">
    <text>per 8/1/22 filing</text>
  </threadedComment>
  <threadedComment ref="F23" dT="2022-08-02T17:29:22.77" personId="{00B488F6-BF05-458C-8A95-28C41C04F4AC}" id="{A58FFEEA-ED1A-46A7-9277-98ABCCCCBE93}">
    <text>per WEC "Trued up to 2021 y/e over estimated"</text>
  </threadedComment>
</ThreadedComments>
</file>

<file path=xl/threadedComments/threadedComment7.xml><?xml version="1.0" encoding="utf-8"?>
<ThreadedComments xmlns="http://schemas.microsoft.com/office/spreadsheetml/2018/threadedcomments" xmlns:x="http://schemas.openxmlformats.org/spreadsheetml/2006/main">
  <threadedComment ref="C9" dT="2020-06-19T14:06:47.36" personId="{00B488F6-BF05-458C-8A95-28C41C04F4AC}" id="{297590B8-99FC-4E66-80D4-624051554D0D}">
    <text>waiting on data back from GMP to update the allocations</text>
  </threadedComment>
</ThreadedComments>
</file>

<file path=xl/threadedComments/threadedComment8.xml><?xml version="1.0" encoding="utf-8"?>
<ThreadedComments xmlns="http://schemas.microsoft.com/office/spreadsheetml/2018/threadedcomments" xmlns:x="http://schemas.openxmlformats.org/spreadsheetml/2006/main">
  <threadedComment ref="B9" dT="2021-08-03T16:03:18.50" personId="{00B488F6-BF05-458C-8A95-28C41C04F4AC}" id="{2D1D2AEE-A480-4CA1-A649-B01F839B2D42}">
    <text>The methodologies for calculating the Energy Efficiency Charge rates shall use information regarding previous over- and under-collections of the Energy Efficiency Charge as reported by the distribution utilities. The specific information to be provided by the EEUs shall be:
• Year 2: The difference between the prior year’s estimate of the over or under-collections for the prior calendar year and the actual over- or under-collections for that period for each rate class. This difference shall be calculated by subtracting the prior year’s estimate for each rate class from the actual amount for each rate class. In these calculations, over-collections shall be positive numbers and undercollections shall be negative numbers. The result of the calculations may be positive or negative numbers.</text>
  </threadedComment>
  <threadedComment ref="E11" dT="2020-06-17T18:09:40.85" personId="{00B488F6-BF05-458C-8A95-28C41C04F4AC}" id="{2DE529A7-0EC0-4DB4-9F6C-C6217B625E00}">
    <text>excludes utility reported gross NM consumption that is not billed electric retail charges</text>
  </threadedComment>
  <threadedComment ref="E14" dT="2021-05-06T17:17:28.99" personId="{00B488F6-BF05-458C-8A95-28C41C04F4AC}" id="{A5D653F5-E6CD-4780-8A11-6D927A869469}">
    <text>='Util Rev and Load Data'!C86</text>
  </threadedComment>
  <threadedComment ref="G14" dT="2021-06-21T21:42:34.45" personId="{00B488F6-BF05-458C-8A95-28C41C04F4AC}" id="{A32901F3-0FC8-407F-B0AB-C813399B6273}">
    <text>values taken from DU Collections database</text>
  </threadedComment>
  <threadedComment ref="B15" dT="2021-06-21T17:58:07.24" personId="{00B488F6-BF05-458C-8A95-28C41C04F4AC}" id="{028F640B-F26E-4DDC-9545-9FCDF1991E25}">
    <text>Demand and Non-Demand Customers</text>
  </threadedComment>
  <threadedComment ref="E15" dT="2021-05-06T17:17:28.99" personId="{00B488F6-BF05-458C-8A95-28C41C04F4AC}" id="{1B06494F-2451-4D80-A6D5-226141B190F1}">
    <text>='Util Rev and Load Data'!P86</text>
  </threadedComment>
  <threadedComment ref="G15" dT="2021-06-21T21:42:34.45" personId="{00B488F6-BF05-458C-8A95-28C41C04F4AC}" id="{83F39BAD-A497-418B-A121-AC473ED76E67}">
    <text>values taken from DU Collections database</text>
  </threadedComment>
  <threadedComment ref="B16" dT="2021-06-21T17:58:07.24" personId="{00B488F6-BF05-458C-8A95-28C41C04F4AC}" id="{7D418683-FF09-48A2-A658-105494F76413}">
    <text>Demand and Non-Demand Customers</text>
  </threadedComment>
  <threadedComment ref="E16" dT="2021-05-06T17:17:28.99" personId="{00B488F6-BF05-458C-8A95-28C41C04F4AC}" id="{12013F9F-65C1-48DE-83AB-C6F396258AA6}">
    <text>='Util Rev and Load Data'!AA86</text>
  </threadedComment>
  <threadedComment ref="G16" dT="2021-06-21T21:42:34.45" personId="{00B488F6-BF05-458C-8A95-28C41C04F4AC}" id="{D57050DA-5D1D-4E04-80BB-24501E89E659}">
    <text>values taken from DU Collections database</text>
  </threadedComment>
  <threadedComment ref="B25" dT="2021-08-03T16:03:18.50" personId="{00B488F6-BF05-458C-8A95-28C41C04F4AC}" id="{7C7C5E5A-128B-4269-8CC3-FEA34788D66B}">
    <text>The methodologies for calculating the Energy Efficiency Charge rates shall use information regarding previous over- and under-collections of the Energy Efficiency Charge as reported by the distribution utilities. The specific information to be provided by the EEUs shall be:
• Year 1: A reasonable estimate of over- or under-collections for the current calendar year for each rate class. Because of the lag between when the Energy Efficiency Charge is applied to billing determinants for distribution utilities and when the funds are received, collections for the current calendar year will actually occur from March of the
current calendar year through February of the following calendar year. The estimate of over- or under-collections shall be  determined based upon comparison of:
a) the sum of the actual collections for March through June of the current calendar year plus the EEU’s estimates of the collections
for July of the current calendar year through February of the following calendar year; and
b) the amount authorized to be collected via the Energy Efficiency Charge over the time period described in item (a) above.
Over-collections occur when the estimate in item (a) above exceeds the amount authorized to be collected in item (b) above. Undercollections occur when the amount authorized to be collected in item
(b) above exceeds the estimate in item (a).
• Year 2: The difference between the prior year’s estimate of the over or under-collections for the prior calendar year and the actual over- or under-collections for that period for each rate class. This difference
shall be calculated by subtracting the prior year’s estimate for each rate class from the actual amount for each rate class. In these
calculations, over-collections shall be positive numbers and undercollections
shall be negative numbers. The result of the calculations may be positive or negative numbers.</text>
  </threadedComment>
  <threadedComment ref="F27" dT="2021-06-21T18:15:48.16" personId="{00B488F6-BF05-458C-8A95-28C41C04F4AC}" id="{148D8AB7-24C9-4FF3-AF4A-5BFA37444ABD}">
    <text>from DU Collections database "EEC Collections" Jan-Jun   cells (AP82:AU82)</text>
  </threadedComment>
  <threadedComment ref="G27" dT="2020-08-27T17:47:20.91" personId="{00B488F6-BF05-458C-8A95-28C41C04F4AC}" id="{35CCC802-1B29-41A4-BB66-4648427AB584}">
    <text>5.304D says to use March-June but the March report is Jan data and we have data through May so used Jan-May</text>
  </threadedComment>
  <threadedComment ref="H27" dT="2020-08-27T17:47:40.31" personId="{00B488F6-BF05-458C-8A95-28C41C04F4AC}" id="{EF4C50C9-0931-490A-8291-8729C0B7C841}">
    <text>5.304D says to use Jul-Feb</text>
  </threadedComment>
  <threadedComment ref="J33" dT="2020-08-27T17:04:45.73" personId="{00B488F6-BF05-458C-8A95-28C41C04F4AC}" id="{6E03ABA0-6814-480D-AC28-AEFD5D747D95}">
    <text>includes RA, DSS, Ops Fee, PI Award, DPS, FA and Audit</text>
  </threadedComment>
  <threadedComment ref="AE48" dT="2021-06-21T17:36:00.29" personId="{00B488F6-BF05-458C-8A95-28C41C04F4AC}" id="{D154BF49-D008-4742-A743-6B3FF232BE21}">
    <text>From 2020 EEC Rates Calculation file</text>
  </threadedComment>
  <threadedComment ref="AF48" dT="2021-06-21T17:37:31.62" personId="{00B488F6-BF05-458C-8A95-28C41C04F4AC}" id="{868D19A4-C0FC-4BA0-B66A-2192EDADE39F}">
    <text>Budget adjustment approved by the PUC in November 2020 due to COVID</text>
  </threadedComment>
  <threadedComment ref="AE71" dT="2021-06-21T17:36:00.29" personId="{00B488F6-BF05-458C-8A95-28C41C04F4AC}" id="{1F153F46-D07C-44DC-840B-B9D3939E9143}">
    <text>Target collections from 2023 EEC Rates Calculation</text>
  </threadedComment>
</ThreadedComments>
</file>

<file path=xl/threadedComments/threadedComment9.xml><?xml version="1.0" encoding="utf-8"?>
<ThreadedComments xmlns="http://schemas.microsoft.com/office/spreadsheetml/2018/threadedcomments" xmlns:x="http://schemas.openxmlformats.org/spreadsheetml/2006/main">
  <threadedComment ref="A6" dT="2021-03-30T14:50:29.48" personId="{00B488F6-BF05-458C-8A95-28C41C04F4AC}" id="{587FBF2B-A0BB-4BFA-936F-0E30B09AFBCC}">
    <text>Net of SMEEP</text>
  </threadedComment>
  <threadedComment ref="A33" dT="2021-03-30T19:49:18.88" personId="{00B488F6-BF05-458C-8A95-28C41C04F4AC}" id="{D0C0F645-F7C9-484C-B48C-B5124AD34C22}">
    <text>kW not used in setting this fixed charge because demand customers are still billed for their demand. Only energy (kWh) is impacted by net metering. per Scott Anderson at GMP</text>
  </threadedComment>
  <threadedComment ref="D33" dT="2021-04-01T20:27:07.88" personId="{00B488F6-BF05-458C-8A95-28C41C04F4AC}" id="{449109C0-931F-482C-9BDB-C8DBAAC065BD}">
    <text>customers are charged EEC on their actual demand which is almost never offset by net metering</text>
  </threadedComment>
  <threadedComment ref="F33" dT="2021-04-01T20:27:07.88" personId="{00B488F6-BF05-458C-8A95-28C41C04F4AC}" id="{D0AF30DE-1284-4D53-B896-9548F530248D}">
    <text>customers are charged EEC on their actual demand which is almost never offset by net metering</text>
  </threadedComment>
  <threadedComment ref="K33" dT="2021-04-01T20:27:07.88" personId="{00B488F6-BF05-458C-8A95-28C41C04F4AC}" id="{389C846D-3563-4649-81FA-4D288A467250}">
    <text>customers are charged EEC on their actual demand which is almost never offset by net metering</text>
  </threadedComment>
  <threadedComment ref="M33" dT="2021-04-01T20:27:07.88" personId="{00B488F6-BF05-458C-8A95-28C41C04F4AC}" id="{20A10A3A-99F2-4F97-8949-E64AAC680212}">
    <text>customers are charged EEC on their actual demand which is almost never offset by net metering</text>
  </threadedComment>
  <threadedComment ref="A41" dT="2022-08-02T20:04:37.45" personId="{00B488F6-BF05-458C-8A95-28C41C04F4AC}" id="{74983240-868E-4AB2-BDC0-56D4B9348769}">
    <text>per 8/1/22 filing</text>
  </threadedComment>
  <threadedComment ref="A42" dT="2022-08-02T20:04:37.45" personId="{00B488F6-BF05-458C-8A95-28C41C04F4AC}" id="{17EB3C38-EDA5-4435-B332-D03DB2C33474}">
    <text>per 8/1/22 filing</text>
  </threadedComment>
  <threadedComment ref="A43" dT="2022-08-02T20:04:37.45" personId="{00B488F6-BF05-458C-8A95-28C41C04F4AC}" id="{05A8FC65-5560-4A9F-8E75-7103E4C722E2}">
    <text>per 8/1/22 filing</text>
  </threadedComment>
  <threadedComment ref="A44" dT="2022-08-02T20:04:37.45" personId="{00B488F6-BF05-458C-8A95-28C41C04F4AC}" id="{20B108A5-8EA0-4116-B1E5-462B01EE5E33}">
    <text>per 8/1/22 filing</text>
  </threadedComment>
  <threadedComment ref="A45" dT="2022-08-02T20:04:37.45" personId="{00B488F6-BF05-458C-8A95-28C41C04F4AC}" id="{A13624A1-B0D0-490A-942E-DD45AE738861}">
    <text>per 8/1/22 filing</text>
  </threadedComment>
  <threadedComment ref="A46" dT="2022-08-02T20:04:37.45" personId="{00B488F6-BF05-458C-8A95-28C41C04F4AC}" id="{0BF30D27-50D5-4CB8-BDF6-F51CE525341C}">
    <text>per 8/1/22 filing</text>
  </threadedComment>
  <threadedComment ref="A47" dT="2022-08-02T20:04:37.45" personId="{00B488F6-BF05-458C-8A95-28C41C04F4AC}" id="{7FE94B6E-F5DD-4DDE-AFD5-0063F976F804}">
    <text>per 8/1/22 filing</text>
  </threadedComment>
  <threadedComment ref="A48" dT="2022-08-02T20:04:37.45" personId="{00B488F6-BF05-458C-8A95-28C41C04F4AC}" id="{346314F2-AC6E-47D2-B8F6-13DC5485FA4F}">
    <text>per 8/1/22 filing</text>
  </threadedComment>
  <threadedComment ref="A49" dT="2022-08-02T20:04:37.45" personId="{00B488F6-BF05-458C-8A95-28C41C04F4AC}" id="{1E6CCD3F-83E2-44BC-B1EC-BB924029EE51}">
    <text>per 8/1/22 filing</text>
  </threadedComment>
  <threadedComment ref="A50" dT="2022-08-02T20:04:37.45" personId="{00B488F6-BF05-458C-8A95-28C41C04F4AC}" id="{20B2B126-61D5-4015-A266-E3704CBFD58A}">
    <text>per 8/1/22 filing</text>
  </threadedComment>
  <threadedComment ref="A51" dT="2022-08-02T20:04:37.45" personId="{00B488F6-BF05-458C-8A95-28C41C04F4AC}" id="{647450AF-81CC-4A01-AAE2-1085A9473A6E}">
    <text>per 8/1/22 filing</text>
  </threadedComment>
  <threadedComment ref="A52" dT="2022-08-02T20:04:37.45" personId="{00B488F6-BF05-458C-8A95-28C41C04F4AC}" id="{DD4E496A-9CE5-4C68-B518-CF2EC09754A9}">
    <text>per 8/1/22 filing</text>
  </threadedComment>
  <threadedComment ref="A53" dT="2022-08-02T20:04:37.45" personId="{00B488F6-BF05-458C-8A95-28C41C04F4AC}" id="{3D20B49E-32BC-425C-A371-71BA73F332A6}">
    <text>per 8/1/22 filing</text>
  </threadedComment>
  <threadedComment ref="A54" dT="2022-08-02T20:04:37.45" personId="{00B488F6-BF05-458C-8A95-28C41C04F4AC}" id="{1842E06B-2160-4CD7-B65F-945F2A179EE5}">
    <text>per 8/1/22 filing</text>
  </threadedComment>
  <threadedComment ref="A55" dT="2022-08-03T16:11:38.77" personId="{00B488F6-BF05-458C-8A95-28C41C04F4AC}" id="{817F9661-CBF3-4605-9645-4615CEE5FD4E}">
    <text>per 8/3 email from KO</text>
  </threadedComment>
  <threadedComment ref="A56" dT="2022-08-02T20:04:37.45" personId="{00B488F6-BF05-458C-8A95-28C41C04F4AC}" id="{21F9C32E-F9EA-4EA6-B336-C7952DBE1F80}">
    <text>per 8/1/22 filing</text>
  </threadedComment>
</ThreadedComments>
</file>

<file path=xl/threadedComments/threadedComment10.xml><?xml version="1.0" encoding="utf-8"?>
<ThreadedComments xmlns="http://schemas.microsoft.com/office/spreadsheetml/2018/threadedcomments" xmlns:x="http://schemas.openxmlformats.org/spreadsheetml/2006/main">
  <threadedComment ref="K7" dT="2021-06-07T21:08:14.66" personId="{00B488F6-BF05-458C-8A95-28C41C04F4AC}" id="{FEDA75A3-6885-42D9-A626-2414CF177C12}">
    <text>from 10/22/2020 Order in 19-3272-PET</text>
  </threadedComment>
  <threadedComment ref="L7" dT="2021-06-07T21:08:14.66" personId="{00B488F6-BF05-458C-8A95-28C41C04F4AC}" id="{9DCF6F9B-09DE-4116-BC8C-A5B319B1BF58}">
    <text>from 10/22/2020 Order in 19-3272-PET</text>
  </threadedComment>
  <threadedComment ref="M7" dT="2021-06-07T21:08:14.66" personId="{00B488F6-BF05-458C-8A95-28C41C04F4AC}" id="{7B6C75E3-FA2D-451F-AFCC-FC4F3669EF13}">
    <text>from 10/22/2020 Order in 19-3272-PET</text>
  </threadedComment>
  <threadedComment ref="K8" dT="2021-06-07T21:08:14.66" personId="{00B488F6-BF05-458C-8A95-28C41C04F4AC}" id="{4B94DE2E-9E18-4C3E-94EC-AD47F6CCEFC9}">
    <text>from 10/22/2020 Order in 19-3272-PET</text>
  </threadedComment>
  <threadedComment ref="L8" dT="2021-06-07T21:08:14.66" personId="{00B488F6-BF05-458C-8A95-28C41C04F4AC}" id="{EB568055-9FC4-46A0-B1C9-C3BB445D6E58}">
    <text>from 10/22/2020 Order in 19-3272-PET</text>
  </threadedComment>
  <threadedComment ref="M8" dT="2021-06-07T21:08:14.66" personId="{00B488F6-BF05-458C-8A95-28C41C04F4AC}" id="{AE51858E-287B-4AC2-BA04-66C398CD9B74}">
    <text>from 10/22/2020 Order in 19-3272-PET</text>
  </threadedComment>
  <threadedComment ref="B9" dT="2022-06-23T21:34:31.41" personId="{00B488F6-BF05-458C-8A95-28C41C04F4AC}" id="{117D131D-BCE3-4D59-8A76-4C5A08B0CF1D}">
    <text>Used PUC approved 2023 budget even though carryover from 2021 has been applied to 2023. Those funds were already been collected in 2021.</text>
  </threadedComment>
  <threadedComment ref="K9" dT="2021-06-07T21:08:14.66" personId="{00B488F6-BF05-458C-8A95-28C41C04F4AC}" id="{0C0FFA77-1BC0-43BD-83DD-A5BA8D4F6884}">
    <text>from 10/22/2020 Order in 19-3272-PET</text>
  </threadedComment>
  <threadedComment ref="L9" dT="2021-06-07T21:08:14.66" personId="{00B488F6-BF05-458C-8A95-28C41C04F4AC}" id="{D2C845A7-CC5E-42AA-BB6F-5F062DC5F396}">
    <text>from 10/22/2020 Order in 19-3272-PET</text>
  </threadedComment>
  <threadedComment ref="M9" dT="2021-06-07T21:08:14.66" personId="{00B488F6-BF05-458C-8A95-28C41C04F4AC}" id="{DAED9AFC-4975-4E34-AC3E-1D1778C9F9B0}">
    <text>from 10/22/2020 Order in 19-3272-PET</text>
  </threadedComment>
  <threadedComment ref="K10" dT="2021-06-07T21:08:14.66" personId="{00B488F6-BF05-458C-8A95-28C41C04F4AC}" id="{42C7833A-F140-4519-8CA6-85D3322AB462}">
    <text>from 10/22/2020 Order in 19-3272-PET</text>
  </threadedComment>
  <threadedComment ref="L10" dT="2021-06-07T21:08:14.66" personId="{00B488F6-BF05-458C-8A95-28C41C04F4AC}" id="{75D345B2-1C54-4939-8AF2-7D74BF00071F}">
    <text>from 10/22/2020 Order in 19-3272-PET</text>
  </threadedComment>
  <threadedComment ref="M10" dT="2021-06-07T21:08:14.66" personId="{00B488F6-BF05-458C-8A95-28C41C04F4AC}" id="{DB7026D2-DBA3-434B-BE1D-F337A4676FAF}">
    <text>from 10/22/2020 Order in 19-3272-PET</text>
  </threadedComment>
  <threadedComment ref="K11" dT="2021-06-07T21:08:14.66" personId="{00B488F6-BF05-458C-8A95-28C41C04F4AC}" id="{66911801-696C-499C-9CA0-8104D89C9D33}">
    <text>from 10/22/2020 Order in 19-3272-PET</text>
  </threadedComment>
  <threadedComment ref="L11" dT="2021-06-07T21:08:14.66" personId="{00B488F6-BF05-458C-8A95-28C41C04F4AC}" id="{A990E7E1-99F3-46A4-9240-D6A443885312}">
    <text>from 10/22/2020 Order in 19-3272-PET</text>
  </threadedComment>
  <threadedComment ref="M11" dT="2021-06-07T21:08:14.66" personId="{00B488F6-BF05-458C-8A95-28C41C04F4AC}" id="{1ED9BFE8-0E54-4017-8972-67A049800852}">
    <text>from 10/22/2020 Order in 19-3272-PET</text>
  </threadedComment>
  <threadedComment ref="K14" dT="2021-06-07T21:08:14.66" personId="{00B488F6-BF05-458C-8A95-28C41C04F4AC}" id="{3274BF51-54E3-47C1-A442-E505DF2EF405}">
    <text>from 10/22/2020 Order in 19-3272-PET</text>
  </threadedComment>
  <threadedComment ref="L14" dT="2021-06-07T21:08:14.66" personId="{00B488F6-BF05-458C-8A95-28C41C04F4AC}" id="{F785AD56-31CB-4488-8AD6-CD173A04C00A}">
    <text>from 10/22/2020 Order in 19-3272-PET</text>
  </threadedComment>
  <threadedComment ref="M14" dT="2021-06-07T21:08:14.66" personId="{00B488F6-BF05-458C-8A95-28C41C04F4AC}" id="{AD4CD370-6E91-4907-936A-5240D94C7FAC}">
    <text>from 10/22/2020 Order in 19-3272-PET</text>
  </threadedComment>
  <threadedComment ref="K15" dT="2021-06-07T21:08:14.66" personId="{00B488F6-BF05-458C-8A95-28C41C04F4AC}" id="{BA4EBF1F-C4CC-405B-9A28-110AB775A081}">
    <text>from 10/22/2020 Order in 19-3272-PET</text>
  </threadedComment>
  <threadedComment ref="L15" dT="2021-06-07T21:08:14.66" personId="{00B488F6-BF05-458C-8A95-28C41C04F4AC}" id="{8E6D5834-D68D-4350-B175-1080ED952E9D}">
    <text>from 10/22/2020 Order in 19-3272-PET</text>
  </threadedComment>
  <threadedComment ref="M15" dT="2021-06-07T21:08:14.66" personId="{00B488F6-BF05-458C-8A95-28C41C04F4AC}" id="{EAA34777-351A-47E0-9DCB-EE69C724C1B0}">
    <text>from 10/22/2020 Order in 19-3272-PET</text>
  </threadedComment>
  <threadedComment ref="A16" dT="2021-08-03T15:53:31.31" personId="{00B488F6-BF05-458C-8A95-28C41C04F4AC}" id="{D9BC361A-DA02-4156-972A-4F99F12D8FF3}">
    <text>Rule 5.304 (C) 2.
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ext>
  </threadedComment>
  <threadedComment ref="K16" dT="2021-06-07T21:08:14.66" personId="{00B488F6-BF05-458C-8A95-28C41C04F4AC}" id="{767BF8C9-0597-455F-98FB-73DD0FEED758}">
    <text>from 10/22/2020 Order in 19-3272-PET</text>
  </threadedComment>
  <threadedComment ref="L16" dT="2021-06-07T21:08:14.66" personId="{00B488F6-BF05-458C-8A95-28C41C04F4AC}" id="{A9D16AB7-593D-4CA6-A8BB-D19001415B51}">
    <text>from 10/22/2020 Order in 19-3272-PET</text>
  </threadedComment>
  <threadedComment ref="M16" dT="2021-06-07T21:08:14.66" personId="{00B488F6-BF05-458C-8A95-28C41C04F4AC}" id="{10352109-08E0-4954-A20B-C0FC4E92F0B6}">
    <text>from 10/22/2020 Order in 19-3272-PET</text>
  </threadedComment>
  <threadedComment ref="A17" dT="2021-08-03T16:00:23.91" personId="{00B488F6-BF05-458C-8A95-28C41C04F4AC}" id="{E71E75D7-A069-43C1-9F42-33DA1D351D01}">
    <text>Rule 5.304 (C) 1.
The specific information to be provided by each distribution utility
shall be:
• 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 A reasonable estimate of the uncollectibles related to the Energy Efficiency Charge for the remaining six months of the current
calendar year. 
• 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ext>
  </threadedComment>
  <threadedComment ref="K17" dT="2021-06-07T21:08:14.66" personId="{00B488F6-BF05-458C-8A95-28C41C04F4AC}" id="{B787137D-8D4E-4239-8BD1-DCEBF2F31EBF}">
    <text>from 10/22/2020 Order in 19-3272-PET</text>
  </threadedComment>
  <threadedComment ref="L17" dT="2021-06-07T21:08:14.66" personId="{00B488F6-BF05-458C-8A95-28C41C04F4AC}" id="{0C4B3A3C-9A8F-4E74-B358-EF5F301ACBFC}">
    <text>from 10/22/2020 Order in 19-3272-PET</text>
  </threadedComment>
  <threadedComment ref="M17" dT="2021-06-07T21:08:14.66" personId="{00B488F6-BF05-458C-8A95-28C41C04F4AC}" id="{F6CE7D7C-6023-49A8-8D40-1A2F94E1C3AE}">
    <text>from 10/22/2020 Order in 19-3272-PET</text>
  </threadedComment>
  <threadedComment ref="A18" dT="2021-08-03T16:28:35.96" personId="{00B488F6-BF05-458C-8A95-28C41C04F4AC}" id="{3A5FD32E-5D68-4764-B700-37CE654A5227}">
    <text>5.305 (E) 1
a. For any year following the end of an EEU’s three-year budget:
If Uncommitted Funds &lt; 0.05 * Prior Year Total Budget, then Budget Credit shall be determined by the Commission in a separate process
If Uncommitted Funds &gt; 0.05 * Prior Year Total Budget, then Budget Credit = Uncommitted Funds
b. For all other years, Budget Credit = 0
5.305 (E) 2. 
Electric EEU Total Budget - BED Budget + (Electric Statewide
Uncollectibles - BED Uncollectibles) - Budget Credit = Amount to be Allocated</text>
  </threadedComment>
  <threadedComment ref="K18" dT="2021-06-07T21:08:14.66" personId="{00B488F6-BF05-458C-8A95-28C41C04F4AC}" id="{EF0C6D5F-B8F5-46E7-A4D2-6F65FBEB579B}">
    <text>from 10/22/2020 Order in 19-3272-PET</text>
  </threadedComment>
  <threadedComment ref="L18" dT="2021-06-07T21:08:14.66" personId="{00B488F6-BF05-458C-8A95-28C41C04F4AC}" id="{F6CC8AC9-0EE9-4D00-8EB5-C789167B4CCB}">
    <text>from 10/22/2020 Order in 19-3272-PET</text>
  </threadedComment>
  <threadedComment ref="M18" dT="2021-06-07T21:08:14.66" personId="{00B488F6-BF05-458C-8A95-28C41C04F4AC}" id="{0115C961-ECE1-4D23-8DD1-56EFD09630CF}">
    <text>from 10/22/2020 Order in 19-3272-PET</text>
  </threadedComment>
  <threadedComment ref="A22" dT="2021-06-21T17:16:02.94" personId="{00B488F6-BF05-458C-8A95-28C41C04F4AC}" id="{713D0240-5C2F-4603-B799-251D8181DA2D}">
    <text>This is two years prior to the rate year. For 2022 rates, it would be 2020.</text>
  </threadedComment>
  <threadedComment ref="A23" dT="2021-08-11T19:15:11.80" personId="{00B488F6-BF05-458C-8A95-28C41C04F4AC}" id="{33556B1B-D9A7-4239-A5D7-487F7108B10C}">
    <text>5.305(E)4.a.</text>
  </threadedComment>
  <threadedComment ref="A24" dT="2021-08-11T19:15:11.80" personId="{00B488F6-BF05-458C-8A95-28C41C04F4AC}" id="{6B58406E-D56F-4A64-AF6B-B2982225267B}">
    <text>5.305(E)4.b.</text>
  </threadedComment>
  <threadedComment ref="A25" dT="2021-08-11T19:15:11.80" personId="{00B488F6-BF05-458C-8A95-28C41C04F4AC}" id="{8CEF4ACA-155A-4A03-A213-BBD445D7B864}">
    <text>5.305(E)4.c.</text>
  </threadedComment>
  <threadedComment ref="A29" dT="2021-06-21T17:16:27.14" personId="{00B488F6-BF05-458C-8A95-28C41C04F4AC}" id="{68953936-8A0A-48DD-A4EB-AB741CDC9EDC}">
    <text>This is two years prior to the rate year. For 2022 rates, it would be 2020.</text>
  </threadedComment>
  <threadedComment ref="A30" dT="2021-08-11T19:15:11.80" personId="{00B488F6-BF05-458C-8A95-28C41C04F4AC}" id="{95375A97-B92D-4F76-A7D6-EB7C66E86A5A}">
    <text>5.305(E)4.a.</text>
  </threadedComment>
  <threadedComment ref="A31" dT="2021-08-11T19:15:11.80" personId="{00B488F6-BF05-458C-8A95-28C41C04F4AC}" id="{34AEDF18-4B52-41C8-882D-D80FAACF18BB}">
    <text>5.305(E)4.b.</text>
  </threadedComment>
  <threadedComment ref="A32" dT="2021-08-11T19:15:11.80" personId="{00B488F6-BF05-458C-8A95-28C41C04F4AC}" id="{0F2F83AA-D5DB-4EBB-ADFA-A58E27547BE3}">
    <text>5.305(E)4.c.</text>
  </threadedComment>
  <threadedComment ref="A42" dT="2020-08-27T17:49:57.97" personId="{00B488F6-BF05-458C-8A95-28C41C04F4AC}" id="{AE3A3536-91AA-4495-A46A-1EA8CA97C59B}">
    <text>5.304 (E) says these are from prior performance period- If over 5% then Uncommitted equal this total. If &lt;5% then PUC process. Otherwise zero.
For any second year following the end of an EEU’s three-year budget, the methodologies for calculating the Energy Efficiency Charge rates shall use information regarding funds previously raised by the Energy Efficiency Charge that exceed the amount that the EEU has spent plus the amount that it has not spent but is obligated to pay. (These are referred to as
“Uncommitted Funds”; this term is precisely defined in Section
5.305(D)(20).) The Commission shall calculate the amount of
Uncommitted Funds after the end of any year in which an EEU’s three year budget ends pursuant to Section 5.305(E)(1).
5.305 (E) 1. 
a. For any year following the end of an EEU’s three-year budget:
If Uncommitted Funds &lt; 0.05 * Prior Year Total Budget, then Budget Credit shall be determined by the Commission in a separate process
If Uncommitted Funds &gt; 0.05 * Prior Year Total Budget, then Budget Credit = Uncommitted Funds
b. For all other years, Budget Credit = 0</text>
  </threadedComment>
  <threadedComment ref="A49" dT="2021-08-03T16:09:21.81" personId="{00B488F6-BF05-458C-8A95-28C41C04F4AC}" id="{E62BDCB1-E7B5-4E1A-9C94-38442A80A59B}">
    <text>Rule 5.305 (B)
The Energy Efficiency Charge shall be designed to raise the total amount to be collected for statewide energy efficiency services plus the additional amount of the gross revenue tax (30 V.S.A. § 22) and fuel gross receipts or “weatherization” tax (33 V.S.A. § 2503) applicable to the Energy
Efficiency Charge, adjusted for (1) distribution utility uncollectibles associated with the Energy Efficiency Charge, and (2) over- or under collection of the Energy Efficiency Charge in prior years.</text>
  </threadedComment>
  <threadedComment ref="C58" dT="2021-08-12T18:16:02.87" personId="{00B488F6-BF05-458C-8A95-28C41C04F4AC}" id="{F177A62B-F918-470B-BB46-DC3B4C9D430E}">
    <text>without tax-fixed fee values include tax</text>
  </threadedComment>
  <threadedComment ref="G58" dT="2020-08-27T17:53:37.92" personId="{00B488F6-BF05-458C-8A95-28C41C04F4AC}" id="{6DF35FCA-DF44-4E3F-8EEA-129FB4D934A4}">
    <text>Rile 5.305 (E) 2.  includes Budget+ Uncollectibles - Budget Credit (Uncommitted Funds?)</text>
  </threadedComment>
  <threadedComment ref="H58" dT="2020-08-27T17:53:37.92" personId="{00B488F6-BF05-458C-8A95-28C41C04F4AC}" id="{C4EE4BFB-2AB4-4642-B97C-C2A73B98AB96}">
    <text>Rile 5.305 (E) 3.</text>
  </threadedComment>
  <threadedComment ref="G65" dT="2020-08-27T17:53:37.92" personId="{00B488F6-BF05-458C-8A95-28C41C04F4AC}" id="{472160F4-982B-46DA-9A0A-BE9E58BFDAED}">
    <text>Rile 5.305 (E) 2.  includes Budget+ Uncollectibles - Budget Credit (Uncommitted Funds?)</text>
  </threadedComment>
  <threadedComment ref="K80" dT="2020-08-25T20:42:28.68" personId="{00B488F6-BF05-458C-8A95-28C41C04F4AC}" id="{A3247F44-42C5-41E3-BFCD-65516361CE9F}">
    <text>from 2020 forecasted saled in 2015-2019 collections by month</text>
  </threadedComment>
</ThreadedComments>
</file>

<file path=xl/threadedComments/threadedComment11.xml><?xml version="1.0" encoding="utf-8"?>
<ThreadedComments xmlns="http://schemas.microsoft.com/office/spreadsheetml/2018/threadedcomments" xmlns:x="http://schemas.openxmlformats.org/spreadsheetml/2006/main">
  <threadedComment ref="B18" dT="2020-07-13T18:33:16.80" personId="{00B488F6-BF05-458C-8A95-28C41C04F4AC}" id="{6337CA83-7977-435B-B9F7-5FF65AC5D2BE}">
    <text>Per DPS Petition in 21-1616-PET (full amount)</text>
  </threadedComment>
  <threadedComment ref="B19" dT="2022-08-09T21:19:06.27" personId="{00B488F6-BF05-458C-8A95-28C41C04F4AC}" id="{025D68C2-7B01-4509-9470-B4A9FA9D9C72}">
    <text>a credit of $180,627 was applied in 2022 leaving a balance of $180,405</text>
  </threadedComment>
</ThreadedComments>
</file>

<file path=xl/threadedComments/threadedComment12.xml><?xml version="1.0" encoding="utf-8"?>
<ThreadedComments xmlns="http://schemas.microsoft.com/office/spreadsheetml/2018/threadedcomments" xmlns:x="http://schemas.openxmlformats.org/spreadsheetml/2006/main">
  <threadedComment ref="C11" dT="2021-08-04T17:24:42.58" personId="{00B488F6-BF05-458C-8A95-28C41C04F4AC}" id="{ECE0BF6E-AB75-448F-93CD-4D696C55813F}">
    <text>from J30:J32 of EEC Collection True-up sheet in 2020-09-04_FINAL_2021 Efficiency Vermont EEC Calculation with Sensitivity.xlxs file Sept 23, 2020 and later flat rates approved by the Commission. Budget adjustment was also approved.</text>
  </threadedComment>
  <threadedComment ref="I11" dT="2021-08-04T17:24:42.58" personId="{00B488F6-BF05-458C-8A95-28C41C04F4AC}" id="{C8C6065C-C75B-4C4C-B8CE-D991A4B9A41A}">
    <text>from J30:J32 of EEC Collection True-up sheet in 2020-09-04_FINAL_2021 Efficiency Vermont EEC Calculation with Sensitivity.xlxs file Sept 23, 2020 and later flat rates approved by the Commission. Budget adjustment was also approved.</text>
  </threadedComment>
</ThreadedComments>
</file>

<file path=xl/threadedComments/threadedComment13.xml><?xml version="1.0" encoding="utf-8"?>
<ThreadedComments xmlns="http://schemas.microsoft.com/office/spreadsheetml/2018/threadedcomments" xmlns:x="http://schemas.openxmlformats.org/spreadsheetml/2006/main">
  <threadedComment ref="C9" dT="2021-08-04T17:38:28.54" personId="{00B488F6-BF05-458C-8A95-28C41C04F4AC}" id="{9C6A1676-D6B0-4CFF-B92B-655FF57010D1}">
    <text>Data from Attachment A_2021 Fixed Monthly Fees Efficiency Vermont_revised 042921.xlxs filed on April 29, 2021 in case # 20-2022-INV  Net meter data was multiplied times 47.3% to arrive at 6 months of billing kWh for that portion</text>
  </threadedComment>
</ThreadedComments>
</file>

<file path=xl/threadedComments/threadedComment14.xml><?xml version="1.0" encoding="utf-8"?>
<ThreadedComments xmlns="http://schemas.microsoft.com/office/spreadsheetml/2018/threadedcomments" xmlns:x="http://schemas.openxmlformats.org/spreadsheetml/2006/main">
  <threadedComment ref="B34" dT="2021-06-21T19:23:24.45" personId="{00B488F6-BF05-458C-8A95-28C41C04F4AC}" id="{A2EDA119-FF7C-4C2C-883C-59882A34243A}">
    <text>Used 2019 collections by month % since 2020 was COVID year, then added net metering collections for Jul-Dec to adjust the per month % by month for the year.</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microsoft.com/office/2017/10/relationships/threadedComment" Target="../threadedComments/threadedComment2.xm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 Id="rId4" Type="http://schemas.microsoft.com/office/2017/10/relationships/threadedComment" Target="../threadedComments/threadedComment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bin"/><Relationship Id="rId4" Type="http://schemas.microsoft.com/office/2017/10/relationships/threadedComment" Target="../threadedComments/threadedComment5.xml"/></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5.bin"/><Relationship Id="rId4" Type="http://schemas.microsoft.com/office/2017/10/relationships/threadedComment" Target="../threadedComments/threadedComment6.xml"/></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7.xml"/><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7.bin"/><Relationship Id="rId4" Type="http://schemas.microsoft.com/office/2017/10/relationships/threadedComment" Target="../threadedComments/threadedComment8.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8.bin"/><Relationship Id="rId4" Type="http://schemas.microsoft.com/office/2017/10/relationships/threadedComment" Target="../threadedComments/threadedComment9.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0.bin"/><Relationship Id="rId4" Type="http://schemas.microsoft.com/office/2017/10/relationships/threadedComment" Target="../threadedComments/threadedComment10.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1.bin"/><Relationship Id="rId4" Type="http://schemas.microsoft.com/office/2017/10/relationships/threadedComment" Target="../threadedComments/threadedComment11.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2.bin"/><Relationship Id="rId4" Type="http://schemas.microsoft.com/office/2017/10/relationships/threadedComment" Target="../threadedComments/threadedComment12.xml"/></Relationships>
</file>

<file path=xl/worksheets/_rels/sheet20.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3.bin"/><Relationship Id="rId4" Type="http://schemas.microsoft.com/office/2017/10/relationships/threadedComment" Target="../threadedComments/threadedComment13.xml"/></Relationships>
</file>

<file path=xl/worksheets/_rels/sheet21.xml.rels><?xml version="1.0" encoding="UTF-8" standalone="yes"?>
<Relationships xmlns="http://schemas.openxmlformats.org/package/2006/relationships"><Relationship Id="rId3" Type="http://schemas.microsoft.com/office/2017/10/relationships/threadedComment" Target="../threadedComments/threadedComment14.xml"/><Relationship Id="rId2" Type="http://schemas.openxmlformats.org/officeDocument/2006/relationships/comments" Target="../comments16.xml"/><Relationship Id="rId1" Type="http://schemas.openxmlformats.org/officeDocument/2006/relationships/vmlDrawing" Target="../drawings/vmlDrawing1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62E01-F800-4585-9AAA-0650B0BD9037}">
  <dimension ref="A5:Q1163"/>
  <sheetViews>
    <sheetView topLeftCell="D1" workbookViewId="0">
      <selection activeCell="K21" sqref="K21"/>
    </sheetView>
  </sheetViews>
  <sheetFormatPr defaultRowHeight="12.75" x14ac:dyDescent="0.2"/>
  <cols>
    <col min="1" max="1" width="32.42578125" customWidth="1"/>
    <col min="2" max="2" width="34.42578125" bestFit="1" customWidth="1"/>
    <col min="3" max="3" width="10.5703125" bestFit="1" customWidth="1"/>
    <col min="4" max="4" width="10" bestFit="1" customWidth="1"/>
    <col min="5" max="5" width="11" bestFit="1" customWidth="1"/>
    <col min="7" max="7" width="28" bestFit="1" customWidth="1"/>
    <col min="8" max="8" width="28" customWidth="1"/>
    <col min="9" max="9" width="12.7109375" style="313" bestFit="1" customWidth="1"/>
    <col min="10" max="10" width="12" customWidth="1"/>
    <col min="11" max="11" width="11.5703125" customWidth="1"/>
    <col min="12" max="12" width="14.42578125" customWidth="1"/>
    <col min="13" max="13" width="14.140625" customWidth="1"/>
    <col min="14" max="14" width="11.140625" customWidth="1"/>
  </cols>
  <sheetData>
    <row r="5" spans="1:17" x14ac:dyDescent="0.2">
      <c r="A5" s="346" t="s">
        <v>0</v>
      </c>
      <c r="B5" s="346" t="s">
        <v>1</v>
      </c>
      <c r="C5" s="346">
        <v>75209</v>
      </c>
      <c r="D5" s="346">
        <v>1.091E-2</v>
      </c>
      <c r="E5" s="346">
        <v>820.51</v>
      </c>
    </row>
    <row r="6" spans="1:17" x14ac:dyDescent="0.2">
      <c r="A6" s="346" t="s">
        <v>2</v>
      </c>
      <c r="B6" s="346" t="s">
        <v>1</v>
      </c>
      <c r="C6" s="346">
        <v>203174</v>
      </c>
      <c r="D6" s="346">
        <v>7.0699999999999999E-3</v>
      </c>
      <c r="E6" s="346">
        <v>1436.42</v>
      </c>
      <c r="I6" s="964" t="s">
        <v>3</v>
      </c>
      <c r="J6" s="965"/>
      <c r="K6" s="961" t="s">
        <v>4</v>
      </c>
      <c r="L6" s="962"/>
      <c r="M6" s="963"/>
    </row>
    <row r="7" spans="1:17" x14ac:dyDescent="0.2">
      <c r="A7" s="346" t="s">
        <v>5</v>
      </c>
      <c r="B7" s="346" t="s">
        <v>1</v>
      </c>
      <c r="C7" s="346">
        <v>566</v>
      </c>
      <c r="D7" s="346">
        <v>1.1382699999999999</v>
      </c>
      <c r="E7" s="346">
        <v>644.26</v>
      </c>
      <c r="H7" s="365" t="s">
        <v>6</v>
      </c>
      <c r="I7" s="350" t="s">
        <v>7</v>
      </c>
      <c r="J7" s="351" t="s">
        <v>8</v>
      </c>
      <c r="K7" s="357" t="s">
        <v>9</v>
      </c>
      <c r="L7" s="349" t="s">
        <v>10</v>
      </c>
      <c r="M7" s="351" t="s">
        <v>11</v>
      </c>
      <c r="N7" s="361" t="s">
        <v>12</v>
      </c>
      <c r="P7" s="349"/>
    </row>
    <row r="8" spans="1:17" x14ac:dyDescent="0.2">
      <c r="A8" s="346" t="s">
        <v>13</v>
      </c>
      <c r="B8" s="346" t="s">
        <v>14</v>
      </c>
      <c r="C8" s="346">
        <v>10441</v>
      </c>
      <c r="D8" s="346">
        <v>9.6600000000000002E-3</v>
      </c>
      <c r="E8" s="346">
        <v>100.83</v>
      </c>
      <c r="G8" t="s">
        <v>15</v>
      </c>
      <c r="H8" s="946" t="s">
        <v>16</v>
      </c>
      <c r="I8" s="352">
        <f>SUMIF(A$5:A$1086,G8,E$5:E$1086)</f>
        <v>27007335.829999991</v>
      </c>
      <c r="J8" s="353">
        <f>I8*0.99</f>
        <v>26737262.47169999</v>
      </c>
      <c r="K8" s="358">
        <v>1.371E-2</v>
      </c>
      <c r="L8" s="308">
        <v>1931666733</v>
      </c>
      <c r="M8" s="353">
        <f>L8*K8</f>
        <v>26483150.909430001</v>
      </c>
      <c r="N8" s="362">
        <f>I8-M8</f>
        <v>524184.92056998983</v>
      </c>
      <c r="P8" s="947">
        <f>J8/J$16</f>
        <v>0.52180992167283946</v>
      </c>
      <c r="Q8" s="316">
        <f>J21/J$29</f>
        <v>0.51643047810191067</v>
      </c>
    </row>
    <row r="9" spans="1:17" x14ac:dyDescent="0.2">
      <c r="A9" s="346" t="s">
        <v>15</v>
      </c>
      <c r="B9" s="346" t="s">
        <v>15</v>
      </c>
      <c r="C9" s="346">
        <v>998607</v>
      </c>
      <c r="D9" s="346">
        <v>1.413E-2</v>
      </c>
      <c r="E9" s="346">
        <v>14110.32</v>
      </c>
      <c r="G9" s="346" t="s">
        <v>0</v>
      </c>
      <c r="H9" s="366" t="s">
        <v>17</v>
      </c>
      <c r="I9" s="352">
        <f t="shared" ref="I9:I15" si="0">SUMIF(A$5:A$1086,G9,E$5:E$1086)</f>
        <v>3408238.69</v>
      </c>
      <c r="J9" s="353">
        <f t="shared" ref="J9:J15" si="1">I9*0.99</f>
        <v>3374156.3031000001</v>
      </c>
      <c r="K9" s="358">
        <v>1.091E-2</v>
      </c>
      <c r="L9" s="308">
        <v>319431730.98045254</v>
      </c>
      <c r="M9" s="353">
        <f t="shared" ref="M9:M14" si="2">L9*K9</f>
        <v>3485000.1849967372</v>
      </c>
      <c r="N9" s="362">
        <f t="shared" ref="N9:N15" si="3">I9-M9</f>
        <v>-76761.494996737223</v>
      </c>
      <c r="P9" s="947">
        <f t="shared" ref="P9:P14" si="4">J9/J$16</f>
        <v>6.5850729411663034E-2</v>
      </c>
      <c r="Q9" s="316">
        <f t="shared" ref="Q9:Q14" si="5">J22/J$29</f>
        <v>6.5406662860011788E-2</v>
      </c>
    </row>
    <row r="10" spans="1:17" x14ac:dyDescent="0.2">
      <c r="A10" s="346" t="s">
        <v>15</v>
      </c>
      <c r="B10" s="346" t="s">
        <v>15</v>
      </c>
      <c r="C10" s="346">
        <v>994345</v>
      </c>
      <c r="D10" s="346">
        <v>1.30206E-2</v>
      </c>
      <c r="E10" s="346">
        <v>12946.97</v>
      </c>
      <c r="G10" t="s">
        <v>2</v>
      </c>
      <c r="H10" s="946" t="s">
        <v>18</v>
      </c>
      <c r="I10" s="352">
        <f t="shared" si="0"/>
        <v>10441994.230000002</v>
      </c>
      <c r="J10" s="353">
        <f t="shared" si="1"/>
        <v>10337574.287700003</v>
      </c>
      <c r="K10" s="358">
        <v>7.0699999999999999E-3</v>
      </c>
      <c r="L10" s="308">
        <v>1520551690.2210946</v>
      </c>
      <c r="M10" s="353">
        <f t="shared" si="2"/>
        <v>10750300.44986314</v>
      </c>
      <c r="N10" s="362">
        <f t="shared" si="3"/>
        <v>-308306.21986313723</v>
      </c>
      <c r="P10" s="947">
        <f t="shared" si="4"/>
        <v>0.20175022910671694</v>
      </c>
      <c r="Q10" s="316">
        <f t="shared" si="5"/>
        <v>0.20176219220736991</v>
      </c>
    </row>
    <row r="11" spans="1:17" x14ac:dyDescent="0.2">
      <c r="A11" s="346" t="s">
        <v>0</v>
      </c>
      <c r="B11" s="346" t="s">
        <v>1</v>
      </c>
      <c r="C11" s="346">
        <v>79216</v>
      </c>
      <c r="D11" s="346">
        <v>1.091E-2</v>
      </c>
      <c r="E11" s="346">
        <v>864.25</v>
      </c>
      <c r="G11" t="s">
        <v>5</v>
      </c>
      <c r="H11" s="946" t="s">
        <v>19</v>
      </c>
      <c r="I11" s="352">
        <f t="shared" si="0"/>
        <v>4919859.1099999985</v>
      </c>
      <c r="J11" s="353">
        <f t="shared" si="1"/>
        <v>4870660.5188999986</v>
      </c>
      <c r="K11" s="358">
        <v>1.1383000000000001</v>
      </c>
      <c r="L11" s="308">
        <v>4836803.5036409758</v>
      </c>
      <c r="M11" s="353">
        <f t="shared" si="2"/>
        <v>5505733.4281945229</v>
      </c>
      <c r="N11" s="362">
        <f t="shared" si="3"/>
        <v>-585874.31819452439</v>
      </c>
      <c r="P11" s="947">
        <f t="shared" si="4"/>
        <v>9.5056813933449946E-2</v>
      </c>
      <c r="Q11" s="316">
        <f t="shared" si="5"/>
        <v>0.10333188838420487</v>
      </c>
    </row>
    <row r="12" spans="1:17" x14ac:dyDescent="0.2">
      <c r="A12" s="346" t="s">
        <v>2</v>
      </c>
      <c r="B12" s="346" t="s">
        <v>1</v>
      </c>
      <c r="C12" s="346">
        <v>190447</v>
      </c>
      <c r="D12" s="346">
        <v>7.0699999999999999E-3</v>
      </c>
      <c r="E12" s="346">
        <v>1346.46</v>
      </c>
      <c r="G12" t="s">
        <v>20</v>
      </c>
      <c r="H12" s="946" t="s">
        <v>21</v>
      </c>
      <c r="I12" s="352">
        <f t="shared" si="0"/>
        <v>45196.460000000006</v>
      </c>
      <c r="J12" s="353">
        <f t="shared" si="1"/>
        <v>44744.495400000007</v>
      </c>
      <c r="K12" s="358">
        <v>7.7000000000000002E-3</v>
      </c>
      <c r="L12" s="308">
        <v>9972776</v>
      </c>
      <c r="M12" s="353">
        <f t="shared" si="2"/>
        <v>76790.375200000009</v>
      </c>
      <c r="N12" s="362">
        <f t="shared" si="3"/>
        <v>-31593.915200000003</v>
      </c>
      <c r="P12" s="947">
        <f t="shared" si="4"/>
        <v>8.7324278858680879E-4</v>
      </c>
      <c r="Q12" s="316">
        <f t="shared" si="5"/>
        <v>1.5877345685566795E-3</v>
      </c>
    </row>
    <row r="13" spans="1:17" x14ac:dyDescent="0.2">
      <c r="A13" s="346" t="s">
        <v>13</v>
      </c>
      <c r="B13" s="346" t="s">
        <v>14</v>
      </c>
      <c r="C13" s="346">
        <v>10441</v>
      </c>
      <c r="D13" s="346">
        <v>9.6600000000000002E-3</v>
      </c>
      <c r="E13" s="346">
        <v>100.83</v>
      </c>
      <c r="G13" t="s">
        <v>22</v>
      </c>
      <c r="H13" s="946" t="s">
        <v>23</v>
      </c>
      <c r="I13" s="352">
        <f t="shared" si="0"/>
        <v>3814580.8000000007</v>
      </c>
      <c r="J13" s="353">
        <f t="shared" si="1"/>
        <v>3776434.9920000006</v>
      </c>
      <c r="K13" s="358">
        <v>5.2199999999999998E-3</v>
      </c>
      <c r="L13" s="308">
        <v>703687893</v>
      </c>
      <c r="M13" s="353">
        <f t="shared" si="2"/>
        <v>3673250.8014599998</v>
      </c>
      <c r="N13" s="362">
        <f t="shared" si="3"/>
        <v>141329.99854000099</v>
      </c>
      <c r="P13" s="947">
        <f t="shared" si="4"/>
        <v>7.3701683164604043E-2</v>
      </c>
      <c r="Q13" s="316">
        <f t="shared" si="5"/>
        <v>7.5948935804347639E-2</v>
      </c>
    </row>
    <row r="14" spans="1:17" x14ac:dyDescent="0.2">
      <c r="A14" s="346" t="s">
        <v>5</v>
      </c>
      <c r="B14" s="346" t="s">
        <v>1</v>
      </c>
      <c r="C14" s="346">
        <v>600</v>
      </c>
      <c r="D14" s="346">
        <v>1.1382699999999999</v>
      </c>
      <c r="E14" s="346">
        <v>682.96</v>
      </c>
      <c r="G14" t="s">
        <v>24</v>
      </c>
      <c r="H14" s="946" t="s">
        <v>25</v>
      </c>
      <c r="I14" s="352">
        <f t="shared" si="0"/>
        <v>1975622.3299999998</v>
      </c>
      <c r="J14" s="353">
        <f t="shared" si="1"/>
        <v>1955866.1066999999</v>
      </c>
      <c r="K14" s="358">
        <v>1.2132000000000001</v>
      </c>
      <c r="L14" s="308">
        <v>1416502.88</v>
      </c>
      <c r="M14" s="353">
        <f t="shared" si="2"/>
        <v>1718501.2940159999</v>
      </c>
      <c r="N14" s="362">
        <f t="shared" si="3"/>
        <v>257121.03598399996</v>
      </c>
      <c r="P14" s="947">
        <f t="shared" si="4"/>
        <v>3.8171085802816598E-2</v>
      </c>
      <c r="Q14" s="316">
        <f t="shared" si="5"/>
        <v>3.5532108073598641E-2</v>
      </c>
    </row>
    <row r="15" spans="1:17" x14ac:dyDescent="0.2">
      <c r="A15" s="346" t="s">
        <v>15</v>
      </c>
      <c r="B15" s="346" t="s">
        <v>15</v>
      </c>
      <c r="C15" s="346">
        <v>855969</v>
      </c>
      <c r="D15" s="346">
        <v>1.371E-2</v>
      </c>
      <c r="E15" s="346">
        <v>11735.33</v>
      </c>
      <c r="G15" t="s">
        <v>13</v>
      </c>
      <c r="H15" s="367" t="s">
        <v>26</v>
      </c>
      <c r="I15" s="354">
        <f t="shared" si="0"/>
        <v>144210.33000000002</v>
      </c>
      <c r="J15" s="363">
        <f t="shared" si="1"/>
        <v>142768.22670000003</v>
      </c>
      <c r="K15" s="358">
        <f>K9</f>
        <v>1.091E-2</v>
      </c>
      <c r="L15" s="308"/>
      <c r="M15" s="359"/>
      <c r="N15" s="364">
        <f t="shared" si="3"/>
        <v>144210.33000000002</v>
      </c>
    </row>
    <row r="16" spans="1:17" x14ac:dyDescent="0.2">
      <c r="A16" s="346" t="s">
        <v>0</v>
      </c>
      <c r="B16" s="346" t="s">
        <v>1</v>
      </c>
      <c r="C16" s="346">
        <v>86482</v>
      </c>
      <c r="D16" s="346">
        <v>1.091E-2</v>
      </c>
      <c r="E16" s="346">
        <v>943.52</v>
      </c>
      <c r="H16" s="368" t="s">
        <v>27</v>
      </c>
      <c r="I16" s="355">
        <f>SUM(I8:I15)</f>
        <v>51757037.779999986</v>
      </c>
      <c r="J16" s="356">
        <f>SUM(J8:J15)</f>
        <v>51239467.402199991</v>
      </c>
      <c r="K16" s="360"/>
      <c r="L16" s="175"/>
      <c r="M16" s="356">
        <f>SUM(M8:M15)</f>
        <v>51692727.4431604</v>
      </c>
      <c r="N16" s="369">
        <f>SUM(N8:N15)</f>
        <v>64310.336839591968</v>
      </c>
    </row>
    <row r="17" spans="1:16" x14ac:dyDescent="0.2">
      <c r="A17" s="346" t="s">
        <v>2</v>
      </c>
      <c r="B17" s="346" t="s">
        <v>1</v>
      </c>
      <c r="C17" s="346">
        <v>173739</v>
      </c>
      <c r="D17" s="346">
        <v>7.0699999999999999E-3</v>
      </c>
      <c r="E17" s="346">
        <v>1228.3399999999999</v>
      </c>
    </row>
    <row r="18" spans="1:16" x14ac:dyDescent="0.2">
      <c r="A18" s="346" t="s">
        <v>5</v>
      </c>
      <c r="B18" s="346" t="s">
        <v>1</v>
      </c>
      <c r="C18" s="346">
        <v>578</v>
      </c>
      <c r="D18" s="346">
        <v>1.1383000000000001</v>
      </c>
      <c r="E18" s="346">
        <v>657.94</v>
      </c>
    </row>
    <row r="19" spans="1:16" x14ac:dyDescent="0.2">
      <c r="A19" s="346" t="s">
        <v>13</v>
      </c>
      <c r="B19" s="346" t="s">
        <v>14</v>
      </c>
      <c r="C19" s="346">
        <v>10703</v>
      </c>
      <c r="D19" s="346">
        <v>9.6506000000000005E-3</v>
      </c>
      <c r="E19" s="346">
        <v>103.29</v>
      </c>
      <c r="I19" s="964" t="s">
        <v>28</v>
      </c>
      <c r="J19" s="965"/>
      <c r="K19" s="961" t="s">
        <v>29</v>
      </c>
      <c r="L19" s="962"/>
      <c r="M19" s="963"/>
      <c r="P19">
        <v>2021</v>
      </c>
    </row>
    <row r="20" spans="1:16" x14ac:dyDescent="0.2">
      <c r="A20" s="346" t="s">
        <v>15</v>
      </c>
      <c r="B20" s="346" t="s">
        <v>15</v>
      </c>
      <c r="C20" s="346">
        <v>757868</v>
      </c>
      <c r="D20" s="346">
        <v>1.371E-2</v>
      </c>
      <c r="E20" s="346">
        <v>10390.370000000001</v>
      </c>
      <c r="H20" s="365" t="s">
        <v>6</v>
      </c>
      <c r="I20" s="350" t="s">
        <v>7</v>
      </c>
      <c r="J20" s="351" t="s">
        <v>8</v>
      </c>
      <c r="K20" s="357" t="s">
        <v>9</v>
      </c>
      <c r="L20" s="349" t="s">
        <v>10</v>
      </c>
      <c r="M20" s="351" t="s">
        <v>11</v>
      </c>
      <c r="N20" s="361" t="s">
        <v>12</v>
      </c>
      <c r="P20" s="349" t="s">
        <v>30</v>
      </c>
    </row>
    <row r="21" spans="1:16" x14ac:dyDescent="0.2">
      <c r="A21" s="346" t="s">
        <v>0</v>
      </c>
      <c r="B21" s="346" t="s">
        <v>1</v>
      </c>
      <c r="C21" s="346">
        <v>69236</v>
      </c>
      <c r="D21" s="346">
        <v>1.091E-2</v>
      </c>
      <c r="E21" s="346">
        <v>755.36</v>
      </c>
      <c r="H21" s="946" t="s">
        <v>16</v>
      </c>
      <c r="I21" s="352">
        <f>J21/0.99</f>
        <v>23639020.602153454</v>
      </c>
      <c r="J21" s="353">
        <v>23402630.396131918</v>
      </c>
      <c r="K21" s="358">
        <v>1.188E-2</v>
      </c>
      <c r="L21" s="308">
        <v>2017249821</v>
      </c>
      <c r="M21" s="353">
        <f>L21*K21</f>
        <v>23964927.87348</v>
      </c>
      <c r="N21" s="362">
        <f>I21-M21</f>
        <v>-325907.27132654563</v>
      </c>
    </row>
    <row r="22" spans="1:16" x14ac:dyDescent="0.2">
      <c r="A22" s="346" t="s">
        <v>2</v>
      </c>
      <c r="B22" s="346" t="s">
        <v>1</v>
      </c>
      <c r="C22" s="346">
        <v>181164</v>
      </c>
      <c r="D22" s="346">
        <v>7.0699999999999999E-3</v>
      </c>
      <c r="E22" s="346">
        <v>1280.83</v>
      </c>
      <c r="H22" s="366" t="s">
        <v>17</v>
      </c>
      <c r="I22" s="352">
        <f t="shared" ref="I22:I27" si="6">J22/0.99</f>
        <v>2993915.9604767007</v>
      </c>
      <c r="J22" s="353">
        <f>M34*J$34</f>
        <v>2963976.8008719338</v>
      </c>
      <c r="K22" s="358">
        <v>1.0240000000000001E-2</v>
      </c>
      <c r="L22" s="308">
        <v>321595151.15507054</v>
      </c>
      <c r="M22" s="353">
        <f t="shared" ref="M22:M27" si="7">L22*K22</f>
        <v>3293134.3478279226</v>
      </c>
      <c r="N22" s="362">
        <f t="shared" ref="N22:N28" si="8">I22-M22</f>
        <v>-299218.38735122187</v>
      </c>
    </row>
    <row r="23" spans="1:16" x14ac:dyDescent="0.2">
      <c r="A23" s="346" t="s">
        <v>5</v>
      </c>
      <c r="B23" s="346" t="s">
        <v>1</v>
      </c>
      <c r="C23" s="346">
        <v>574</v>
      </c>
      <c r="D23" s="346">
        <v>1.1383000000000001</v>
      </c>
      <c r="E23" s="346">
        <v>653.38</v>
      </c>
      <c r="H23" s="946" t="s">
        <v>18</v>
      </c>
      <c r="I23" s="352">
        <f t="shared" si="6"/>
        <v>9235435.9794087764</v>
      </c>
      <c r="J23" s="353">
        <f>M35*J$34</f>
        <v>9143081.6196146887</v>
      </c>
      <c r="K23" s="358">
        <v>6.62E-3</v>
      </c>
      <c r="L23" s="308">
        <v>1533131323.1644192</v>
      </c>
      <c r="M23" s="353">
        <f t="shared" si="7"/>
        <v>10149329.359348455</v>
      </c>
      <c r="N23" s="362">
        <f t="shared" si="8"/>
        <v>-913893.37993967906</v>
      </c>
    </row>
    <row r="24" spans="1:16" x14ac:dyDescent="0.2">
      <c r="A24" s="346" t="s">
        <v>13</v>
      </c>
      <c r="B24" s="346" t="s">
        <v>14</v>
      </c>
      <c r="C24" s="346">
        <v>9206</v>
      </c>
      <c r="D24" s="346">
        <v>1.091E-2</v>
      </c>
      <c r="E24" s="346">
        <v>100.44</v>
      </c>
      <c r="H24" s="946" t="s">
        <v>19</v>
      </c>
      <c r="I24" s="352">
        <f t="shared" si="6"/>
        <v>4729900.2323631495</v>
      </c>
      <c r="J24" s="353">
        <f>M36*J$34</f>
        <v>4682601.2300395183</v>
      </c>
      <c r="K24" s="358">
        <v>1.13825</v>
      </c>
      <c r="L24" s="308">
        <v>4871856.7607075162</v>
      </c>
      <c r="M24" s="353">
        <f t="shared" si="7"/>
        <v>5545390.95787533</v>
      </c>
      <c r="N24" s="362">
        <f t="shared" si="8"/>
        <v>-815490.72551218048</v>
      </c>
    </row>
    <row r="25" spans="1:16" x14ac:dyDescent="0.2">
      <c r="A25" s="346" t="s">
        <v>13</v>
      </c>
      <c r="B25" s="346" t="s">
        <v>14</v>
      </c>
      <c r="C25" s="346">
        <v>9206</v>
      </c>
      <c r="D25" s="346">
        <v>1.091E-2</v>
      </c>
      <c r="E25" s="346">
        <v>100.44</v>
      </c>
      <c r="H25" s="946" t="s">
        <v>21</v>
      </c>
      <c r="I25" s="352">
        <f t="shared" si="6"/>
        <v>72676.752764107834</v>
      </c>
      <c r="J25" s="353">
        <f>J$35*M37</f>
        <v>71949.98523646676</v>
      </c>
      <c r="K25" s="358">
        <v>7.5700000000000003E-3</v>
      </c>
      <c r="L25" s="308">
        <v>8702978</v>
      </c>
      <c r="M25" s="353">
        <f t="shared" si="7"/>
        <v>65881.543460000001</v>
      </c>
      <c r="N25" s="362">
        <f t="shared" si="8"/>
        <v>6795.2093041078333</v>
      </c>
    </row>
    <row r="26" spans="1:16" x14ac:dyDescent="0.2">
      <c r="A26" s="346" t="s">
        <v>5</v>
      </c>
      <c r="B26" s="346" t="s">
        <v>1</v>
      </c>
      <c r="C26" s="346">
        <v>626</v>
      </c>
      <c r="D26" s="346">
        <v>1.1383000000000001</v>
      </c>
      <c r="E26" s="346">
        <v>712.58</v>
      </c>
      <c r="H26" s="946" t="s">
        <v>23</v>
      </c>
      <c r="I26" s="352">
        <f t="shared" si="6"/>
        <v>3476476.5720049422</v>
      </c>
      <c r="J26" s="353">
        <f>J$35*M38</f>
        <v>3441711.8062848928</v>
      </c>
      <c r="K26" s="358">
        <v>5.2100000000000002E-3</v>
      </c>
      <c r="L26" s="308">
        <v>714469990</v>
      </c>
      <c r="M26" s="353">
        <f t="shared" si="7"/>
        <v>3722388.6479000002</v>
      </c>
      <c r="N26" s="362">
        <f t="shared" si="8"/>
        <v>-245912.07589505799</v>
      </c>
    </row>
    <row r="27" spans="1:16" x14ac:dyDescent="0.2">
      <c r="A27" s="346" t="s">
        <v>2</v>
      </c>
      <c r="B27" s="346" t="s">
        <v>1</v>
      </c>
      <c r="C27" s="346">
        <v>218053</v>
      </c>
      <c r="D27" s="346">
        <v>7.0699999999999999E-3</v>
      </c>
      <c r="E27" s="346">
        <v>1541.64</v>
      </c>
      <c r="H27" s="946" t="s">
        <v>25</v>
      </c>
      <c r="I27" s="352">
        <f t="shared" si="6"/>
        <v>1626442.0292870272</v>
      </c>
      <c r="J27" s="353">
        <f>J$35*M39</f>
        <v>1610177.6089941568</v>
      </c>
      <c r="K27" s="358">
        <v>1.21316</v>
      </c>
      <c r="L27" s="308">
        <v>1390845.426</v>
      </c>
      <c r="M27" s="353">
        <f t="shared" si="7"/>
        <v>1687318.03700616</v>
      </c>
      <c r="N27" s="362">
        <f t="shared" si="8"/>
        <v>-60876.007719132816</v>
      </c>
    </row>
    <row r="28" spans="1:16" x14ac:dyDescent="0.2">
      <c r="A28" s="346" t="s">
        <v>0</v>
      </c>
      <c r="B28" s="346" t="s">
        <v>1</v>
      </c>
      <c r="C28" s="346">
        <v>127295</v>
      </c>
      <c r="D28" s="346">
        <v>1.091E-2</v>
      </c>
      <c r="E28" s="346">
        <v>1388.79</v>
      </c>
      <c r="H28" s="367" t="s">
        <v>26</v>
      </c>
      <c r="I28" s="354">
        <v>0</v>
      </c>
      <c r="J28" s="363">
        <f>I28*0.99</f>
        <v>0</v>
      </c>
      <c r="K28" s="358">
        <f>K22</f>
        <v>1.0240000000000001E-2</v>
      </c>
      <c r="L28" s="308"/>
      <c r="M28" s="359"/>
      <c r="N28" s="364">
        <f t="shared" si="8"/>
        <v>0</v>
      </c>
    </row>
    <row r="29" spans="1:16" x14ac:dyDescent="0.2">
      <c r="A29" s="346" t="s">
        <v>15</v>
      </c>
      <c r="B29" s="346" t="s">
        <v>15</v>
      </c>
      <c r="C29" s="346">
        <v>839500</v>
      </c>
      <c r="D29" s="346">
        <v>1.371E-2</v>
      </c>
      <c r="E29" s="346">
        <v>11509.54</v>
      </c>
      <c r="H29" s="368" t="s">
        <v>27</v>
      </c>
      <c r="I29" s="355">
        <f>SUM(I21:I28)</f>
        <v>45773868.128458157</v>
      </c>
      <c r="J29" s="356">
        <f>SUM(J21:J28)</f>
        <v>45316129.447173566</v>
      </c>
      <c r="K29" s="360"/>
      <c r="L29" s="175"/>
      <c r="M29" s="356">
        <f>SUM(M21:M28)</f>
        <v>48428370.766897865</v>
      </c>
      <c r="N29" s="369">
        <f>SUM(N21:N28)</f>
        <v>-2654502.6384397103</v>
      </c>
    </row>
    <row r="30" spans="1:16" x14ac:dyDescent="0.2">
      <c r="A30" s="346" t="s">
        <v>5</v>
      </c>
      <c r="B30" s="346" t="s">
        <v>1</v>
      </c>
      <c r="C30" s="346">
        <v>564</v>
      </c>
      <c r="D30" s="346">
        <v>1.1383156000000001</v>
      </c>
      <c r="E30" s="346">
        <v>642.01</v>
      </c>
    </row>
    <row r="31" spans="1:16" x14ac:dyDescent="0.2">
      <c r="A31" s="346" t="s">
        <v>13</v>
      </c>
      <c r="B31" s="346" t="s">
        <v>14</v>
      </c>
      <c r="C31" s="346">
        <v>9503</v>
      </c>
      <c r="D31" s="346">
        <v>1.091E-2</v>
      </c>
      <c r="E31" s="346">
        <v>103.68</v>
      </c>
    </row>
    <row r="32" spans="1:16" x14ac:dyDescent="0.2">
      <c r="A32" s="346" t="s">
        <v>2</v>
      </c>
      <c r="B32" s="346" t="s">
        <v>1</v>
      </c>
      <c r="C32" s="346">
        <v>163173</v>
      </c>
      <c r="D32" s="346">
        <v>7.0699999999999999E-3</v>
      </c>
      <c r="E32" s="346">
        <v>1153.6300000000001</v>
      </c>
    </row>
    <row r="33" spans="1:13" x14ac:dyDescent="0.2">
      <c r="A33" s="346" t="s">
        <v>0</v>
      </c>
      <c r="B33" s="346" t="s">
        <v>1</v>
      </c>
      <c r="C33" s="346">
        <v>101117</v>
      </c>
      <c r="D33" s="346">
        <v>1.091E-2</v>
      </c>
      <c r="E33" s="346">
        <v>1103.19</v>
      </c>
    </row>
    <row r="34" spans="1:13" x14ac:dyDescent="0.2">
      <c r="A34" s="346" t="s">
        <v>15</v>
      </c>
      <c r="B34" s="346" t="s">
        <v>15</v>
      </c>
      <c r="C34" s="346">
        <v>804055</v>
      </c>
      <c r="D34" s="346">
        <v>1.371E-2</v>
      </c>
      <c r="E34" s="346">
        <v>11023.6</v>
      </c>
      <c r="J34">
        <v>16789659.65052614</v>
      </c>
      <c r="L34" s="405" t="s">
        <v>31</v>
      </c>
      <c r="M34" s="332">
        <f>M9/SUM(M$9:M$11)</f>
        <v>0.17653584781148624</v>
      </c>
    </row>
    <row r="35" spans="1:13" x14ac:dyDescent="0.2">
      <c r="A35" s="346" t="s">
        <v>15</v>
      </c>
      <c r="B35" s="346" t="s">
        <v>15</v>
      </c>
      <c r="C35" s="346">
        <v>674248</v>
      </c>
      <c r="D35" s="346">
        <v>1.371E-2</v>
      </c>
      <c r="E35" s="346">
        <v>9243.94</v>
      </c>
      <c r="J35">
        <v>5123839.4005155163</v>
      </c>
      <c r="L35" s="405" t="s">
        <v>32</v>
      </c>
      <c r="M35" s="332">
        <f>M10/SUM(M$9:M$11)</f>
        <v>0.54456622766192708</v>
      </c>
    </row>
    <row r="36" spans="1:13" x14ac:dyDescent="0.2">
      <c r="A36" s="346" t="s">
        <v>0</v>
      </c>
      <c r="B36" s="346" t="s">
        <v>1</v>
      </c>
      <c r="C36" s="346">
        <v>99176</v>
      </c>
      <c r="D36" s="346">
        <v>1.091E-2</v>
      </c>
      <c r="E36" s="346">
        <v>1082.01</v>
      </c>
      <c r="L36" s="405" t="s">
        <v>33</v>
      </c>
      <c r="M36" s="332">
        <f>M11/SUM(M$9:M$11)</f>
        <v>0.27889792452658674</v>
      </c>
    </row>
    <row r="37" spans="1:13" x14ac:dyDescent="0.2">
      <c r="A37" s="346" t="s">
        <v>2</v>
      </c>
      <c r="B37" s="346" t="s">
        <v>1</v>
      </c>
      <c r="C37" s="346">
        <v>165212</v>
      </c>
      <c r="D37" s="346">
        <v>7.0699999999999999E-3</v>
      </c>
      <c r="E37" s="346">
        <v>1168.05</v>
      </c>
      <c r="L37" s="405" t="s">
        <v>34</v>
      </c>
      <c r="M37" s="332">
        <f>M12/SUM(M$12:M$14)</f>
        <v>1.4042201484540631E-2</v>
      </c>
    </row>
    <row r="38" spans="1:13" x14ac:dyDescent="0.2">
      <c r="A38" s="346" t="s">
        <v>5</v>
      </c>
      <c r="B38" s="346" t="s">
        <v>1</v>
      </c>
      <c r="C38" s="346">
        <v>626</v>
      </c>
      <c r="D38" s="346">
        <v>1.1383156000000001</v>
      </c>
      <c r="E38" s="346">
        <v>712.59</v>
      </c>
      <c r="L38" s="405" t="s">
        <v>35</v>
      </c>
      <c r="M38" s="332">
        <f>M13/SUM(M$12:M$14)</f>
        <v>0.67170563658545146</v>
      </c>
    </row>
    <row r="39" spans="1:13" x14ac:dyDescent="0.2">
      <c r="A39" s="346" t="s">
        <v>13</v>
      </c>
      <c r="B39" s="346" t="s">
        <v>14</v>
      </c>
      <c r="C39" s="346">
        <v>9206</v>
      </c>
      <c r="D39" s="346">
        <v>1.091E-2</v>
      </c>
      <c r="E39" s="346">
        <v>100.44</v>
      </c>
      <c r="L39" s="405" t="s">
        <v>36</v>
      </c>
      <c r="M39" s="332">
        <f>M14/SUM(M$12:M$14)</f>
        <v>0.31425216193000793</v>
      </c>
    </row>
    <row r="40" spans="1:13" x14ac:dyDescent="0.2">
      <c r="A40" s="346" t="s">
        <v>5</v>
      </c>
      <c r="B40" s="346" t="s">
        <v>1</v>
      </c>
      <c r="C40" s="346">
        <v>727</v>
      </c>
      <c r="D40" s="346">
        <v>1.1383156000000001</v>
      </c>
      <c r="E40" s="346">
        <v>827.56</v>
      </c>
    </row>
    <row r="41" spans="1:13" x14ac:dyDescent="0.2">
      <c r="A41" s="346" t="s">
        <v>13</v>
      </c>
      <c r="B41" s="346" t="s">
        <v>14</v>
      </c>
      <c r="C41" s="346">
        <v>9269</v>
      </c>
      <c r="D41" s="346">
        <v>1.0910599999999999E-2</v>
      </c>
      <c r="E41" s="346">
        <v>101.13</v>
      </c>
    </row>
    <row r="42" spans="1:13" x14ac:dyDescent="0.2">
      <c r="A42" s="346" t="s">
        <v>2</v>
      </c>
      <c r="B42" s="346" t="s">
        <v>1</v>
      </c>
      <c r="C42" s="346">
        <v>268808</v>
      </c>
      <c r="D42" s="346">
        <v>7.0699999999999999E-3</v>
      </c>
      <c r="E42" s="346">
        <v>1900.47</v>
      </c>
    </row>
    <row r="43" spans="1:13" x14ac:dyDescent="0.2">
      <c r="A43" s="346" t="s">
        <v>0</v>
      </c>
      <c r="B43" s="346" t="s">
        <v>1</v>
      </c>
      <c r="C43" s="346">
        <v>79597</v>
      </c>
      <c r="D43" s="346">
        <v>1.091E-2</v>
      </c>
      <c r="E43" s="346">
        <v>868.4</v>
      </c>
    </row>
    <row r="44" spans="1:13" x14ac:dyDescent="0.2">
      <c r="A44" s="346" t="s">
        <v>15</v>
      </c>
      <c r="B44" s="346" t="s">
        <v>15</v>
      </c>
      <c r="C44" s="346">
        <v>774225</v>
      </c>
      <c r="D44" s="346">
        <v>1.371E-2</v>
      </c>
      <c r="E44" s="346">
        <v>10614.62</v>
      </c>
    </row>
    <row r="45" spans="1:13" x14ac:dyDescent="0.2">
      <c r="A45" s="346" t="s">
        <v>0</v>
      </c>
      <c r="B45" s="346" t="s">
        <v>1</v>
      </c>
      <c r="C45" s="346">
        <v>126447</v>
      </c>
      <c r="D45" s="346">
        <v>1.09099E-2</v>
      </c>
      <c r="E45" s="346">
        <v>1379.53</v>
      </c>
    </row>
    <row r="46" spans="1:13" x14ac:dyDescent="0.2">
      <c r="A46" s="346" t="s">
        <v>2</v>
      </c>
      <c r="B46" s="346" t="s">
        <v>1</v>
      </c>
      <c r="C46" s="346">
        <v>218410</v>
      </c>
      <c r="D46" s="346">
        <v>7.0699999999999999E-3</v>
      </c>
      <c r="E46" s="346">
        <v>1544.16</v>
      </c>
    </row>
    <row r="47" spans="1:13" x14ac:dyDescent="0.2">
      <c r="A47" s="346" t="s">
        <v>5</v>
      </c>
      <c r="B47" s="346" t="s">
        <v>1</v>
      </c>
      <c r="C47" s="346">
        <v>713</v>
      </c>
      <c r="D47" s="346">
        <v>1.1382749000000001</v>
      </c>
      <c r="E47" s="346">
        <v>811.59</v>
      </c>
    </row>
    <row r="48" spans="1:13" x14ac:dyDescent="0.2">
      <c r="A48" s="346" t="s">
        <v>13</v>
      </c>
      <c r="B48" s="346" t="s">
        <v>14</v>
      </c>
      <c r="C48" s="346">
        <v>9566</v>
      </c>
      <c r="D48" s="346">
        <v>1.0910599999999999E-2</v>
      </c>
      <c r="E48" s="346">
        <v>104.37</v>
      </c>
    </row>
    <row r="49" spans="1:5" x14ac:dyDescent="0.2">
      <c r="A49" s="346" t="s">
        <v>15</v>
      </c>
      <c r="B49" s="346" t="s">
        <v>15</v>
      </c>
      <c r="C49" s="346">
        <v>1051264</v>
      </c>
      <c r="D49" s="346">
        <v>1.371E-2</v>
      </c>
      <c r="E49" s="346">
        <v>14412.83</v>
      </c>
    </row>
    <row r="50" spans="1:5" x14ac:dyDescent="0.2">
      <c r="A50" s="346" t="s">
        <v>13</v>
      </c>
      <c r="B50" s="346" t="s">
        <v>14</v>
      </c>
      <c r="C50" s="346">
        <v>9341</v>
      </c>
      <c r="D50" s="346">
        <v>1.091E-2</v>
      </c>
      <c r="E50" s="346">
        <v>101.91</v>
      </c>
    </row>
    <row r="51" spans="1:5" x14ac:dyDescent="0.2">
      <c r="A51" s="346" t="s">
        <v>5</v>
      </c>
      <c r="B51" s="346" t="s">
        <v>1</v>
      </c>
      <c r="C51" s="346">
        <v>658</v>
      </c>
      <c r="D51" s="346">
        <v>1.1382979</v>
      </c>
      <c r="E51" s="346">
        <v>749</v>
      </c>
    </row>
    <row r="52" spans="1:5" x14ac:dyDescent="0.2">
      <c r="A52" s="346" t="s">
        <v>2</v>
      </c>
      <c r="B52" s="346" t="s">
        <v>1</v>
      </c>
      <c r="C52" s="346">
        <v>183653</v>
      </c>
      <c r="D52" s="346">
        <v>7.0699999999999999E-3</v>
      </c>
      <c r="E52" s="346">
        <v>1298.43</v>
      </c>
    </row>
    <row r="53" spans="1:5" x14ac:dyDescent="0.2">
      <c r="A53" s="346" t="s">
        <v>0</v>
      </c>
      <c r="B53" s="346" t="s">
        <v>1</v>
      </c>
      <c r="C53" s="346">
        <v>60226</v>
      </c>
      <c r="D53" s="346">
        <v>1.09099E-2</v>
      </c>
      <c r="E53" s="346">
        <v>657.06</v>
      </c>
    </row>
    <row r="54" spans="1:5" x14ac:dyDescent="0.2">
      <c r="A54" s="346" t="s">
        <v>15</v>
      </c>
      <c r="B54" s="346" t="s">
        <v>15</v>
      </c>
      <c r="C54" s="346">
        <v>638612</v>
      </c>
      <c r="D54" s="346">
        <v>1.371E-2</v>
      </c>
      <c r="E54" s="346">
        <v>8755.3700000000008</v>
      </c>
    </row>
    <row r="55" spans="1:5" x14ac:dyDescent="0.2">
      <c r="A55" s="346" t="s">
        <v>15</v>
      </c>
      <c r="B55" s="346" t="s">
        <v>15</v>
      </c>
      <c r="C55" s="346">
        <v>772021</v>
      </c>
      <c r="D55" s="346">
        <v>1.371E-2</v>
      </c>
      <c r="E55" s="346">
        <v>10584.41</v>
      </c>
    </row>
    <row r="56" spans="1:5" x14ac:dyDescent="0.2">
      <c r="A56" s="346" t="s">
        <v>0</v>
      </c>
      <c r="B56" s="346" t="s">
        <v>1</v>
      </c>
      <c r="C56" s="346">
        <v>65280</v>
      </c>
      <c r="D56" s="346">
        <v>1.0911799999999999E-2</v>
      </c>
      <c r="E56" s="346">
        <v>712.32</v>
      </c>
    </row>
    <row r="57" spans="1:5" x14ac:dyDescent="0.2">
      <c r="A57" s="346" t="s">
        <v>2</v>
      </c>
      <c r="B57" s="346" t="s">
        <v>1</v>
      </c>
      <c r="C57" s="346">
        <v>193083</v>
      </c>
      <c r="D57" s="346">
        <v>7.0699999999999999E-3</v>
      </c>
      <c r="E57" s="346">
        <v>1365.1</v>
      </c>
    </row>
    <row r="58" spans="1:5" x14ac:dyDescent="0.2">
      <c r="A58" s="346" t="s">
        <v>13</v>
      </c>
      <c r="B58" s="346" t="s">
        <v>14</v>
      </c>
      <c r="C58" s="346">
        <v>9404</v>
      </c>
      <c r="D58" s="346">
        <v>1.091E-2</v>
      </c>
      <c r="E58" s="346">
        <v>102.6</v>
      </c>
    </row>
    <row r="59" spans="1:5" x14ac:dyDescent="0.2">
      <c r="A59" s="346" t="s">
        <v>5</v>
      </c>
      <c r="B59" s="346" t="s">
        <v>1</v>
      </c>
      <c r="C59" s="346">
        <v>621</v>
      </c>
      <c r="D59" s="346">
        <v>1.1382979</v>
      </c>
      <c r="E59" s="346">
        <v>706.88</v>
      </c>
    </row>
    <row r="60" spans="1:5" x14ac:dyDescent="0.2">
      <c r="A60" s="346" t="s">
        <v>15</v>
      </c>
      <c r="B60" s="346" t="s">
        <v>15</v>
      </c>
      <c r="C60" s="346">
        <v>962663</v>
      </c>
      <c r="D60" s="346">
        <v>1.371E-2</v>
      </c>
      <c r="E60" s="346">
        <v>13198.11</v>
      </c>
    </row>
    <row r="61" spans="1:5" x14ac:dyDescent="0.2">
      <c r="A61" s="346" t="s">
        <v>0</v>
      </c>
      <c r="B61" s="346" t="s">
        <v>1</v>
      </c>
      <c r="C61" s="346">
        <v>81000</v>
      </c>
      <c r="D61" s="346">
        <v>1.091E-2</v>
      </c>
      <c r="E61" s="346">
        <v>883.71</v>
      </c>
    </row>
    <row r="62" spans="1:5" x14ac:dyDescent="0.2">
      <c r="A62" s="346" t="s">
        <v>2</v>
      </c>
      <c r="B62" s="346" t="s">
        <v>1</v>
      </c>
      <c r="C62" s="346">
        <v>168501</v>
      </c>
      <c r="D62" s="346">
        <v>7.0699999999999999E-3</v>
      </c>
      <c r="E62" s="346">
        <v>1191.3</v>
      </c>
    </row>
    <row r="63" spans="1:5" x14ac:dyDescent="0.2">
      <c r="A63" s="346" t="s">
        <v>5</v>
      </c>
      <c r="B63" s="346" t="s">
        <v>1</v>
      </c>
      <c r="C63" s="346">
        <v>634</v>
      </c>
      <c r="D63" s="346">
        <v>1.1382979</v>
      </c>
      <c r="E63" s="346">
        <v>721.68</v>
      </c>
    </row>
    <row r="64" spans="1:5" x14ac:dyDescent="0.2">
      <c r="A64" s="346" t="s">
        <v>13</v>
      </c>
      <c r="B64" s="346" t="s">
        <v>14</v>
      </c>
      <c r="C64" s="346">
        <v>9665</v>
      </c>
      <c r="D64" s="346">
        <v>1.091E-2</v>
      </c>
      <c r="E64" s="346">
        <v>105.45</v>
      </c>
    </row>
    <row r="65" spans="1:5" x14ac:dyDescent="0.2">
      <c r="A65" s="346" t="s">
        <v>13</v>
      </c>
      <c r="B65" s="346" t="s">
        <v>14</v>
      </c>
      <c r="C65" s="346">
        <v>10844</v>
      </c>
      <c r="D65" s="346">
        <v>1.091E-2</v>
      </c>
      <c r="E65" s="346">
        <v>118.31</v>
      </c>
    </row>
    <row r="66" spans="1:5" x14ac:dyDescent="0.2">
      <c r="A66" s="346" t="s">
        <v>15</v>
      </c>
      <c r="B66" s="346" t="s">
        <v>15</v>
      </c>
      <c r="C66" s="346">
        <v>1304680</v>
      </c>
      <c r="D66" s="346">
        <v>1.371E-2</v>
      </c>
      <c r="E66" s="346">
        <v>17887.16</v>
      </c>
    </row>
    <row r="67" spans="1:5" x14ac:dyDescent="0.2">
      <c r="A67" s="346" t="s">
        <v>5</v>
      </c>
      <c r="B67" s="346" t="s">
        <v>1</v>
      </c>
      <c r="C67" s="346">
        <v>1997.43</v>
      </c>
      <c r="D67" s="346">
        <v>1.1383000000000001</v>
      </c>
      <c r="E67" s="346">
        <v>2273.67</v>
      </c>
    </row>
    <row r="68" spans="1:5" x14ac:dyDescent="0.2">
      <c r="A68" s="346" t="s">
        <v>2</v>
      </c>
      <c r="B68" s="346" t="s">
        <v>1</v>
      </c>
      <c r="C68" s="346">
        <v>926130</v>
      </c>
      <c r="D68" s="346">
        <v>7.0699999999999999E-3</v>
      </c>
      <c r="E68" s="346">
        <v>6547.74</v>
      </c>
    </row>
    <row r="69" spans="1:5" x14ac:dyDescent="0.2">
      <c r="A69" s="346" t="s">
        <v>0</v>
      </c>
      <c r="B69" s="346" t="s">
        <v>1</v>
      </c>
      <c r="C69" s="346">
        <v>285115</v>
      </c>
      <c r="D69" s="346">
        <v>1.091E-2</v>
      </c>
      <c r="E69" s="346">
        <v>3110.61</v>
      </c>
    </row>
    <row r="70" spans="1:5" x14ac:dyDescent="0.2">
      <c r="A70" s="346" t="s">
        <v>13</v>
      </c>
      <c r="B70" s="346" t="s">
        <v>14</v>
      </c>
      <c r="C70" s="346">
        <v>10789</v>
      </c>
      <c r="D70" s="346">
        <v>1.091E-2</v>
      </c>
      <c r="E70" s="346">
        <v>117.71</v>
      </c>
    </row>
    <row r="71" spans="1:5" x14ac:dyDescent="0.2">
      <c r="A71" s="346" t="s">
        <v>2</v>
      </c>
      <c r="B71" s="346" t="s">
        <v>1</v>
      </c>
      <c r="C71" s="346">
        <v>744976</v>
      </c>
      <c r="D71" s="346">
        <v>7.0699999999999999E-3</v>
      </c>
      <c r="E71" s="346">
        <v>5266.98</v>
      </c>
    </row>
    <row r="72" spans="1:5" ht="12.75" customHeight="1" x14ac:dyDescent="0.25">
      <c r="A72" s="346" t="s">
        <v>0</v>
      </c>
      <c r="B72" s="346" t="s">
        <v>1</v>
      </c>
      <c r="C72" s="202">
        <v>205875</v>
      </c>
      <c r="D72" s="347">
        <v>1.091E-2</v>
      </c>
      <c r="E72" s="202">
        <v>2246.1</v>
      </c>
    </row>
    <row r="73" spans="1:5" x14ac:dyDescent="0.2">
      <c r="A73" s="346" t="s">
        <v>15</v>
      </c>
      <c r="B73" s="346" t="s">
        <v>15</v>
      </c>
      <c r="C73" s="346">
        <v>1268648</v>
      </c>
      <c r="D73" s="346">
        <v>1.371E-2</v>
      </c>
      <c r="E73" s="346">
        <v>17393.16</v>
      </c>
    </row>
    <row r="74" spans="1:5" x14ac:dyDescent="0.2">
      <c r="A74" s="346" t="s">
        <v>5</v>
      </c>
      <c r="B74" s="346" t="s">
        <v>1</v>
      </c>
      <c r="C74" s="346">
        <v>1830.94</v>
      </c>
      <c r="D74" s="346">
        <v>1.1383000000000001</v>
      </c>
      <c r="E74" s="346">
        <v>2084.16</v>
      </c>
    </row>
    <row r="75" spans="1:5" x14ac:dyDescent="0.2">
      <c r="A75" s="346" t="s">
        <v>0</v>
      </c>
      <c r="B75" s="346" t="s">
        <v>1</v>
      </c>
      <c r="C75" s="346">
        <v>208555</v>
      </c>
      <c r="D75" s="346">
        <v>1.091E-2</v>
      </c>
      <c r="E75" s="346">
        <v>2275.34</v>
      </c>
    </row>
    <row r="76" spans="1:5" x14ac:dyDescent="0.2">
      <c r="A76" s="346" t="s">
        <v>2</v>
      </c>
      <c r="B76" s="346" t="s">
        <v>1</v>
      </c>
      <c r="C76" s="346">
        <v>704020</v>
      </c>
      <c r="D76" s="346">
        <v>7.0699999999999999E-3</v>
      </c>
      <c r="E76" s="346">
        <v>4977.42</v>
      </c>
    </row>
    <row r="77" spans="1:5" x14ac:dyDescent="0.2">
      <c r="A77" s="346" t="s">
        <v>5</v>
      </c>
      <c r="B77" s="346" t="s">
        <v>1</v>
      </c>
      <c r="C77" s="346">
        <v>1790.91</v>
      </c>
      <c r="D77" s="346">
        <v>1.1383000000000001</v>
      </c>
      <c r="E77" s="346">
        <v>2038.59</v>
      </c>
    </row>
    <row r="78" spans="1:5" x14ac:dyDescent="0.2">
      <c r="A78" s="346" t="s">
        <v>13</v>
      </c>
      <c r="B78" s="346" t="s">
        <v>14</v>
      </c>
      <c r="C78" s="346">
        <v>10768</v>
      </c>
      <c r="D78" s="346">
        <v>1.091E-2</v>
      </c>
      <c r="E78" s="346">
        <v>117.48</v>
      </c>
    </row>
    <row r="79" spans="1:5" x14ac:dyDescent="0.2">
      <c r="A79" s="346" t="s">
        <v>15</v>
      </c>
      <c r="B79" s="346" t="s">
        <v>15</v>
      </c>
      <c r="C79" s="346">
        <v>1237048</v>
      </c>
      <c r="D79" s="346">
        <v>1.371E-2</v>
      </c>
      <c r="E79" s="346">
        <v>16959.93</v>
      </c>
    </row>
    <row r="80" spans="1:5" x14ac:dyDescent="0.2">
      <c r="A80" s="346" t="s">
        <v>13</v>
      </c>
      <c r="B80" s="346" t="s">
        <v>14</v>
      </c>
      <c r="C80" s="346">
        <v>10746</v>
      </c>
      <c r="D80" s="346">
        <v>1.091E-2</v>
      </c>
      <c r="E80" s="346">
        <v>117.24</v>
      </c>
    </row>
    <row r="81" spans="1:5" x14ac:dyDescent="0.2">
      <c r="A81" s="346" t="s">
        <v>5</v>
      </c>
      <c r="B81" s="346" t="s">
        <v>1</v>
      </c>
      <c r="C81" s="346">
        <v>1803.84</v>
      </c>
      <c r="D81" s="346">
        <v>1.1383000000000001</v>
      </c>
      <c r="E81" s="346">
        <v>2053.31</v>
      </c>
    </row>
    <row r="82" spans="1:5" x14ac:dyDescent="0.2">
      <c r="A82" s="346" t="s">
        <v>2</v>
      </c>
      <c r="B82" s="346" t="s">
        <v>1</v>
      </c>
      <c r="C82" s="346">
        <v>770256</v>
      </c>
      <c r="D82" s="346">
        <v>7.0699999999999999E-3</v>
      </c>
      <c r="E82" s="346">
        <v>5445.71</v>
      </c>
    </row>
    <row r="83" spans="1:5" x14ac:dyDescent="0.2">
      <c r="A83" s="346" t="s">
        <v>0</v>
      </c>
      <c r="B83" s="346" t="s">
        <v>1</v>
      </c>
      <c r="C83" s="346">
        <v>187483</v>
      </c>
      <c r="D83" s="346">
        <v>1.091E-2</v>
      </c>
      <c r="E83" s="346">
        <v>2045.44</v>
      </c>
    </row>
    <row r="84" spans="1:5" x14ac:dyDescent="0.2">
      <c r="A84" s="346" t="s">
        <v>15</v>
      </c>
      <c r="B84" s="346" t="s">
        <v>15</v>
      </c>
      <c r="C84" s="346">
        <v>1412325</v>
      </c>
      <c r="D84" s="346">
        <v>1.371E-2</v>
      </c>
      <c r="E84" s="346">
        <v>19362.97</v>
      </c>
    </row>
    <row r="85" spans="1:5" x14ac:dyDescent="0.2">
      <c r="A85" s="346" t="s">
        <v>13</v>
      </c>
      <c r="B85" s="346" t="s">
        <v>14</v>
      </c>
      <c r="C85" s="346">
        <v>10746</v>
      </c>
      <c r="D85" s="346">
        <v>1.091E-2</v>
      </c>
      <c r="E85" s="346">
        <v>117.24</v>
      </c>
    </row>
    <row r="86" spans="1:5" x14ac:dyDescent="0.2">
      <c r="A86" s="346" t="s">
        <v>5</v>
      </c>
      <c r="B86" s="346" t="s">
        <v>1</v>
      </c>
      <c r="C86" s="346">
        <v>1919.49</v>
      </c>
      <c r="D86" s="346">
        <v>1.1383000000000001</v>
      </c>
      <c r="E86" s="346">
        <v>2184.96</v>
      </c>
    </row>
    <row r="87" spans="1:5" x14ac:dyDescent="0.2">
      <c r="A87" s="346" t="s">
        <v>2</v>
      </c>
      <c r="B87" s="346" t="s">
        <v>1</v>
      </c>
      <c r="C87" s="346">
        <v>885534</v>
      </c>
      <c r="D87" s="346">
        <v>7.0699999999999999E-3</v>
      </c>
      <c r="E87" s="346">
        <v>6260.72</v>
      </c>
    </row>
    <row r="88" spans="1:5" x14ac:dyDescent="0.2">
      <c r="A88" s="346" t="s">
        <v>0</v>
      </c>
      <c r="B88" s="346" t="s">
        <v>1</v>
      </c>
      <c r="C88" s="346">
        <v>189966</v>
      </c>
      <c r="D88" s="346">
        <v>1.091E-2</v>
      </c>
      <c r="E88" s="346">
        <v>2072.5300000000002</v>
      </c>
    </row>
    <row r="89" spans="1:5" x14ac:dyDescent="0.2">
      <c r="A89" s="346" t="s">
        <v>15</v>
      </c>
      <c r="B89" s="346" t="s">
        <v>15</v>
      </c>
      <c r="C89" s="346">
        <v>1158593</v>
      </c>
      <c r="D89" s="346">
        <v>1.371E-2</v>
      </c>
      <c r="E89" s="346">
        <v>15884.31</v>
      </c>
    </row>
    <row r="90" spans="1:5" x14ac:dyDescent="0.2">
      <c r="A90" s="346" t="s">
        <v>0</v>
      </c>
      <c r="B90" s="346" t="s">
        <v>1</v>
      </c>
      <c r="C90" s="346">
        <v>167464</v>
      </c>
      <c r="D90" s="346">
        <v>1.091E-2</v>
      </c>
      <c r="E90" s="346">
        <v>1827.04</v>
      </c>
    </row>
    <row r="91" spans="1:5" x14ac:dyDescent="0.2">
      <c r="A91" s="346" t="s">
        <v>2</v>
      </c>
      <c r="B91" s="346" t="s">
        <v>1</v>
      </c>
      <c r="C91" s="346">
        <v>777463</v>
      </c>
      <c r="D91" s="346">
        <v>7.0699999999999999E-3</v>
      </c>
      <c r="E91" s="346">
        <v>5496.66</v>
      </c>
    </row>
    <row r="92" spans="1:5" x14ac:dyDescent="0.2">
      <c r="A92" s="346" t="s">
        <v>5</v>
      </c>
      <c r="B92" s="346" t="s">
        <v>1</v>
      </c>
      <c r="C92" s="346">
        <v>2044.71</v>
      </c>
      <c r="D92" s="346">
        <v>1.1383000000000001</v>
      </c>
      <c r="E92" s="346">
        <v>2327.4899999999998</v>
      </c>
    </row>
    <row r="93" spans="1:5" x14ac:dyDescent="0.2">
      <c r="A93" s="346" t="s">
        <v>13</v>
      </c>
      <c r="B93" s="346" t="s">
        <v>14</v>
      </c>
      <c r="C93" s="346">
        <v>10746</v>
      </c>
      <c r="D93" s="346">
        <v>1.091E-2</v>
      </c>
      <c r="E93" s="346">
        <v>117.24</v>
      </c>
    </row>
    <row r="94" spans="1:5" x14ac:dyDescent="0.2">
      <c r="A94" s="346" t="s">
        <v>15</v>
      </c>
      <c r="B94" s="346" t="s">
        <v>15</v>
      </c>
      <c r="C94" s="346">
        <v>911299</v>
      </c>
      <c r="D94" s="346">
        <v>1.371E-2</v>
      </c>
      <c r="E94" s="346">
        <v>12493.91</v>
      </c>
    </row>
    <row r="95" spans="1:5" x14ac:dyDescent="0.2">
      <c r="A95" s="346" t="s">
        <v>0</v>
      </c>
      <c r="B95" s="346" t="s">
        <v>1</v>
      </c>
      <c r="C95" s="346">
        <v>213063</v>
      </c>
      <c r="D95" s="346">
        <v>1.091E-2</v>
      </c>
      <c r="E95" s="346">
        <v>2324.52</v>
      </c>
    </row>
    <row r="96" spans="1:5" x14ac:dyDescent="0.2">
      <c r="A96" s="346" t="s">
        <v>2</v>
      </c>
      <c r="B96" s="346" t="s">
        <v>1</v>
      </c>
      <c r="C96" s="346">
        <v>986772</v>
      </c>
      <c r="D96" s="346">
        <v>7.0699999999999999E-3</v>
      </c>
      <c r="E96" s="346">
        <v>6976.48</v>
      </c>
    </row>
    <row r="97" spans="1:5" x14ac:dyDescent="0.2">
      <c r="A97" s="346" t="s">
        <v>5</v>
      </c>
      <c r="B97" s="346" t="s">
        <v>1</v>
      </c>
      <c r="C97" s="346">
        <v>2096.65</v>
      </c>
      <c r="D97" s="346">
        <v>1.1382968</v>
      </c>
      <c r="E97" s="346">
        <v>2386.61</v>
      </c>
    </row>
    <row r="98" spans="1:5" x14ac:dyDescent="0.2">
      <c r="A98" s="346" t="s">
        <v>13</v>
      </c>
      <c r="B98" s="346" t="s">
        <v>14</v>
      </c>
      <c r="C98" s="346">
        <v>10703</v>
      </c>
      <c r="D98" s="346">
        <v>1.091E-2</v>
      </c>
      <c r="E98" s="346">
        <v>116.77</v>
      </c>
    </row>
    <row r="99" spans="1:5" x14ac:dyDescent="0.2">
      <c r="A99" s="346" t="s">
        <v>15</v>
      </c>
      <c r="B99" s="346" t="s">
        <v>15</v>
      </c>
      <c r="C99" s="346">
        <v>1077379</v>
      </c>
      <c r="D99" s="346">
        <v>1.371E-2</v>
      </c>
      <c r="E99" s="346">
        <v>14770.86</v>
      </c>
    </row>
    <row r="100" spans="1:5" x14ac:dyDescent="0.2">
      <c r="A100" s="346" t="s">
        <v>2</v>
      </c>
      <c r="B100" s="346" t="s">
        <v>1</v>
      </c>
      <c r="C100" s="346">
        <v>915363</v>
      </c>
      <c r="D100" s="346">
        <v>7.0699999999999999E-3</v>
      </c>
      <c r="E100" s="346">
        <v>6471.62</v>
      </c>
    </row>
    <row r="101" spans="1:5" x14ac:dyDescent="0.2">
      <c r="A101" s="346" t="s">
        <v>5</v>
      </c>
      <c r="B101" s="346" t="s">
        <v>1</v>
      </c>
      <c r="C101" s="346">
        <v>2082.21</v>
      </c>
      <c r="D101" s="346">
        <v>1.1383000000000001</v>
      </c>
      <c r="E101" s="346">
        <v>2370.1799999999998</v>
      </c>
    </row>
    <row r="102" spans="1:5" x14ac:dyDescent="0.2">
      <c r="A102" s="346" t="s">
        <v>15</v>
      </c>
      <c r="B102" s="346" t="s">
        <v>15</v>
      </c>
      <c r="C102" s="346">
        <v>1215702</v>
      </c>
      <c r="D102" s="346">
        <v>1.371E-2</v>
      </c>
      <c r="E102" s="346">
        <v>16667.27</v>
      </c>
    </row>
    <row r="103" spans="1:5" x14ac:dyDescent="0.2">
      <c r="A103" s="346" t="s">
        <v>13</v>
      </c>
      <c r="B103" s="346" t="s">
        <v>14</v>
      </c>
      <c r="C103" s="346">
        <v>10703</v>
      </c>
      <c r="D103" s="346">
        <v>1.091E-2</v>
      </c>
      <c r="E103" s="346">
        <v>116.77</v>
      </c>
    </row>
    <row r="104" spans="1:5" x14ac:dyDescent="0.2">
      <c r="A104" s="346" t="s">
        <v>0</v>
      </c>
      <c r="B104" s="346" t="s">
        <v>1</v>
      </c>
      <c r="C104" s="346">
        <v>207760</v>
      </c>
      <c r="D104" s="346">
        <v>1.091E-2</v>
      </c>
      <c r="E104" s="346">
        <v>2266.66</v>
      </c>
    </row>
    <row r="105" spans="1:5" x14ac:dyDescent="0.2">
      <c r="A105" s="346" t="s">
        <v>13</v>
      </c>
      <c r="B105" s="346" t="s">
        <v>14</v>
      </c>
      <c r="C105" s="346">
        <v>10746</v>
      </c>
      <c r="D105" s="346">
        <v>1.091E-2</v>
      </c>
      <c r="E105" s="346">
        <v>117.24</v>
      </c>
    </row>
    <row r="106" spans="1:5" ht="12.75" customHeight="1" x14ac:dyDescent="0.25">
      <c r="A106" s="346" t="s">
        <v>5</v>
      </c>
      <c r="B106" s="346" t="s">
        <v>1</v>
      </c>
      <c r="C106" s="202">
        <v>2026.25</v>
      </c>
      <c r="D106" s="347">
        <v>1.1383000000000001</v>
      </c>
      <c r="E106" s="202">
        <v>2306.48</v>
      </c>
    </row>
    <row r="107" spans="1:5" x14ac:dyDescent="0.2">
      <c r="A107" s="346" t="s">
        <v>2</v>
      </c>
      <c r="B107" s="346" t="s">
        <v>1</v>
      </c>
      <c r="C107" s="346">
        <v>840007</v>
      </c>
      <c r="D107" s="346">
        <v>7.0699999999999999E-3</v>
      </c>
      <c r="E107" s="346">
        <v>5938.85</v>
      </c>
    </row>
    <row r="108" spans="1:5" x14ac:dyDescent="0.2">
      <c r="A108" s="346" t="s">
        <v>0</v>
      </c>
      <c r="B108" s="346" t="s">
        <v>1</v>
      </c>
      <c r="C108" s="346">
        <v>168332</v>
      </c>
      <c r="D108" s="346">
        <v>1.091E-2</v>
      </c>
      <c r="E108" s="346">
        <v>1836.5</v>
      </c>
    </row>
    <row r="109" spans="1:5" x14ac:dyDescent="0.2">
      <c r="A109" s="346" t="s">
        <v>15</v>
      </c>
      <c r="B109" s="346" t="s">
        <v>15</v>
      </c>
      <c r="C109" s="346">
        <v>970814</v>
      </c>
      <c r="D109" s="346">
        <v>1.371E-2</v>
      </c>
      <c r="E109" s="346">
        <v>13309.86</v>
      </c>
    </row>
    <row r="110" spans="1:5" x14ac:dyDescent="0.2">
      <c r="A110" s="346" t="s">
        <v>13</v>
      </c>
      <c r="B110" s="346" t="s">
        <v>14</v>
      </c>
      <c r="C110" s="346">
        <v>10660</v>
      </c>
      <c r="D110" s="346">
        <v>1.091E-2</v>
      </c>
      <c r="E110" s="346">
        <v>116.3</v>
      </c>
    </row>
    <row r="111" spans="1:5" x14ac:dyDescent="0.2">
      <c r="A111" s="346" t="s">
        <v>2</v>
      </c>
      <c r="B111" s="346" t="s">
        <v>1</v>
      </c>
      <c r="C111" s="346">
        <v>927880</v>
      </c>
      <c r="D111" s="346">
        <v>7.0699999999999999E-3</v>
      </c>
      <c r="E111" s="346">
        <v>6560.11</v>
      </c>
    </row>
    <row r="112" spans="1:5" x14ac:dyDescent="0.2">
      <c r="A112" s="346" t="s">
        <v>0</v>
      </c>
      <c r="B112" s="346" t="s">
        <v>1</v>
      </c>
      <c r="C112" s="346">
        <v>167911</v>
      </c>
      <c r="D112" s="346">
        <v>1.091E-2</v>
      </c>
      <c r="E112" s="346">
        <v>1831.91</v>
      </c>
    </row>
    <row r="113" spans="1:5" x14ac:dyDescent="0.2">
      <c r="A113" s="346" t="s">
        <v>15</v>
      </c>
      <c r="B113" s="346" t="s">
        <v>15</v>
      </c>
      <c r="C113" s="346">
        <v>913063</v>
      </c>
      <c r="D113" s="346">
        <v>1.371E-2</v>
      </c>
      <c r="E113" s="346">
        <v>12518.09</v>
      </c>
    </row>
    <row r="114" spans="1:5" x14ac:dyDescent="0.2">
      <c r="A114" s="346" t="s">
        <v>5</v>
      </c>
      <c r="B114" s="346" t="s">
        <v>1</v>
      </c>
      <c r="C114" s="346">
        <v>1978.16</v>
      </c>
      <c r="D114" s="346">
        <v>1.1383000000000001</v>
      </c>
      <c r="E114" s="346">
        <v>2251.7399999999998</v>
      </c>
    </row>
    <row r="115" spans="1:5" x14ac:dyDescent="0.2">
      <c r="A115" s="346" t="s">
        <v>13</v>
      </c>
      <c r="B115" s="346" t="s">
        <v>14</v>
      </c>
      <c r="C115" s="346">
        <v>10660</v>
      </c>
      <c r="D115" s="346">
        <v>1.091E-2</v>
      </c>
      <c r="E115" s="346">
        <v>116.3</v>
      </c>
    </row>
    <row r="116" spans="1:5" x14ac:dyDescent="0.2">
      <c r="A116" s="346" t="s">
        <v>5</v>
      </c>
      <c r="B116" s="346" t="s">
        <v>1</v>
      </c>
      <c r="C116" s="346">
        <v>1975.39</v>
      </c>
      <c r="D116" s="346">
        <v>1.1383000000000001</v>
      </c>
      <c r="E116" s="346">
        <v>2248.59</v>
      </c>
    </row>
    <row r="117" spans="1:5" x14ac:dyDescent="0.2">
      <c r="A117" s="346" t="s">
        <v>2</v>
      </c>
      <c r="B117" s="346" t="s">
        <v>1</v>
      </c>
      <c r="C117" s="346">
        <v>654770</v>
      </c>
      <c r="D117" s="346">
        <v>7.0699999999999999E-3</v>
      </c>
      <c r="E117" s="346">
        <v>4629.22</v>
      </c>
    </row>
    <row r="118" spans="1:5" x14ac:dyDescent="0.2">
      <c r="A118" s="346" t="s">
        <v>0</v>
      </c>
      <c r="B118" s="346" t="s">
        <v>1</v>
      </c>
      <c r="C118" s="346">
        <v>156913</v>
      </c>
      <c r="D118" s="346">
        <v>1.091E-2</v>
      </c>
      <c r="E118" s="346">
        <v>1711.92</v>
      </c>
    </row>
    <row r="119" spans="1:5" x14ac:dyDescent="0.2">
      <c r="A119" s="346" t="s">
        <v>15</v>
      </c>
      <c r="B119" s="346" t="s">
        <v>15</v>
      </c>
      <c r="C119" s="346">
        <v>1016997</v>
      </c>
      <c r="D119" s="346">
        <v>1.371E-2</v>
      </c>
      <c r="E119" s="346">
        <v>13943.03</v>
      </c>
    </row>
    <row r="120" spans="1:5" x14ac:dyDescent="0.2">
      <c r="A120" s="346" t="s">
        <v>13</v>
      </c>
      <c r="B120" s="346" t="s">
        <v>14</v>
      </c>
      <c r="C120" s="346">
        <v>10498</v>
      </c>
      <c r="D120" s="346">
        <v>1.091E-2</v>
      </c>
      <c r="E120" s="346">
        <v>114.53</v>
      </c>
    </row>
    <row r="121" spans="1:5" x14ac:dyDescent="0.2">
      <c r="A121" s="346" t="s">
        <v>5</v>
      </c>
      <c r="B121" s="346" t="s">
        <v>1</v>
      </c>
      <c r="C121" s="346">
        <v>1935.62</v>
      </c>
      <c r="D121" s="346">
        <v>1.1383000000000001</v>
      </c>
      <c r="E121" s="346">
        <v>2203.3200000000002</v>
      </c>
    </row>
    <row r="122" spans="1:5" x14ac:dyDescent="0.2">
      <c r="A122" s="346" t="s">
        <v>2</v>
      </c>
      <c r="B122" s="346" t="s">
        <v>1</v>
      </c>
      <c r="C122" s="346">
        <v>1014404</v>
      </c>
      <c r="D122" s="346">
        <v>7.0699999999999999E-3</v>
      </c>
      <c r="E122" s="346">
        <v>7171.84</v>
      </c>
    </row>
    <row r="123" spans="1:5" x14ac:dyDescent="0.2">
      <c r="A123" s="346" t="s">
        <v>0</v>
      </c>
      <c r="B123" s="346" t="s">
        <v>1</v>
      </c>
      <c r="C123" s="346">
        <v>283880</v>
      </c>
      <c r="D123" s="346">
        <v>1.091E-2</v>
      </c>
      <c r="E123" s="346">
        <v>3097.13</v>
      </c>
    </row>
    <row r="124" spans="1:5" x14ac:dyDescent="0.2">
      <c r="A124" s="346" t="s">
        <v>15</v>
      </c>
      <c r="B124" s="346" t="s">
        <v>15</v>
      </c>
      <c r="C124" s="346">
        <v>1160185</v>
      </c>
      <c r="D124" s="346">
        <v>1.30118E-2</v>
      </c>
      <c r="E124" s="346">
        <v>15096.13</v>
      </c>
    </row>
    <row r="125" spans="1:5" x14ac:dyDescent="0.2">
      <c r="A125" s="346" t="s">
        <v>0</v>
      </c>
      <c r="B125" s="346" t="s">
        <v>1</v>
      </c>
      <c r="C125" s="346">
        <v>19535480</v>
      </c>
      <c r="D125" s="346">
        <v>1.091E-2</v>
      </c>
      <c r="E125" s="346">
        <v>213132.09</v>
      </c>
    </row>
    <row r="126" spans="1:5" x14ac:dyDescent="0.2">
      <c r="A126" s="346" t="s">
        <v>2</v>
      </c>
      <c r="B126" s="346" t="s">
        <v>1</v>
      </c>
      <c r="C126" s="346">
        <v>110669396</v>
      </c>
      <c r="D126" s="346">
        <v>7.0699999999999999E-3</v>
      </c>
      <c r="E126" s="346">
        <v>782432.63</v>
      </c>
    </row>
    <row r="127" spans="1:5" x14ac:dyDescent="0.2">
      <c r="A127" s="346" t="s">
        <v>5</v>
      </c>
      <c r="B127" s="346" t="s">
        <v>1</v>
      </c>
      <c r="C127" s="346">
        <v>314518.09999999998</v>
      </c>
      <c r="D127" s="346">
        <v>1.1383000000000001</v>
      </c>
      <c r="E127" s="346">
        <v>358015.99</v>
      </c>
    </row>
    <row r="128" spans="1:5" x14ac:dyDescent="0.2">
      <c r="A128" s="346" t="s">
        <v>22</v>
      </c>
      <c r="B128" s="346" t="s">
        <v>37</v>
      </c>
      <c r="C128" s="346">
        <v>60980492</v>
      </c>
      <c r="D128" s="346">
        <v>5.2199999999999998E-3</v>
      </c>
      <c r="E128" s="346">
        <v>318318.17</v>
      </c>
    </row>
    <row r="129" spans="1:5" x14ac:dyDescent="0.2">
      <c r="A129" s="346" t="s">
        <v>24</v>
      </c>
      <c r="B129" s="346" t="s">
        <v>37</v>
      </c>
      <c r="C129" s="346">
        <v>106229</v>
      </c>
      <c r="D129" s="346">
        <v>1.2132000000000001</v>
      </c>
      <c r="E129" s="346">
        <v>128877.04</v>
      </c>
    </row>
    <row r="130" spans="1:5" x14ac:dyDescent="0.2">
      <c r="A130" s="346" t="s">
        <v>13</v>
      </c>
      <c r="B130" s="346" t="s">
        <v>14</v>
      </c>
      <c r="C130" s="346">
        <v>928128</v>
      </c>
      <c r="D130" s="346">
        <v>1.091E-2</v>
      </c>
      <c r="E130" s="346">
        <v>10125.879999999999</v>
      </c>
    </row>
    <row r="131" spans="1:5" x14ac:dyDescent="0.2">
      <c r="A131" s="346" t="s">
        <v>15</v>
      </c>
      <c r="B131" s="346" t="s">
        <v>15</v>
      </c>
      <c r="C131" s="346">
        <v>158847640</v>
      </c>
      <c r="D131" s="346">
        <v>1.371E-2</v>
      </c>
      <c r="E131" s="346">
        <v>2177801.14</v>
      </c>
    </row>
    <row r="132" spans="1:5" x14ac:dyDescent="0.2">
      <c r="A132" s="346" t="s">
        <v>0</v>
      </c>
      <c r="B132" s="346" t="s">
        <v>1</v>
      </c>
      <c r="C132" s="346">
        <v>17698071</v>
      </c>
      <c r="D132" s="346">
        <v>1.091E-2</v>
      </c>
      <c r="E132" s="346">
        <v>193085.96</v>
      </c>
    </row>
    <row r="133" spans="1:5" x14ac:dyDescent="0.2">
      <c r="A133" s="346" t="s">
        <v>2</v>
      </c>
      <c r="B133" s="346" t="s">
        <v>1</v>
      </c>
      <c r="C133" s="346">
        <v>103830984</v>
      </c>
      <c r="D133" s="346">
        <v>7.0699999999999999E-3</v>
      </c>
      <c r="E133" s="346">
        <v>734085.06</v>
      </c>
    </row>
    <row r="134" spans="1:5" x14ac:dyDescent="0.2">
      <c r="A134" s="346" t="s">
        <v>5</v>
      </c>
      <c r="B134" s="346" t="s">
        <v>1</v>
      </c>
      <c r="C134" s="346">
        <v>310565.5</v>
      </c>
      <c r="D134" s="346">
        <v>1.1383000000000001</v>
      </c>
      <c r="E134" s="346">
        <v>353516.72</v>
      </c>
    </row>
    <row r="135" spans="1:5" x14ac:dyDescent="0.2">
      <c r="A135" s="346" t="s">
        <v>22</v>
      </c>
      <c r="B135" s="346" t="s">
        <v>37</v>
      </c>
      <c r="C135" s="346">
        <v>47128318</v>
      </c>
      <c r="D135" s="346">
        <v>5.2199999999999998E-3</v>
      </c>
      <c r="E135" s="346">
        <v>246009.82</v>
      </c>
    </row>
    <row r="136" spans="1:5" x14ac:dyDescent="0.2">
      <c r="A136" s="346" t="s">
        <v>24</v>
      </c>
      <c r="B136" s="346" t="s">
        <v>37</v>
      </c>
      <c r="C136" s="346">
        <v>90079</v>
      </c>
      <c r="D136" s="346">
        <v>1.2132004000000001</v>
      </c>
      <c r="E136" s="346">
        <v>109283.88</v>
      </c>
    </row>
    <row r="137" spans="1:5" x14ac:dyDescent="0.2">
      <c r="A137" s="346" t="s">
        <v>13</v>
      </c>
      <c r="B137" s="346" t="s">
        <v>14</v>
      </c>
      <c r="C137" s="346">
        <v>779523</v>
      </c>
      <c r="D137" s="346">
        <v>1.091E-2</v>
      </c>
      <c r="E137" s="346">
        <v>8504.6</v>
      </c>
    </row>
    <row r="138" spans="1:5" x14ac:dyDescent="0.2">
      <c r="A138" s="346" t="s">
        <v>15</v>
      </c>
      <c r="B138" s="346" t="s">
        <v>15</v>
      </c>
      <c r="C138" s="346">
        <v>137352654</v>
      </c>
      <c r="D138" s="346">
        <v>1.371E-2</v>
      </c>
      <c r="E138" s="346">
        <v>1883104.88</v>
      </c>
    </row>
    <row r="139" spans="1:5" x14ac:dyDescent="0.2">
      <c r="A139" s="346" t="s">
        <v>24</v>
      </c>
      <c r="B139" s="346" t="s">
        <v>37</v>
      </c>
      <c r="C139" s="346">
        <v>90332</v>
      </c>
      <c r="D139" s="346">
        <v>1.2131999</v>
      </c>
      <c r="E139" s="346">
        <v>109590.77</v>
      </c>
    </row>
    <row r="140" spans="1:5" x14ac:dyDescent="0.2">
      <c r="A140" s="346" t="s">
        <v>22</v>
      </c>
      <c r="B140" s="346" t="s">
        <v>37</v>
      </c>
      <c r="C140" s="346">
        <v>46552529</v>
      </c>
      <c r="D140" s="346">
        <v>5.2199999999999998E-3</v>
      </c>
      <c r="E140" s="346">
        <v>243004.2</v>
      </c>
    </row>
    <row r="141" spans="1:5" x14ac:dyDescent="0.2">
      <c r="A141" s="346" t="s">
        <v>5</v>
      </c>
      <c r="B141" s="346" t="s">
        <v>1</v>
      </c>
      <c r="C141" s="346">
        <v>306085.59999999998</v>
      </c>
      <c r="D141" s="346">
        <v>1.1383000000000001</v>
      </c>
      <c r="E141" s="346">
        <v>348417.23</v>
      </c>
    </row>
    <row r="142" spans="1:5" x14ac:dyDescent="0.2">
      <c r="A142" s="346" t="s">
        <v>2</v>
      </c>
      <c r="B142" s="346" t="s">
        <v>1</v>
      </c>
      <c r="C142" s="346">
        <v>104114386</v>
      </c>
      <c r="D142" s="346">
        <v>7.0699999999999999E-3</v>
      </c>
      <c r="E142" s="346">
        <v>736088.71</v>
      </c>
    </row>
    <row r="143" spans="1:5" x14ac:dyDescent="0.2">
      <c r="A143" s="346" t="s">
        <v>0</v>
      </c>
      <c r="B143" s="346" t="s">
        <v>1</v>
      </c>
      <c r="C143" s="346">
        <v>16895983</v>
      </c>
      <c r="D143" s="346">
        <v>1.091E-2</v>
      </c>
      <c r="E143" s="346">
        <v>184335.17</v>
      </c>
    </row>
    <row r="144" spans="1:5" x14ac:dyDescent="0.2">
      <c r="A144" s="346" t="s">
        <v>15</v>
      </c>
      <c r="B144" s="346" t="s">
        <v>15</v>
      </c>
      <c r="C144" s="346">
        <v>121083472</v>
      </c>
      <c r="D144" s="346">
        <v>1.371E-2</v>
      </c>
      <c r="E144" s="346">
        <v>1660054.4</v>
      </c>
    </row>
    <row r="145" spans="1:5" x14ac:dyDescent="0.2">
      <c r="A145" s="346" t="s">
        <v>13</v>
      </c>
      <c r="B145" s="346" t="s">
        <v>14</v>
      </c>
      <c r="C145" s="346">
        <v>807606</v>
      </c>
      <c r="D145" s="346">
        <v>1.091E-2</v>
      </c>
      <c r="E145" s="346">
        <v>8810.98</v>
      </c>
    </row>
    <row r="146" spans="1:5" x14ac:dyDescent="0.2">
      <c r="A146" s="346" t="s">
        <v>5</v>
      </c>
      <c r="B146" s="346" t="s">
        <v>1</v>
      </c>
      <c r="C146" s="346">
        <v>310080</v>
      </c>
      <c r="D146" s="346">
        <v>1.1383000000000001</v>
      </c>
      <c r="E146" s="346">
        <v>352964.06</v>
      </c>
    </row>
    <row r="147" spans="1:5" x14ac:dyDescent="0.2">
      <c r="A147" s="346" t="s">
        <v>2</v>
      </c>
      <c r="B147" s="346" t="s">
        <v>1</v>
      </c>
      <c r="C147" s="346">
        <v>96033349</v>
      </c>
      <c r="D147" s="346">
        <v>7.0699999999999999E-3</v>
      </c>
      <c r="E147" s="346">
        <v>678955.78</v>
      </c>
    </row>
    <row r="148" spans="1:5" x14ac:dyDescent="0.2">
      <c r="A148" s="346" t="s">
        <v>0</v>
      </c>
      <c r="B148" s="346" t="s">
        <v>1</v>
      </c>
      <c r="C148" s="346">
        <v>13509725</v>
      </c>
      <c r="D148" s="346">
        <v>1.091E-2</v>
      </c>
      <c r="E148" s="346">
        <v>147391.1</v>
      </c>
    </row>
    <row r="149" spans="1:5" x14ac:dyDescent="0.2">
      <c r="A149" s="346" t="s">
        <v>22</v>
      </c>
      <c r="B149" s="346" t="s">
        <v>37</v>
      </c>
      <c r="C149" s="346">
        <v>44011487</v>
      </c>
      <c r="D149" s="346">
        <v>5.2199999999999998E-3</v>
      </c>
      <c r="E149" s="346">
        <v>229739.96</v>
      </c>
    </row>
    <row r="150" spans="1:5" x14ac:dyDescent="0.2">
      <c r="A150" s="346" t="s">
        <v>24</v>
      </c>
      <c r="B150" s="346" t="s">
        <v>37</v>
      </c>
      <c r="C150" s="346">
        <v>92289</v>
      </c>
      <c r="D150" s="346">
        <v>1.2131999</v>
      </c>
      <c r="E150" s="346">
        <v>111965.01</v>
      </c>
    </row>
    <row r="151" spans="1:5" x14ac:dyDescent="0.2">
      <c r="A151" s="346" t="s">
        <v>13</v>
      </c>
      <c r="B151" s="346" t="s">
        <v>14</v>
      </c>
      <c r="C151" s="346">
        <v>795693</v>
      </c>
      <c r="D151" s="346">
        <v>1.091E-2</v>
      </c>
      <c r="E151" s="346">
        <v>8681.01</v>
      </c>
    </row>
    <row r="152" spans="1:5" x14ac:dyDescent="0.2">
      <c r="A152" s="346" t="s">
        <v>15</v>
      </c>
      <c r="B152" s="346" t="s">
        <v>15</v>
      </c>
      <c r="C152" s="346">
        <v>102070626</v>
      </c>
      <c r="D152" s="346">
        <v>1.371E-2</v>
      </c>
      <c r="E152" s="346">
        <v>1399388.28</v>
      </c>
    </row>
    <row r="153" spans="1:5" x14ac:dyDescent="0.2">
      <c r="A153" s="346" t="s">
        <v>13</v>
      </c>
      <c r="B153" s="346" t="s">
        <v>14</v>
      </c>
      <c r="C153" s="346">
        <v>804786</v>
      </c>
      <c r="D153" s="346">
        <v>1.091E-2</v>
      </c>
      <c r="E153" s="346">
        <v>8780.2199999999993</v>
      </c>
    </row>
    <row r="154" spans="1:5" x14ac:dyDescent="0.2">
      <c r="A154" s="346" t="s">
        <v>24</v>
      </c>
      <c r="B154" s="346" t="s">
        <v>37</v>
      </c>
      <c r="C154" s="346">
        <v>93411</v>
      </c>
      <c r="D154" s="346">
        <v>1.2131999</v>
      </c>
      <c r="E154" s="346">
        <v>113326.22</v>
      </c>
    </row>
    <row r="155" spans="1:5" x14ac:dyDescent="0.2">
      <c r="A155" s="346" t="s">
        <v>22</v>
      </c>
      <c r="B155" s="346" t="s">
        <v>37</v>
      </c>
      <c r="C155" s="346">
        <v>44357808</v>
      </c>
      <c r="D155" s="346">
        <v>5.2199999999999998E-3</v>
      </c>
      <c r="E155" s="346">
        <v>231547.76</v>
      </c>
    </row>
    <row r="156" spans="1:5" x14ac:dyDescent="0.2">
      <c r="A156" s="346" t="s">
        <v>5</v>
      </c>
      <c r="B156" s="346" t="s">
        <v>1</v>
      </c>
      <c r="C156" s="346">
        <v>322803.5</v>
      </c>
      <c r="D156" s="346">
        <v>1.1383000000000001</v>
      </c>
      <c r="E156" s="346">
        <v>367447.22</v>
      </c>
    </row>
    <row r="157" spans="1:5" x14ac:dyDescent="0.2">
      <c r="A157" s="346" t="s">
        <v>2</v>
      </c>
      <c r="B157" s="346" t="s">
        <v>1</v>
      </c>
      <c r="C157" s="346">
        <v>101252068</v>
      </c>
      <c r="D157" s="346">
        <v>7.0699999999999999E-3</v>
      </c>
      <c r="E157" s="346">
        <v>715852.12</v>
      </c>
    </row>
    <row r="158" spans="1:5" x14ac:dyDescent="0.2">
      <c r="A158" s="346" t="s">
        <v>0</v>
      </c>
      <c r="B158" s="346" t="s">
        <v>1</v>
      </c>
      <c r="C158" s="346">
        <v>13619372</v>
      </c>
      <c r="D158" s="346">
        <v>1.091E-2</v>
      </c>
      <c r="E158" s="346">
        <v>148587.35</v>
      </c>
    </row>
    <row r="159" spans="1:5" x14ac:dyDescent="0.2">
      <c r="A159" s="346" t="s">
        <v>15</v>
      </c>
      <c r="B159" s="346" t="s">
        <v>15</v>
      </c>
      <c r="C159" s="346">
        <v>100377861</v>
      </c>
      <c r="D159" s="346">
        <v>1.371E-2</v>
      </c>
      <c r="E159" s="346">
        <v>1376180.47</v>
      </c>
    </row>
    <row r="160" spans="1:5" x14ac:dyDescent="0.2">
      <c r="A160" s="346" t="s">
        <v>13</v>
      </c>
      <c r="B160" s="346" t="s">
        <v>14</v>
      </c>
      <c r="C160" s="346">
        <v>815460</v>
      </c>
      <c r="D160" s="346">
        <v>1.091E-2</v>
      </c>
      <c r="E160" s="346">
        <v>8896.67</v>
      </c>
    </row>
    <row r="161" spans="1:5" x14ac:dyDescent="0.2">
      <c r="A161" s="346" t="s">
        <v>24</v>
      </c>
      <c r="B161" s="346" t="s">
        <v>37</v>
      </c>
      <c r="C161" s="346">
        <v>100299</v>
      </c>
      <c r="D161" s="346">
        <v>1.2132000999999999</v>
      </c>
      <c r="E161" s="346">
        <v>121682.76</v>
      </c>
    </row>
    <row r="162" spans="1:5" x14ac:dyDescent="0.2">
      <c r="A162" s="346" t="s">
        <v>22</v>
      </c>
      <c r="B162" s="346" t="s">
        <v>37</v>
      </c>
      <c r="C162" s="346">
        <v>50093707</v>
      </c>
      <c r="D162" s="346">
        <v>5.2199999999999998E-3</v>
      </c>
      <c r="E162" s="346">
        <v>261489.15</v>
      </c>
    </row>
    <row r="163" spans="1:5" x14ac:dyDescent="0.2">
      <c r="A163" s="346" t="s">
        <v>5</v>
      </c>
      <c r="B163" s="346" t="s">
        <v>1</v>
      </c>
      <c r="C163" s="346">
        <v>347011.2</v>
      </c>
      <c r="D163" s="346">
        <v>1.1383000999999999</v>
      </c>
      <c r="E163" s="346">
        <v>395002.9</v>
      </c>
    </row>
    <row r="164" spans="1:5" x14ac:dyDescent="0.2">
      <c r="A164" s="346" t="s">
        <v>2</v>
      </c>
      <c r="B164" s="346" t="s">
        <v>1</v>
      </c>
      <c r="C164" s="346">
        <v>114803351</v>
      </c>
      <c r="D164" s="346">
        <v>7.0699999999999999E-3</v>
      </c>
      <c r="E164" s="346">
        <v>811659.69</v>
      </c>
    </row>
    <row r="165" spans="1:5" x14ac:dyDescent="0.2">
      <c r="A165" s="346" t="s">
        <v>0</v>
      </c>
      <c r="B165" s="346" t="s">
        <v>1</v>
      </c>
      <c r="C165" s="346">
        <v>16060729</v>
      </c>
      <c r="D165" s="346">
        <v>1.091E-2</v>
      </c>
      <c r="E165" s="346">
        <v>175222.55</v>
      </c>
    </row>
    <row r="166" spans="1:5" x14ac:dyDescent="0.2">
      <c r="A166" s="346" t="s">
        <v>15</v>
      </c>
      <c r="B166" s="346" t="s">
        <v>15</v>
      </c>
      <c r="C166" s="346">
        <v>121238981</v>
      </c>
      <c r="D166" s="346">
        <v>1.371E-2</v>
      </c>
      <c r="E166" s="346">
        <v>1662186.43</v>
      </c>
    </row>
    <row r="167" spans="1:5" x14ac:dyDescent="0.2">
      <c r="A167" s="346" t="s">
        <v>0</v>
      </c>
      <c r="B167" s="346" t="s">
        <v>1</v>
      </c>
      <c r="C167" s="346">
        <v>17328314</v>
      </c>
      <c r="D167" s="346">
        <v>1.091E-2</v>
      </c>
      <c r="E167" s="346">
        <v>189051.91</v>
      </c>
    </row>
    <row r="168" spans="1:5" x14ac:dyDescent="0.2">
      <c r="A168" s="346" t="s">
        <v>2</v>
      </c>
      <c r="B168" s="346" t="s">
        <v>1</v>
      </c>
      <c r="C168" s="346">
        <v>118760999</v>
      </c>
      <c r="D168" s="346">
        <v>7.0699999999999999E-3</v>
      </c>
      <c r="E168" s="346">
        <v>839640.26</v>
      </c>
    </row>
    <row r="169" spans="1:5" x14ac:dyDescent="0.2">
      <c r="A169" s="346" t="s">
        <v>5</v>
      </c>
      <c r="B169" s="346" t="s">
        <v>1</v>
      </c>
      <c r="C169" s="346">
        <v>357134.8</v>
      </c>
      <c r="D169" s="346">
        <v>1.1383000999999999</v>
      </c>
      <c r="E169" s="346">
        <v>406526.57</v>
      </c>
    </row>
    <row r="170" spans="1:5" x14ac:dyDescent="0.2">
      <c r="A170" s="346" t="s">
        <v>22</v>
      </c>
      <c r="B170" s="346" t="s">
        <v>37</v>
      </c>
      <c r="C170" s="346">
        <v>49179588</v>
      </c>
      <c r="D170" s="346">
        <v>5.2199999999999998E-3</v>
      </c>
      <c r="E170" s="346">
        <v>256717.45</v>
      </c>
    </row>
    <row r="171" spans="1:5" x14ac:dyDescent="0.2">
      <c r="A171" s="346" t="s">
        <v>24</v>
      </c>
      <c r="B171" s="346" t="s">
        <v>37</v>
      </c>
      <c r="C171" s="346">
        <v>101296</v>
      </c>
      <c r="D171" s="346">
        <v>1.2131996</v>
      </c>
      <c r="E171" s="346">
        <v>122892.27</v>
      </c>
    </row>
    <row r="172" spans="1:5" x14ac:dyDescent="0.2">
      <c r="A172" s="346" t="s">
        <v>13</v>
      </c>
      <c r="B172" s="346" t="s">
        <v>14</v>
      </c>
      <c r="C172" s="346">
        <v>799255</v>
      </c>
      <c r="D172" s="346">
        <v>1.091E-2</v>
      </c>
      <c r="E172" s="346">
        <v>8719.8700000000008</v>
      </c>
    </row>
    <row r="173" spans="1:5" x14ac:dyDescent="0.2">
      <c r="A173" s="346" t="s">
        <v>15</v>
      </c>
      <c r="B173" s="346" t="s">
        <v>15</v>
      </c>
      <c r="C173" s="346">
        <v>128927382</v>
      </c>
      <c r="D173" s="346">
        <v>1.371E-2</v>
      </c>
      <c r="E173" s="346">
        <v>1767594.41</v>
      </c>
    </row>
    <row r="174" spans="1:5" x14ac:dyDescent="0.2">
      <c r="A174" s="346" t="s">
        <v>22</v>
      </c>
      <c r="B174" s="346" t="s">
        <v>37</v>
      </c>
      <c r="C174" s="346">
        <v>46999828</v>
      </c>
      <c r="D174" s="346">
        <v>5.2199999999999998E-3</v>
      </c>
      <c r="E174" s="346">
        <v>245339.1</v>
      </c>
    </row>
    <row r="175" spans="1:5" x14ac:dyDescent="0.2">
      <c r="A175" s="346" t="s">
        <v>24</v>
      </c>
      <c r="B175" s="346" t="s">
        <v>37</v>
      </c>
      <c r="C175" s="346">
        <v>99865</v>
      </c>
      <c r="D175" s="346">
        <v>1.2131999</v>
      </c>
      <c r="E175" s="346">
        <v>121156.21</v>
      </c>
    </row>
    <row r="176" spans="1:5" x14ac:dyDescent="0.2">
      <c r="A176" s="346" t="s">
        <v>13</v>
      </c>
      <c r="B176" s="346" t="s">
        <v>14</v>
      </c>
      <c r="C176" s="346">
        <v>804274</v>
      </c>
      <c r="D176" s="346">
        <v>1.091E-2</v>
      </c>
      <c r="E176" s="346">
        <v>8774.6299999999992</v>
      </c>
    </row>
    <row r="177" spans="1:5" x14ac:dyDescent="0.2">
      <c r="A177" s="346" t="s">
        <v>5</v>
      </c>
      <c r="B177" s="346" t="s">
        <v>1</v>
      </c>
      <c r="C177" s="346">
        <v>339525.2</v>
      </c>
      <c r="D177" s="346">
        <v>1.1383000999999999</v>
      </c>
      <c r="E177" s="346">
        <v>386481.56</v>
      </c>
    </row>
    <row r="178" spans="1:5" x14ac:dyDescent="0.2">
      <c r="A178" s="346" t="s">
        <v>15</v>
      </c>
      <c r="B178" s="346" t="s">
        <v>15</v>
      </c>
      <c r="C178" s="346">
        <v>109860992</v>
      </c>
      <c r="D178" s="346">
        <v>1.371E-2</v>
      </c>
      <c r="E178" s="346">
        <v>1506194.2</v>
      </c>
    </row>
    <row r="179" spans="1:5" x14ac:dyDescent="0.2">
      <c r="A179" s="346" t="s">
        <v>0</v>
      </c>
      <c r="B179" s="346" t="s">
        <v>1</v>
      </c>
      <c r="C179" s="346">
        <v>11381049</v>
      </c>
      <c r="D179" s="346">
        <v>1.091E-2</v>
      </c>
      <c r="E179" s="346">
        <v>124167.24</v>
      </c>
    </row>
    <row r="180" spans="1:5" x14ac:dyDescent="0.2">
      <c r="A180" s="346" t="s">
        <v>2</v>
      </c>
      <c r="B180" s="346" t="s">
        <v>1</v>
      </c>
      <c r="C180" s="346">
        <v>108468149</v>
      </c>
      <c r="D180" s="346">
        <v>7.0699999999999999E-3</v>
      </c>
      <c r="E180" s="346">
        <v>766869.81</v>
      </c>
    </row>
    <row r="181" spans="1:5" x14ac:dyDescent="0.2">
      <c r="A181" s="346" t="s">
        <v>0</v>
      </c>
      <c r="B181" s="346" t="s">
        <v>1</v>
      </c>
      <c r="C181" s="346">
        <v>14295406</v>
      </c>
      <c r="D181" s="346">
        <v>1.091E-2</v>
      </c>
      <c r="E181" s="346">
        <v>155962.88</v>
      </c>
    </row>
    <row r="182" spans="1:5" x14ac:dyDescent="0.2">
      <c r="A182" s="346" t="s">
        <v>2</v>
      </c>
      <c r="B182" s="346" t="s">
        <v>1</v>
      </c>
      <c r="C182" s="346">
        <v>103687358</v>
      </c>
      <c r="D182" s="346">
        <v>7.0699999999999999E-3</v>
      </c>
      <c r="E182" s="346">
        <v>733069.62</v>
      </c>
    </row>
    <row r="183" spans="1:5" x14ac:dyDescent="0.2">
      <c r="A183" s="346" t="s">
        <v>5</v>
      </c>
      <c r="B183" s="346" t="s">
        <v>1</v>
      </c>
      <c r="C183" s="346">
        <v>327753.2</v>
      </c>
      <c r="D183" s="346">
        <v>1.1383002</v>
      </c>
      <c r="E183" s="346">
        <v>373081.52</v>
      </c>
    </row>
    <row r="184" spans="1:5" x14ac:dyDescent="0.2">
      <c r="A184" s="346" t="s">
        <v>22</v>
      </c>
      <c r="B184" s="346" t="s">
        <v>37</v>
      </c>
      <c r="C184" s="346">
        <v>45806785</v>
      </c>
      <c r="D184" s="346">
        <v>5.2199999999999998E-3</v>
      </c>
      <c r="E184" s="346">
        <v>239111.42</v>
      </c>
    </row>
    <row r="185" spans="1:5" x14ac:dyDescent="0.2">
      <c r="A185" s="346" t="s">
        <v>24</v>
      </c>
      <c r="B185" s="346" t="s">
        <v>37</v>
      </c>
      <c r="C185" s="346">
        <v>91996</v>
      </c>
      <c r="D185" s="346">
        <v>1.2132000000000001</v>
      </c>
      <c r="E185" s="346">
        <v>111609.55</v>
      </c>
    </row>
    <row r="186" spans="1:5" x14ac:dyDescent="0.2">
      <c r="A186" s="346" t="s">
        <v>13</v>
      </c>
      <c r="B186" s="346" t="s">
        <v>14</v>
      </c>
      <c r="C186" s="346">
        <v>792974</v>
      </c>
      <c r="D186" s="346">
        <v>1.091E-2</v>
      </c>
      <c r="E186" s="346">
        <v>8651.35</v>
      </c>
    </row>
    <row r="187" spans="1:5" x14ac:dyDescent="0.2">
      <c r="A187" s="346" t="s">
        <v>15</v>
      </c>
      <c r="B187" s="346" t="s">
        <v>15</v>
      </c>
      <c r="C187" s="346">
        <v>103111091</v>
      </c>
      <c r="D187" s="346">
        <v>1.371E-2</v>
      </c>
      <c r="E187" s="346">
        <v>1413653.06</v>
      </c>
    </row>
    <row r="188" spans="1:5" x14ac:dyDescent="0.2">
      <c r="A188" s="346" t="s">
        <v>13</v>
      </c>
      <c r="B188" s="346" t="s">
        <v>14</v>
      </c>
      <c r="C188" s="346">
        <v>777543</v>
      </c>
      <c r="D188" s="346">
        <v>1.091E-2</v>
      </c>
      <c r="E188" s="346">
        <v>8482.99</v>
      </c>
    </row>
    <row r="189" spans="1:5" x14ac:dyDescent="0.2">
      <c r="A189" s="346" t="s">
        <v>24</v>
      </c>
      <c r="B189" s="346" t="s">
        <v>37</v>
      </c>
      <c r="C189" s="346">
        <v>90911</v>
      </c>
      <c r="D189" s="346">
        <v>1.2131999</v>
      </c>
      <c r="E189" s="346">
        <v>110293.22</v>
      </c>
    </row>
    <row r="190" spans="1:5" x14ac:dyDescent="0.2">
      <c r="A190" s="346" t="s">
        <v>22</v>
      </c>
      <c r="B190" s="346" t="s">
        <v>37</v>
      </c>
      <c r="C190" s="346">
        <v>51121299</v>
      </c>
      <c r="D190" s="346">
        <v>5.2199999999999998E-3</v>
      </c>
      <c r="E190" s="346">
        <v>266853.18</v>
      </c>
    </row>
    <row r="191" spans="1:5" x14ac:dyDescent="0.2">
      <c r="A191" s="346" t="s">
        <v>5</v>
      </c>
      <c r="B191" s="346" t="s">
        <v>1</v>
      </c>
      <c r="C191" s="346">
        <v>306355.7</v>
      </c>
      <c r="D191" s="346">
        <v>1.1383000000000001</v>
      </c>
      <c r="E191" s="346">
        <v>348724.69</v>
      </c>
    </row>
    <row r="192" spans="1:5" x14ac:dyDescent="0.2">
      <c r="A192" s="346" t="s">
        <v>2</v>
      </c>
      <c r="B192" s="346" t="s">
        <v>1</v>
      </c>
      <c r="C192" s="346">
        <v>96680620</v>
      </c>
      <c r="D192" s="346">
        <v>7.0699999999999999E-3</v>
      </c>
      <c r="E192" s="346">
        <v>683531.98</v>
      </c>
    </row>
    <row r="193" spans="1:5" x14ac:dyDescent="0.2">
      <c r="A193" s="346" t="s">
        <v>0</v>
      </c>
      <c r="B193" s="346" t="s">
        <v>1</v>
      </c>
      <c r="C193" s="346">
        <v>15011201</v>
      </c>
      <c r="D193" s="346">
        <v>1.091E-2</v>
      </c>
      <c r="E193" s="346">
        <v>163772.20000000001</v>
      </c>
    </row>
    <row r="194" spans="1:5" x14ac:dyDescent="0.2">
      <c r="A194" s="346" t="s">
        <v>15</v>
      </c>
      <c r="B194" s="346" t="s">
        <v>15</v>
      </c>
      <c r="C194" s="346">
        <v>115984021</v>
      </c>
      <c r="D194" s="346">
        <v>1.371E-2</v>
      </c>
      <c r="E194" s="346">
        <v>1590140.93</v>
      </c>
    </row>
    <row r="195" spans="1:5" x14ac:dyDescent="0.2">
      <c r="A195" s="346" t="s">
        <v>13</v>
      </c>
      <c r="B195" s="346" t="s">
        <v>14</v>
      </c>
      <c r="C195" s="346">
        <v>762052</v>
      </c>
      <c r="D195" s="346">
        <v>1.091E-2</v>
      </c>
      <c r="E195" s="346">
        <v>8313.99</v>
      </c>
    </row>
    <row r="196" spans="1:5" x14ac:dyDescent="0.2">
      <c r="A196" s="346" t="s">
        <v>24</v>
      </c>
      <c r="B196" s="346" t="s">
        <v>37</v>
      </c>
      <c r="C196" s="346">
        <v>98269</v>
      </c>
      <c r="D196" s="346">
        <v>1.2131999</v>
      </c>
      <c r="E196" s="346">
        <v>119219.94</v>
      </c>
    </row>
    <row r="197" spans="1:5" x14ac:dyDescent="0.2">
      <c r="A197" s="346" t="s">
        <v>22</v>
      </c>
      <c r="B197" s="346" t="s">
        <v>37</v>
      </c>
      <c r="C197" s="346">
        <v>58798623</v>
      </c>
      <c r="D197" s="346">
        <v>5.2199999999999998E-3</v>
      </c>
      <c r="E197" s="346">
        <v>306928.81</v>
      </c>
    </row>
    <row r="198" spans="1:5" x14ac:dyDescent="0.2">
      <c r="A198" s="346" t="s">
        <v>5</v>
      </c>
      <c r="B198" s="346" t="s">
        <v>1</v>
      </c>
      <c r="C198" s="346">
        <v>307158.2</v>
      </c>
      <c r="D198" s="346">
        <v>1.1383000000000001</v>
      </c>
      <c r="E198" s="346">
        <v>349638.18</v>
      </c>
    </row>
    <row r="199" spans="1:5" x14ac:dyDescent="0.2">
      <c r="A199" s="346" t="s">
        <v>2</v>
      </c>
      <c r="B199" s="346" t="s">
        <v>1</v>
      </c>
      <c r="C199" s="346">
        <v>100871771</v>
      </c>
      <c r="D199" s="346">
        <v>7.0699999999999999E-3</v>
      </c>
      <c r="E199" s="346">
        <v>713163.42</v>
      </c>
    </row>
    <row r="200" spans="1:5" x14ac:dyDescent="0.2">
      <c r="A200" s="346" t="s">
        <v>0</v>
      </c>
      <c r="B200" s="346" t="s">
        <v>1</v>
      </c>
      <c r="C200" s="346">
        <v>16342117</v>
      </c>
      <c r="D200" s="346">
        <v>1.091E-2</v>
      </c>
      <c r="E200" s="346">
        <v>178292.5</v>
      </c>
    </row>
    <row r="201" spans="1:5" x14ac:dyDescent="0.2">
      <c r="A201" s="346" t="s">
        <v>15</v>
      </c>
      <c r="B201" s="346" t="s">
        <v>15</v>
      </c>
      <c r="C201" s="346">
        <v>137814459</v>
      </c>
      <c r="D201" s="346">
        <v>1.371E-2</v>
      </c>
      <c r="E201" s="346">
        <v>1889436.23</v>
      </c>
    </row>
    <row r="202" spans="1:5" x14ac:dyDescent="0.2">
      <c r="A202" s="346" t="s">
        <v>0</v>
      </c>
      <c r="B202" s="346" t="s">
        <v>1</v>
      </c>
      <c r="C202" s="346">
        <v>18285253</v>
      </c>
      <c r="D202" s="346">
        <v>1.091E-2</v>
      </c>
      <c r="E202" s="346">
        <v>199492.11</v>
      </c>
    </row>
    <row r="203" spans="1:5" x14ac:dyDescent="0.2">
      <c r="A203" s="346" t="s">
        <v>2</v>
      </c>
      <c r="B203" s="346" t="s">
        <v>1</v>
      </c>
      <c r="C203" s="346">
        <v>105428170</v>
      </c>
      <c r="D203" s="346">
        <v>7.0699999999999999E-3</v>
      </c>
      <c r="E203" s="346">
        <v>745377.16</v>
      </c>
    </row>
    <row r="204" spans="1:5" x14ac:dyDescent="0.2">
      <c r="A204" s="346" t="s">
        <v>5</v>
      </c>
      <c r="B204" s="346" t="s">
        <v>1</v>
      </c>
      <c r="C204" s="346">
        <v>303060.3</v>
      </c>
      <c r="D204" s="346">
        <v>1.1383002</v>
      </c>
      <c r="E204" s="346">
        <v>344973.59</v>
      </c>
    </row>
    <row r="205" spans="1:5" x14ac:dyDescent="0.2">
      <c r="A205" s="346" t="s">
        <v>13</v>
      </c>
      <c r="B205" s="346" t="s">
        <v>14</v>
      </c>
      <c r="C205" s="346">
        <v>795083</v>
      </c>
      <c r="D205" s="346">
        <v>1.091E-2</v>
      </c>
      <c r="E205" s="346">
        <v>8674.36</v>
      </c>
    </row>
    <row r="206" spans="1:5" x14ac:dyDescent="0.2">
      <c r="A206" s="346" t="s">
        <v>24</v>
      </c>
      <c r="B206" s="346" t="s">
        <v>37</v>
      </c>
      <c r="C206" s="346">
        <v>78286</v>
      </c>
      <c r="D206" s="346">
        <v>1.2132004000000001</v>
      </c>
      <c r="E206" s="346">
        <v>94976.61</v>
      </c>
    </row>
    <row r="207" spans="1:5" x14ac:dyDescent="0.2">
      <c r="A207" s="346" t="s">
        <v>22</v>
      </c>
      <c r="B207" s="346" t="s">
        <v>37</v>
      </c>
      <c r="C207" s="346">
        <v>54864640</v>
      </c>
      <c r="D207" s="346">
        <v>5.2199999999999998E-3</v>
      </c>
      <c r="E207" s="346">
        <v>286393.42</v>
      </c>
    </row>
    <row r="208" spans="1:5" x14ac:dyDescent="0.2">
      <c r="A208" s="346" t="s">
        <v>15</v>
      </c>
      <c r="B208" s="346" t="s">
        <v>15</v>
      </c>
      <c r="C208" s="346">
        <v>153474718</v>
      </c>
      <c r="D208" s="346">
        <v>1.371E-2</v>
      </c>
      <c r="E208" s="346">
        <v>2104138.39</v>
      </c>
    </row>
    <row r="209" spans="1:5" x14ac:dyDescent="0.2">
      <c r="A209" s="346" t="s">
        <v>13</v>
      </c>
      <c r="B209" s="346" t="s">
        <v>14</v>
      </c>
      <c r="C209" s="346">
        <v>8545.8799999999992</v>
      </c>
      <c r="D209" s="346">
        <v>1.09E-2</v>
      </c>
      <c r="E209" s="346">
        <v>93.15</v>
      </c>
    </row>
    <row r="210" spans="1:5" x14ac:dyDescent="0.2">
      <c r="A210" s="346" t="s">
        <v>5</v>
      </c>
      <c r="B210" s="346" t="s">
        <v>1</v>
      </c>
      <c r="C210" s="346">
        <v>1626.1179999999999</v>
      </c>
      <c r="D210" s="346">
        <v>1.1383000000000001</v>
      </c>
      <c r="E210" s="346">
        <v>1851.01</v>
      </c>
    </row>
    <row r="211" spans="1:5" x14ac:dyDescent="0.2">
      <c r="A211" s="346" t="s">
        <v>0</v>
      </c>
      <c r="B211" s="346" t="s">
        <v>1</v>
      </c>
      <c r="C211" s="346">
        <v>427770</v>
      </c>
      <c r="D211" s="346">
        <v>1.0829999999999999E-2</v>
      </c>
      <c r="E211" s="346">
        <v>4633.4799999999996</v>
      </c>
    </row>
    <row r="212" spans="1:5" x14ac:dyDescent="0.2">
      <c r="A212" s="346" t="s">
        <v>2</v>
      </c>
      <c r="B212" s="346" t="s">
        <v>1</v>
      </c>
      <c r="C212" s="346">
        <v>424820</v>
      </c>
      <c r="D212" s="346">
        <v>7.0699999999999999E-3</v>
      </c>
      <c r="E212" s="346">
        <v>3003.48</v>
      </c>
    </row>
    <row r="213" spans="1:5" x14ac:dyDescent="0.2">
      <c r="A213" s="346" t="s">
        <v>15</v>
      </c>
      <c r="B213" s="346" t="s">
        <v>15</v>
      </c>
      <c r="C213" s="346">
        <v>2191211</v>
      </c>
      <c r="D213" s="346">
        <v>1.413E-2</v>
      </c>
      <c r="E213" s="346">
        <v>30961.82</v>
      </c>
    </row>
    <row r="214" spans="1:5" x14ac:dyDescent="0.2">
      <c r="A214" s="346" t="s">
        <v>13</v>
      </c>
      <c r="B214" s="346" t="s">
        <v>14</v>
      </c>
      <c r="C214" s="346">
        <v>8536.2099999999991</v>
      </c>
      <c r="D214" s="346">
        <v>1.09123E-2</v>
      </c>
      <c r="E214" s="346">
        <v>93.15</v>
      </c>
    </row>
    <row r="215" spans="1:5" x14ac:dyDescent="0.2">
      <c r="A215" s="346" t="s">
        <v>5</v>
      </c>
      <c r="B215" s="346" t="s">
        <v>1</v>
      </c>
      <c r="C215" s="346">
        <v>1734.732</v>
      </c>
      <c r="D215" s="346">
        <v>1.1383000000000001</v>
      </c>
      <c r="E215" s="346">
        <v>1974.65</v>
      </c>
    </row>
    <row r="216" spans="1:5" x14ac:dyDescent="0.2">
      <c r="A216" s="346" t="s">
        <v>2</v>
      </c>
      <c r="B216" s="346" t="s">
        <v>1</v>
      </c>
      <c r="C216" s="346">
        <v>472738</v>
      </c>
      <c r="D216" s="346">
        <v>7.0699999999999999E-3</v>
      </c>
      <c r="E216" s="346">
        <v>3342.26</v>
      </c>
    </row>
    <row r="217" spans="1:5" x14ac:dyDescent="0.2">
      <c r="A217" s="346" t="s">
        <v>0</v>
      </c>
      <c r="B217" s="346" t="s">
        <v>1</v>
      </c>
      <c r="C217" s="346">
        <v>453769</v>
      </c>
      <c r="D217" s="346">
        <v>1.091E-2</v>
      </c>
      <c r="E217" s="346">
        <v>4950.62</v>
      </c>
    </row>
    <row r="218" spans="1:5" x14ac:dyDescent="0.2">
      <c r="A218" s="346" t="s">
        <v>15</v>
      </c>
      <c r="B218" s="346" t="s">
        <v>15</v>
      </c>
      <c r="C218" s="346">
        <v>2359565</v>
      </c>
      <c r="D218" s="346">
        <v>1.371E-2</v>
      </c>
      <c r="E218" s="346">
        <v>32349.64</v>
      </c>
    </row>
    <row r="219" spans="1:5" x14ac:dyDescent="0.2">
      <c r="A219" s="346" t="s">
        <v>5</v>
      </c>
      <c r="B219" s="346" t="s">
        <v>1</v>
      </c>
      <c r="C219" s="346">
        <v>1561.8720000000001</v>
      </c>
      <c r="D219" s="346">
        <v>1.1383000000000001</v>
      </c>
      <c r="E219" s="346">
        <v>1777.88</v>
      </c>
    </row>
    <row r="220" spans="1:5" x14ac:dyDescent="0.2">
      <c r="A220" s="346" t="s">
        <v>13</v>
      </c>
      <c r="B220" s="346" t="s">
        <v>14</v>
      </c>
      <c r="C220" s="346">
        <v>8538.0400000000009</v>
      </c>
      <c r="D220" s="346">
        <v>1.091E-2</v>
      </c>
      <c r="E220" s="346">
        <v>93.15</v>
      </c>
    </row>
    <row r="221" spans="1:5" x14ac:dyDescent="0.2">
      <c r="A221" s="346" t="s">
        <v>2</v>
      </c>
      <c r="B221" s="346" t="s">
        <v>1</v>
      </c>
      <c r="C221" s="346">
        <v>401814</v>
      </c>
      <c r="D221" s="346">
        <v>7.0699999999999999E-3</v>
      </c>
      <c r="E221" s="346">
        <v>2840.83</v>
      </c>
    </row>
    <row r="222" spans="1:5" x14ac:dyDescent="0.2">
      <c r="A222" s="346" t="s">
        <v>15</v>
      </c>
      <c r="B222" s="346" t="s">
        <v>15</v>
      </c>
      <c r="C222" s="346">
        <v>1940712</v>
      </c>
      <c r="D222" s="346">
        <v>1.371E-2</v>
      </c>
      <c r="E222" s="346">
        <v>26607.17</v>
      </c>
    </row>
    <row r="223" spans="1:5" x14ac:dyDescent="0.2">
      <c r="A223" s="346" t="s">
        <v>0</v>
      </c>
      <c r="B223" s="346" t="s">
        <v>1</v>
      </c>
      <c r="C223" s="346">
        <v>386242</v>
      </c>
      <c r="D223" s="346">
        <v>1.091E-2</v>
      </c>
      <c r="E223" s="346">
        <v>4213.91</v>
      </c>
    </row>
    <row r="224" spans="1:5" x14ac:dyDescent="0.2">
      <c r="A224" s="346" t="s">
        <v>13</v>
      </c>
      <c r="B224" s="346" t="s">
        <v>14</v>
      </c>
      <c r="C224" s="346">
        <v>8538.0400000000009</v>
      </c>
      <c r="D224" s="346">
        <v>1.091E-2</v>
      </c>
      <c r="E224" s="346">
        <v>93.15</v>
      </c>
    </row>
    <row r="225" spans="1:5" x14ac:dyDescent="0.2">
      <c r="A225" s="346" t="s">
        <v>5</v>
      </c>
      <c r="B225" s="346" t="s">
        <v>1</v>
      </c>
      <c r="C225" s="346">
        <v>1568.06</v>
      </c>
      <c r="D225" s="346">
        <v>1.1383046999999999</v>
      </c>
      <c r="E225" s="346">
        <v>1784.93</v>
      </c>
    </row>
    <row r="226" spans="1:5" x14ac:dyDescent="0.2">
      <c r="A226" s="346" t="s">
        <v>2</v>
      </c>
      <c r="B226" s="346" t="s">
        <v>1</v>
      </c>
      <c r="C226" s="346">
        <v>461453</v>
      </c>
      <c r="D226" s="346">
        <v>7.0699999999999999E-3</v>
      </c>
      <c r="E226" s="346">
        <v>3262.48</v>
      </c>
    </row>
    <row r="227" spans="1:5" x14ac:dyDescent="0.2">
      <c r="A227" s="346" t="s">
        <v>0</v>
      </c>
      <c r="B227" s="346" t="s">
        <v>1</v>
      </c>
      <c r="C227" s="346">
        <v>456294</v>
      </c>
      <c r="D227" s="346">
        <v>1.091E-2</v>
      </c>
      <c r="E227" s="346">
        <v>4978.17</v>
      </c>
    </row>
    <row r="228" spans="1:5" x14ac:dyDescent="0.2">
      <c r="A228" s="346" t="s">
        <v>15</v>
      </c>
      <c r="B228" s="346" t="s">
        <v>15</v>
      </c>
      <c r="C228" s="346">
        <v>2251630</v>
      </c>
      <c r="D228" s="346">
        <v>1.371E-2</v>
      </c>
      <c r="E228" s="346">
        <v>30869.85</v>
      </c>
    </row>
    <row r="229" spans="1:5" x14ac:dyDescent="0.2">
      <c r="A229" s="346" t="s">
        <v>5</v>
      </c>
      <c r="B229" s="346" t="s">
        <v>1</v>
      </c>
      <c r="C229" s="346">
        <v>1601.71</v>
      </c>
      <c r="D229" s="346">
        <v>1.1383046999999999</v>
      </c>
      <c r="E229" s="346">
        <v>1823.23</v>
      </c>
    </row>
    <row r="230" spans="1:5" x14ac:dyDescent="0.2">
      <c r="A230" s="346" t="s">
        <v>13</v>
      </c>
      <c r="B230" s="346" t="s">
        <v>14</v>
      </c>
      <c r="C230" s="346">
        <v>8538.0400000000009</v>
      </c>
      <c r="D230" s="346">
        <v>1.091E-2</v>
      </c>
      <c r="E230" s="346">
        <v>93.15</v>
      </c>
    </row>
    <row r="231" spans="1:5" x14ac:dyDescent="0.2">
      <c r="A231" s="346" t="s">
        <v>2</v>
      </c>
      <c r="B231" s="346" t="s">
        <v>1</v>
      </c>
      <c r="C231" s="346">
        <v>432789</v>
      </c>
      <c r="D231" s="346">
        <v>7.0699999999999999E-3</v>
      </c>
      <c r="E231" s="346">
        <v>3059.82</v>
      </c>
    </row>
    <row r="232" spans="1:5" x14ac:dyDescent="0.2">
      <c r="A232" s="346" t="s">
        <v>0</v>
      </c>
      <c r="B232" s="346" t="s">
        <v>1</v>
      </c>
      <c r="C232" s="346">
        <v>378768</v>
      </c>
      <c r="D232" s="346">
        <v>1.091E-2</v>
      </c>
      <c r="E232" s="346">
        <v>4132.3599999999997</v>
      </c>
    </row>
    <row r="233" spans="1:5" x14ac:dyDescent="0.2">
      <c r="A233" s="346" t="s">
        <v>15</v>
      </c>
      <c r="B233" s="346" t="s">
        <v>15</v>
      </c>
      <c r="C233" s="346">
        <v>1687827</v>
      </c>
      <c r="D233" s="346">
        <v>1.371E-2</v>
      </c>
      <c r="E233" s="346">
        <v>23140.11</v>
      </c>
    </row>
    <row r="234" spans="1:5" x14ac:dyDescent="0.2">
      <c r="A234" s="346" t="s">
        <v>15</v>
      </c>
      <c r="B234" s="346" t="s">
        <v>15</v>
      </c>
      <c r="C234" s="346">
        <v>1641178</v>
      </c>
      <c r="D234" s="346">
        <v>1.371E-2</v>
      </c>
      <c r="E234" s="346">
        <v>22500.55</v>
      </c>
    </row>
    <row r="235" spans="1:5" x14ac:dyDescent="0.2">
      <c r="A235" s="346" t="s">
        <v>13</v>
      </c>
      <c r="B235" s="346" t="s">
        <v>14</v>
      </c>
      <c r="C235" s="346">
        <v>8538.0400000000009</v>
      </c>
      <c r="D235" s="346">
        <v>1.091E-2</v>
      </c>
      <c r="E235" s="346">
        <v>93.15</v>
      </c>
    </row>
    <row r="236" spans="1:5" x14ac:dyDescent="0.2">
      <c r="A236" s="346" t="s">
        <v>5</v>
      </c>
      <c r="B236" s="346" t="s">
        <v>1</v>
      </c>
      <c r="C236" s="346">
        <v>1526.614</v>
      </c>
      <c r="D236" s="346">
        <v>1.1383046999999999</v>
      </c>
      <c r="E236" s="346">
        <v>1737.75</v>
      </c>
    </row>
    <row r="237" spans="1:5" x14ac:dyDescent="0.2">
      <c r="A237" s="346" t="s">
        <v>2</v>
      </c>
      <c r="B237" s="346" t="s">
        <v>1</v>
      </c>
      <c r="C237" s="346">
        <v>409264</v>
      </c>
      <c r="D237" s="346">
        <v>7.0699999999999999E-3</v>
      </c>
      <c r="E237" s="346">
        <v>2893.5</v>
      </c>
    </row>
    <row r="238" spans="1:5" x14ac:dyDescent="0.2">
      <c r="A238" s="346" t="s">
        <v>0</v>
      </c>
      <c r="B238" s="346" t="s">
        <v>1</v>
      </c>
      <c r="C238" s="346">
        <v>392046</v>
      </c>
      <c r="D238" s="346">
        <v>1.091E-2</v>
      </c>
      <c r="E238" s="346">
        <v>4277.2299999999996</v>
      </c>
    </row>
    <row r="239" spans="1:5" x14ac:dyDescent="0.2">
      <c r="A239" s="346" t="s">
        <v>0</v>
      </c>
      <c r="B239" s="346" t="s">
        <v>1</v>
      </c>
      <c r="C239" s="346">
        <v>433071</v>
      </c>
      <c r="D239" s="346">
        <v>1.091E-2</v>
      </c>
      <c r="E239" s="346">
        <v>4724.8100000000004</v>
      </c>
    </row>
    <row r="240" spans="1:5" x14ac:dyDescent="0.2">
      <c r="A240" s="346" t="s">
        <v>15</v>
      </c>
      <c r="B240" s="346" t="s">
        <v>15</v>
      </c>
      <c r="C240" s="346">
        <v>1674511</v>
      </c>
      <c r="D240" s="346">
        <v>1.371E-2</v>
      </c>
      <c r="E240" s="346">
        <v>22957.55</v>
      </c>
    </row>
    <row r="241" spans="1:5" x14ac:dyDescent="0.2">
      <c r="A241" s="346" t="s">
        <v>2</v>
      </c>
      <c r="B241" s="346" t="s">
        <v>1</v>
      </c>
      <c r="C241" s="346">
        <v>499297</v>
      </c>
      <c r="D241" s="346">
        <v>7.0699999999999999E-3</v>
      </c>
      <c r="E241" s="346">
        <v>3530.03</v>
      </c>
    </row>
    <row r="242" spans="1:5" x14ac:dyDescent="0.2">
      <c r="A242" s="346" t="s">
        <v>5</v>
      </c>
      <c r="B242" s="346" t="s">
        <v>1</v>
      </c>
      <c r="C242" s="346">
        <v>1588.1320000000001</v>
      </c>
      <c r="D242" s="346">
        <v>1.1382996000000001</v>
      </c>
      <c r="E242" s="346">
        <v>1807.77</v>
      </c>
    </row>
    <row r="243" spans="1:5" x14ac:dyDescent="0.2">
      <c r="A243" s="346" t="s">
        <v>13</v>
      </c>
      <c r="B243" s="346" t="s">
        <v>14</v>
      </c>
      <c r="C243" s="346">
        <v>8538.0400000000009</v>
      </c>
      <c r="D243" s="346">
        <v>1.091E-2</v>
      </c>
      <c r="E243" s="346">
        <v>93.15</v>
      </c>
    </row>
    <row r="244" spans="1:5" x14ac:dyDescent="0.2">
      <c r="A244" s="346" t="s">
        <v>13</v>
      </c>
      <c r="B244" s="346" t="s">
        <v>14</v>
      </c>
      <c r="C244" s="346">
        <v>8538.0400000000009</v>
      </c>
      <c r="D244" s="346">
        <v>1.091E-2</v>
      </c>
      <c r="E244" s="346">
        <v>93.15</v>
      </c>
    </row>
    <row r="245" spans="1:5" x14ac:dyDescent="0.2">
      <c r="A245" s="346" t="s">
        <v>2</v>
      </c>
      <c r="B245" s="346" t="s">
        <v>1</v>
      </c>
      <c r="C245" s="346">
        <v>494913</v>
      </c>
      <c r="D245" s="346">
        <v>7.0699999999999999E-3</v>
      </c>
      <c r="E245" s="346">
        <v>3499.04</v>
      </c>
    </row>
    <row r="246" spans="1:5" x14ac:dyDescent="0.2">
      <c r="A246" s="346" t="s">
        <v>0</v>
      </c>
      <c r="B246" s="346" t="s">
        <v>1</v>
      </c>
      <c r="C246" s="346">
        <v>460750</v>
      </c>
      <c r="D246" s="346">
        <v>1.091E-2</v>
      </c>
      <c r="E246" s="346">
        <v>5026.79</v>
      </c>
    </row>
    <row r="247" spans="1:5" x14ac:dyDescent="0.2">
      <c r="A247" s="346" t="s">
        <v>15</v>
      </c>
      <c r="B247" s="346" t="s">
        <v>15</v>
      </c>
      <c r="C247" s="346">
        <v>1853013</v>
      </c>
      <c r="D247" s="346">
        <v>1.371E-2</v>
      </c>
      <c r="E247" s="346">
        <v>25404.81</v>
      </c>
    </row>
    <row r="248" spans="1:5" x14ac:dyDescent="0.2">
      <c r="A248" s="346" t="s">
        <v>5</v>
      </c>
      <c r="B248" s="346" t="s">
        <v>1</v>
      </c>
      <c r="C248" s="346">
        <v>1605.6130000000001</v>
      </c>
      <c r="D248" s="346">
        <v>1.1382996000000001</v>
      </c>
      <c r="E248" s="346">
        <v>1827.67</v>
      </c>
    </row>
    <row r="249" spans="1:5" x14ac:dyDescent="0.2">
      <c r="A249" s="346" t="s">
        <v>13</v>
      </c>
      <c r="B249" s="346" t="s">
        <v>14</v>
      </c>
      <c r="C249" s="346">
        <v>8517.8799999999992</v>
      </c>
      <c r="D249" s="346">
        <v>1.091E-2</v>
      </c>
      <c r="E249" s="346">
        <v>92.93</v>
      </c>
    </row>
    <row r="250" spans="1:5" x14ac:dyDescent="0.2">
      <c r="A250" s="346" t="s">
        <v>5</v>
      </c>
      <c r="B250" s="346" t="s">
        <v>1</v>
      </c>
      <c r="C250" s="346">
        <v>1596.8119999999999</v>
      </c>
      <c r="D250" s="346">
        <v>1.1383056</v>
      </c>
      <c r="E250" s="346">
        <v>1817.66</v>
      </c>
    </row>
    <row r="251" spans="1:5" x14ac:dyDescent="0.2">
      <c r="A251" s="346" t="s">
        <v>2</v>
      </c>
      <c r="B251" s="346" t="s">
        <v>1</v>
      </c>
      <c r="C251" s="346">
        <v>392981</v>
      </c>
      <c r="D251" s="346">
        <v>7.0699999999999999E-3</v>
      </c>
      <c r="E251" s="346">
        <v>2778.38</v>
      </c>
    </row>
    <row r="252" spans="1:5" x14ac:dyDescent="0.2">
      <c r="A252" s="346" t="s">
        <v>0</v>
      </c>
      <c r="B252" s="346" t="s">
        <v>1</v>
      </c>
      <c r="C252" s="346">
        <v>425031</v>
      </c>
      <c r="D252" s="346">
        <v>1.091E-2</v>
      </c>
      <c r="E252" s="346">
        <v>4637.09</v>
      </c>
    </row>
    <row r="253" spans="1:5" x14ac:dyDescent="0.2">
      <c r="A253" s="346" t="s">
        <v>15</v>
      </c>
      <c r="B253" s="346" t="s">
        <v>15</v>
      </c>
      <c r="C253" s="346">
        <v>1710219</v>
      </c>
      <c r="D253" s="346">
        <v>1.371E-2</v>
      </c>
      <c r="E253" s="346">
        <v>23447.11</v>
      </c>
    </row>
    <row r="254" spans="1:5" x14ac:dyDescent="0.2">
      <c r="A254" s="346" t="s">
        <v>0</v>
      </c>
      <c r="B254" s="346" t="s">
        <v>1</v>
      </c>
      <c r="C254" s="346">
        <v>406540</v>
      </c>
      <c r="D254" s="346">
        <v>1.091E-2</v>
      </c>
      <c r="E254" s="346">
        <v>4435.3500000000004</v>
      </c>
    </row>
    <row r="255" spans="1:5" x14ac:dyDescent="0.2">
      <c r="A255" s="346" t="s">
        <v>2</v>
      </c>
      <c r="B255" s="346" t="s">
        <v>1</v>
      </c>
      <c r="C255" s="346">
        <v>442362</v>
      </c>
      <c r="D255" s="346">
        <v>7.0699999999999999E-3</v>
      </c>
      <c r="E255" s="346">
        <v>3127.5</v>
      </c>
    </row>
    <row r="256" spans="1:5" x14ac:dyDescent="0.2">
      <c r="A256" s="346" t="s">
        <v>5</v>
      </c>
      <c r="B256" s="346" t="s">
        <v>1</v>
      </c>
      <c r="C256" s="346">
        <v>1695.6410000000001</v>
      </c>
      <c r="D256" s="346">
        <v>1.1382996000000001</v>
      </c>
      <c r="E256" s="346">
        <v>1930.15</v>
      </c>
    </row>
    <row r="257" spans="1:5" x14ac:dyDescent="0.2">
      <c r="A257" s="346" t="s">
        <v>13</v>
      </c>
      <c r="B257" s="346" t="s">
        <v>14</v>
      </c>
      <c r="C257" s="346">
        <v>8517.8799999999992</v>
      </c>
      <c r="D257" s="346">
        <v>1.091E-2</v>
      </c>
      <c r="E257" s="346">
        <v>92.93</v>
      </c>
    </row>
    <row r="258" spans="1:5" x14ac:dyDescent="0.2">
      <c r="A258" s="346" t="s">
        <v>15</v>
      </c>
      <c r="B258" s="346" t="s">
        <v>15</v>
      </c>
      <c r="C258" s="346">
        <v>2368847</v>
      </c>
      <c r="D258" s="346">
        <v>1.37103E-2</v>
      </c>
      <c r="E258" s="346">
        <v>32477.58</v>
      </c>
    </row>
    <row r="259" spans="1:5" x14ac:dyDescent="0.2">
      <c r="A259" s="346" t="s">
        <v>13</v>
      </c>
      <c r="B259" s="346" t="s">
        <v>14</v>
      </c>
      <c r="C259" s="346">
        <v>8347.39</v>
      </c>
      <c r="D259" s="346">
        <v>1.091E-2</v>
      </c>
      <c r="E259" s="346">
        <v>91.07</v>
      </c>
    </row>
    <row r="260" spans="1:5" x14ac:dyDescent="0.2">
      <c r="A260" s="346" t="s">
        <v>5</v>
      </c>
      <c r="B260" s="346" t="s">
        <v>1</v>
      </c>
      <c r="C260" s="346">
        <v>1605.84</v>
      </c>
      <c r="D260" s="346">
        <v>1.1383076999999999</v>
      </c>
      <c r="E260" s="346">
        <v>1827.94</v>
      </c>
    </row>
    <row r="261" spans="1:5" x14ac:dyDescent="0.2">
      <c r="A261" s="346" t="s">
        <v>2</v>
      </c>
      <c r="B261" s="346" t="s">
        <v>1</v>
      </c>
      <c r="C261" s="346">
        <v>430564</v>
      </c>
      <c r="D261" s="346">
        <v>7.0699999999999999E-3</v>
      </c>
      <c r="E261" s="346">
        <v>3044.09</v>
      </c>
    </row>
    <row r="262" spans="1:5" x14ac:dyDescent="0.2">
      <c r="A262" s="346" t="s">
        <v>0</v>
      </c>
      <c r="B262" s="346" t="s">
        <v>1</v>
      </c>
      <c r="C262" s="346">
        <v>403527</v>
      </c>
      <c r="D262" s="346">
        <v>1.091E-2</v>
      </c>
      <c r="E262" s="346">
        <v>4402.4799999999996</v>
      </c>
    </row>
    <row r="263" spans="1:5" x14ac:dyDescent="0.2">
      <c r="A263" s="346" t="s">
        <v>15</v>
      </c>
      <c r="B263" s="346" t="s">
        <v>15</v>
      </c>
      <c r="C263" s="346">
        <v>1712166</v>
      </c>
      <c r="D263" s="346">
        <v>1.371E-2</v>
      </c>
      <c r="E263" s="346">
        <v>23473.8</v>
      </c>
    </row>
    <row r="264" spans="1:5" x14ac:dyDescent="0.2">
      <c r="A264" s="346" t="s">
        <v>13</v>
      </c>
      <c r="B264" s="346" t="s">
        <v>14</v>
      </c>
      <c r="C264" s="346">
        <v>10498</v>
      </c>
      <c r="D264" s="346">
        <v>1.091E-2</v>
      </c>
      <c r="E264" s="346">
        <v>114.53</v>
      </c>
    </row>
    <row r="265" spans="1:5" x14ac:dyDescent="0.2">
      <c r="A265" s="346" t="s">
        <v>5</v>
      </c>
      <c r="B265" s="346" t="s">
        <v>1</v>
      </c>
      <c r="C265" s="346">
        <v>2114.8200000000002</v>
      </c>
      <c r="D265" s="346">
        <v>1.1383002</v>
      </c>
      <c r="E265" s="346">
        <v>2407.3000000000002</v>
      </c>
    </row>
    <row r="266" spans="1:5" x14ac:dyDescent="0.2">
      <c r="A266" s="346" t="s">
        <v>2</v>
      </c>
      <c r="B266" s="346" t="s">
        <v>1</v>
      </c>
      <c r="C266" s="346">
        <v>492412</v>
      </c>
      <c r="D266" s="346">
        <v>7.0699999999999999E-3</v>
      </c>
      <c r="E266" s="346">
        <v>3481.35</v>
      </c>
    </row>
    <row r="267" spans="1:5" x14ac:dyDescent="0.2">
      <c r="A267" s="346" t="s">
        <v>0</v>
      </c>
      <c r="B267" s="346" t="s">
        <v>1</v>
      </c>
      <c r="C267" s="346">
        <v>432359</v>
      </c>
      <c r="D267" s="346">
        <v>1.091E-2</v>
      </c>
      <c r="E267" s="346">
        <v>4717.04</v>
      </c>
    </row>
    <row r="268" spans="1:5" x14ac:dyDescent="0.2">
      <c r="A268" s="346" t="s">
        <v>15</v>
      </c>
      <c r="B268" s="346" t="s">
        <v>15</v>
      </c>
      <c r="C268" s="346">
        <v>1999392</v>
      </c>
      <c r="D268" s="346">
        <v>1.371E-2</v>
      </c>
      <c r="E268" s="346">
        <v>27411.67</v>
      </c>
    </row>
    <row r="269" spans="1:5" x14ac:dyDescent="0.2">
      <c r="A269" s="346" t="s">
        <v>13</v>
      </c>
      <c r="B269" s="346" t="s">
        <v>14</v>
      </c>
      <c r="C269" s="346">
        <v>3592</v>
      </c>
      <c r="D269" s="346">
        <v>1.091E-2</v>
      </c>
      <c r="E269" s="346">
        <v>39.19</v>
      </c>
    </row>
    <row r="270" spans="1:5" x14ac:dyDescent="0.2">
      <c r="A270" s="346" t="s">
        <v>5</v>
      </c>
      <c r="B270" s="346" t="s">
        <v>1</v>
      </c>
      <c r="C270" s="346">
        <v>413.58</v>
      </c>
      <c r="D270" s="346">
        <v>1.1383000000000001</v>
      </c>
      <c r="E270" s="346">
        <v>470.78</v>
      </c>
    </row>
    <row r="271" spans="1:5" x14ac:dyDescent="0.2">
      <c r="A271" s="346" t="s">
        <v>2</v>
      </c>
      <c r="B271" s="346" t="s">
        <v>1</v>
      </c>
      <c r="C271" s="346">
        <v>146400</v>
      </c>
      <c r="D271" s="346">
        <v>7.0699999999999999E-3</v>
      </c>
      <c r="E271" s="346">
        <v>1035.05</v>
      </c>
    </row>
    <row r="272" spans="1:5" x14ac:dyDescent="0.2">
      <c r="A272" s="346" t="s">
        <v>0</v>
      </c>
      <c r="B272" s="346" t="s">
        <v>1</v>
      </c>
      <c r="C272" s="346">
        <v>223610</v>
      </c>
      <c r="D272" s="346">
        <v>1.091E-2</v>
      </c>
      <c r="E272" s="346">
        <v>2439.59</v>
      </c>
    </row>
    <row r="273" spans="1:5" ht="12.75" customHeight="1" x14ac:dyDescent="0.25">
      <c r="A273" s="346" t="s">
        <v>15</v>
      </c>
      <c r="B273" s="346" t="s">
        <v>15</v>
      </c>
      <c r="C273" s="202">
        <v>958467</v>
      </c>
      <c r="D273" s="347">
        <v>1.3710200000000001E-2</v>
      </c>
      <c r="E273" s="202">
        <v>13140.77</v>
      </c>
    </row>
    <row r="274" spans="1:5" x14ac:dyDescent="0.2">
      <c r="A274" s="346" t="s">
        <v>13</v>
      </c>
      <c r="B274" s="346" t="s">
        <v>14</v>
      </c>
      <c r="C274" s="346">
        <v>3592</v>
      </c>
      <c r="D274" s="346">
        <v>1.091E-2</v>
      </c>
      <c r="E274" s="346">
        <v>39.19</v>
      </c>
    </row>
    <row r="275" spans="1:5" x14ac:dyDescent="0.2">
      <c r="A275" s="346" t="s">
        <v>5</v>
      </c>
      <c r="B275" s="346" t="s">
        <v>1</v>
      </c>
      <c r="C275" s="346">
        <v>418.9</v>
      </c>
      <c r="D275" s="346">
        <v>1.1383000000000001</v>
      </c>
      <c r="E275" s="346">
        <v>476.83</v>
      </c>
    </row>
    <row r="276" spans="1:5" x14ac:dyDescent="0.2">
      <c r="A276" s="346" t="s">
        <v>2</v>
      </c>
      <c r="B276" s="346" t="s">
        <v>1</v>
      </c>
      <c r="C276" s="346">
        <v>122400</v>
      </c>
      <c r="D276" s="346">
        <v>7.0699999999999999E-3</v>
      </c>
      <c r="E276" s="346">
        <v>865.37</v>
      </c>
    </row>
    <row r="277" spans="1:5" x14ac:dyDescent="0.2">
      <c r="A277" s="346" t="s">
        <v>0</v>
      </c>
      <c r="B277" s="346" t="s">
        <v>1</v>
      </c>
      <c r="C277" s="346">
        <v>176227</v>
      </c>
      <c r="D277" s="346">
        <v>1.091E-2</v>
      </c>
      <c r="E277" s="346">
        <v>1922.64</v>
      </c>
    </row>
    <row r="278" spans="1:5" x14ac:dyDescent="0.2">
      <c r="A278" s="346" t="s">
        <v>15</v>
      </c>
      <c r="B278" s="346" t="s">
        <v>15</v>
      </c>
      <c r="C278" s="346">
        <v>718668</v>
      </c>
      <c r="D278" s="346">
        <v>1.371E-2</v>
      </c>
      <c r="E278" s="346">
        <v>9852.94</v>
      </c>
    </row>
    <row r="279" spans="1:5" x14ac:dyDescent="0.2">
      <c r="A279" s="346" t="s">
        <v>0</v>
      </c>
      <c r="B279" s="346" t="s">
        <v>1</v>
      </c>
      <c r="C279" s="346">
        <v>169681</v>
      </c>
      <c r="D279" s="346">
        <v>1.091E-2</v>
      </c>
      <c r="E279" s="346">
        <v>1851.22</v>
      </c>
    </row>
    <row r="280" spans="1:5" x14ac:dyDescent="0.2">
      <c r="A280" s="346" t="s">
        <v>2</v>
      </c>
      <c r="B280" s="346" t="s">
        <v>1</v>
      </c>
      <c r="C280" s="346">
        <v>104560</v>
      </c>
      <c r="D280" s="346">
        <v>7.0699999999999999E-3</v>
      </c>
      <c r="E280" s="346">
        <v>739.24</v>
      </c>
    </row>
    <row r="281" spans="1:5" x14ac:dyDescent="0.2">
      <c r="A281" s="346" t="s">
        <v>5</v>
      </c>
      <c r="B281" s="346" t="s">
        <v>1</v>
      </c>
      <c r="C281" s="346">
        <v>419.28</v>
      </c>
      <c r="D281" s="346">
        <v>1.1383000000000001</v>
      </c>
      <c r="E281" s="346">
        <v>477.27</v>
      </c>
    </row>
    <row r="282" spans="1:5" x14ac:dyDescent="0.2">
      <c r="A282" s="346" t="s">
        <v>13</v>
      </c>
      <c r="B282" s="346" t="s">
        <v>14</v>
      </c>
      <c r="C282" s="346">
        <v>3592</v>
      </c>
      <c r="D282" s="346">
        <v>1.091E-2</v>
      </c>
      <c r="E282" s="346">
        <v>39.19</v>
      </c>
    </row>
    <row r="283" spans="1:5" x14ac:dyDescent="0.2">
      <c r="A283" s="346" t="s">
        <v>15</v>
      </c>
      <c r="B283" s="346" t="s">
        <v>15</v>
      </c>
      <c r="C283" s="346">
        <v>680293.5</v>
      </c>
      <c r="D283" s="346">
        <v>1.371E-2</v>
      </c>
      <c r="E283" s="346">
        <v>9326.82</v>
      </c>
    </row>
    <row r="284" spans="1:5" x14ac:dyDescent="0.2">
      <c r="A284" s="346" t="s">
        <v>0</v>
      </c>
      <c r="B284" s="346" t="s">
        <v>1</v>
      </c>
      <c r="C284" s="346">
        <v>185692</v>
      </c>
      <c r="D284" s="346">
        <v>1.091E-2</v>
      </c>
      <c r="E284" s="346">
        <v>2025.9</v>
      </c>
    </row>
    <row r="285" spans="1:5" x14ac:dyDescent="0.2">
      <c r="A285" s="346" t="s">
        <v>2</v>
      </c>
      <c r="B285" s="346" t="s">
        <v>1</v>
      </c>
      <c r="C285" s="346">
        <v>133600</v>
      </c>
      <c r="D285" s="346">
        <v>7.0699999999999999E-3</v>
      </c>
      <c r="E285" s="346">
        <v>944.55</v>
      </c>
    </row>
    <row r="286" spans="1:5" x14ac:dyDescent="0.2">
      <c r="A286" s="346" t="s">
        <v>5</v>
      </c>
      <c r="B286" s="346" t="s">
        <v>1</v>
      </c>
      <c r="C286" s="346">
        <v>412.16</v>
      </c>
      <c r="D286" s="346">
        <v>1.1383000000000001</v>
      </c>
      <c r="E286" s="346">
        <v>469.16</v>
      </c>
    </row>
    <row r="287" spans="1:5" x14ac:dyDescent="0.2">
      <c r="A287" s="346" t="s">
        <v>13</v>
      </c>
      <c r="B287" s="346" t="s">
        <v>14</v>
      </c>
      <c r="C287" s="346">
        <v>3592</v>
      </c>
      <c r="D287" s="346">
        <v>1.091E-2</v>
      </c>
      <c r="E287" s="346">
        <v>39.19</v>
      </c>
    </row>
    <row r="288" spans="1:5" x14ac:dyDescent="0.2">
      <c r="A288" s="346" t="s">
        <v>15</v>
      </c>
      <c r="B288" s="346" t="s">
        <v>15</v>
      </c>
      <c r="C288" s="346">
        <v>688294.5</v>
      </c>
      <c r="D288" s="346">
        <v>1.371E-2</v>
      </c>
      <c r="E288" s="346">
        <v>9436.52</v>
      </c>
    </row>
    <row r="289" spans="1:5" x14ac:dyDescent="0.2">
      <c r="A289" s="346" t="s">
        <v>0</v>
      </c>
      <c r="B289" s="346" t="s">
        <v>1</v>
      </c>
      <c r="C289" s="346">
        <v>184648</v>
      </c>
      <c r="D289" s="346">
        <v>1.091E-2</v>
      </c>
      <c r="E289" s="346">
        <v>2014.51</v>
      </c>
    </row>
    <row r="290" spans="1:5" x14ac:dyDescent="0.2">
      <c r="A290" s="346" t="s">
        <v>15</v>
      </c>
      <c r="B290" s="346" t="s">
        <v>15</v>
      </c>
      <c r="C290" s="346">
        <v>614836</v>
      </c>
      <c r="D290" s="346">
        <v>1.371E-2</v>
      </c>
      <c r="E290" s="346">
        <v>8429.4</v>
      </c>
    </row>
    <row r="291" spans="1:5" x14ac:dyDescent="0.2">
      <c r="A291" s="346" t="s">
        <v>2</v>
      </c>
      <c r="B291" s="346" t="s">
        <v>1</v>
      </c>
      <c r="C291" s="346">
        <v>118280</v>
      </c>
      <c r="D291" s="346">
        <v>7.0699999999999999E-3</v>
      </c>
      <c r="E291" s="346">
        <v>836.24</v>
      </c>
    </row>
    <row r="292" spans="1:5" x14ac:dyDescent="0.2">
      <c r="A292" s="346" t="s">
        <v>5</v>
      </c>
      <c r="B292" s="346" t="s">
        <v>1</v>
      </c>
      <c r="C292" s="346">
        <v>411.52</v>
      </c>
      <c r="D292" s="346">
        <v>1.1383000000000001</v>
      </c>
      <c r="E292" s="346">
        <v>468.43</v>
      </c>
    </row>
    <row r="293" spans="1:5" x14ac:dyDescent="0.2">
      <c r="A293" s="346" t="s">
        <v>13</v>
      </c>
      <c r="B293" s="346" t="s">
        <v>14</v>
      </c>
      <c r="C293" s="346">
        <v>3592</v>
      </c>
      <c r="D293" s="346">
        <v>1.091E-2</v>
      </c>
      <c r="E293" s="346">
        <v>39.19</v>
      </c>
    </row>
    <row r="294" spans="1:5" x14ac:dyDescent="0.2">
      <c r="A294" s="346" t="s">
        <v>13</v>
      </c>
      <c r="B294" s="346" t="s">
        <v>14</v>
      </c>
      <c r="C294" s="346">
        <v>37323</v>
      </c>
      <c r="D294" s="346">
        <v>1.091E-3</v>
      </c>
      <c r="E294" s="346">
        <v>40.72</v>
      </c>
    </row>
    <row r="295" spans="1:5" x14ac:dyDescent="0.2">
      <c r="A295" s="346" t="s">
        <v>5</v>
      </c>
      <c r="B295" s="346" t="s">
        <v>1</v>
      </c>
      <c r="C295" s="346">
        <v>409.12</v>
      </c>
      <c r="D295" s="346">
        <v>1.1383000000000001</v>
      </c>
      <c r="E295" s="346">
        <v>465.7</v>
      </c>
    </row>
    <row r="296" spans="1:5" x14ac:dyDescent="0.2">
      <c r="A296" s="346" t="s">
        <v>2</v>
      </c>
      <c r="B296" s="346" t="s">
        <v>1</v>
      </c>
      <c r="C296" s="346">
        <v>111080</v>
      </c>
      <c r="D296" s="346">
        <v>7.0699999999999999E-3</v>
      </c>
      <c r="E296" s="346">
        <v>785.34</v>
      </c>
    </row>
    <row r="297" spans="1:5" x14ac:dyDescent="0.2">
      <c r="A297" s="346" t="s">
        <v>0</v>
      </c>
      <c r="B297" s="346" t="s">
        <v>1</v>
      </c>
      <c r="C297" s="346">
        <v>192143</v>
      </c>
      <c r="D297" s="346">
        <v>1.091E-2</v>
      </c>
      <c r="E297" s="346">
        <v>2096.2800000000002</v>
      </c>
    </row>
    <row r="298" spans="1:5" x14ac:dyDescent="0.2">
      <c r="A298" s="346" t="s">
        <v>15</v>
      </c>
      <c r="B298" s="346" t="s">
        <v>15</v>
      </c>
      <c r="C298" s="346">
        <v>661447</v>
      </c>
      <c r="D298" s="346">
        <v>1.371E-2</v>
      </c>
      <c r="E298" s="346">
        <v>9068.43</v>
      </c>
    </row>
    <row r="299" spans="1:5" x14ac:dyDescent="0.2">
      <c r="A299" s="346" t="s">
        <v>13</v>
      </c>
      <c r="B299" s="346" t="s">
        <v>14</v>
      </c>
      <c r="C299" s="346">
        <v>3632</v>
      </c>
      <c r="D299" s="346">
        <v>1.091E-2</v>
      </c>
      <c r="E299" s="346">
        <v>39.630000000000003</v>
      </c>
    </row>
    <row r="300" spans="1:5" x14ac:dyDescent="0.2">
      <c r="A300" s="346" t="s">
        <v>5</v>
      </c>
      <c r="B300" s="346" t="s">
        <v>1</v>
      </c>
      <c r="C300" s="346">
        <v>412.32</v>
      </c>
      <c r="D300" s="346">
        <v>1.1383000000000001</v>
      </c>
      <c r="E300" s="346">
        <v>469.34</v>
      </c>
    </row>
    <row r="301" spans="1:5" x14ac:dyDescent="0.2">
      <c r="A301" s="346" t="s">
        <v>2</v>
      </c>
      <c r="B301" s="346" t="s">
        <v>1</v>
      </c>
      <c r="C301" s="346">
        <v>105960</v>
      </c>
      <c r="D301" s="346">
        <v>7.0699999999999999E-3</v>
      </c>
      <c r="E301" s="346">
        <v>749.14</v>
      </c>
    </row>
    <row r="302" spans="1:5" x14ac:dyDescent="0.2">
      <c r="A302" s="346" t="s">
        <v>0</v>
      </c>
      <c r="B302" s="346" t="s">
        <v>1</v>
      </c>
      <c r="C302" s="346">
        <v>180680</v>
      </c>
      <c r="D302" s="346">
        <v>1.091E-2</v>
      </c>
      <c r="E302" s="346">
        <v>1971.22</v>
      </c>
    </row>
    <row r="303" spans="1:5" x14ac:dyDescent="0.2">
      <c r="A303" s="346" t="s">
        <v>15</v>
      </c>
      <c r="B303" s="346" t="s">
        <v>15</v>
      </c>
      <c r="C303" s="346">
        <v>741457</v>
      </c>
      <c r="D303" s="346">
        <v>1.371E-2</v>
      </c>
      <c r="E303" s="346">
        <v>10165.379999999999</v>
      </c>
    </row>
    <row r="304" spans="1:5" x14ac:dyDescent="0.2">
      <c r="A304" s="346" t="s">
        <v>0</v>
      </c>
      <c r="B304" s="346" t="s">
        <v>1</v>
      </c>
      <c r="C304" s="346">
        <v>217493</v>
      </c>
      <c r="D304" s="346">
        <v>1.091E-2</v>
      </c>
      <c r="E304" s="346">
        <v>2372.85</v>
      </c>
    </row>
    <row r="305" spans="1:5" x14ac:dyDescent="0.2">
      <c r="A305" s="346" t="s">
        <v>15</v>
      </c>
      <c r="B305" s="346" t="s">
        <v>15</v>
      </c>
      <c r="C305" s="346">
        <v>540500</v>
      </c>
      <c r="D305" s="346">
        <v>1.371E-2</v>
      </c>
      <c r="E305" s="346">
        <v>7410.25</v>
      </c>
    </row>
    <row r="306" spans="1:5" x14ac:dyDescent="0.2">
      <c r="A306" s="346" t="s">
        <v>5</v>
      </c>
      <c r="B306" s="346" t="s">
        <v>1</v>
      </c>
      <c r="C306" s="346">
        <v>411.52</v>
      </c>
      <c r="D306" s="346">
        <v>1.1383000000000001</v>
      </c>
      <c r="E306" s="346">
        <v>468.43</v>
      </c>
    </row>
    <row r="307" spans="1:5" ht="12.75" customHeight="1" x14ac:dyDescent="0.25">
      <c r="A307" s="346" t="s">
        <v>13</v>
      </c>
      <c r="B307" s="346" t="s">
        <v>14</v>
      </c>
      <c r="C307" s="348">
        <v>3732</v>
      </c>
      <c r="D307" s="347">
        <v>1.091E-2</v>
      </c>
      <c r="E307" s="202">
        <v>40.72</v>
      </c>
    </row>
    <row r="308" spans="1:5" x14ac:dyDescent="0.2">
      <c r="A308" s="346" t="s">
        <v>2</v>
      </c>
      <c r="B308" s="346" t="s">
        <v>1</v>
      </c>
      <c r="C308" s="346">
        <v>108640</v>
      </c>
      <c r="D308" s="346">
        <v>7.0699999999999999E-3</v>
      </c>
      <c r="E308" s="346">
        <v>768.08</v>
      </c>
    </row>
    <row r="309" spans="1:5" x14ac:dyDescent="0.2">
      <c r="A309" s="346" t="s">
        <v>15</v>
      </c>
      <c r="B309" s="346" t="s">
        <v>15</v>
      </c>
      <c r="C309" s="346">
        <v>618146.5</v>
      </c>
      <c r="D309" s="346">
        <v>1.371E-2</v>
      </c>
      <c r="E309" s="346">
        <v>8474.7900000000009</v>
      </c>
    </row>
    <row r="310" spans="1:5" x14ac:dyDescent="0.2">
      <c r="A310" s="346" t="s">
        <v>0</v>
      </c>
      <c r="B310" s="346" t="s">
        <v>1</v>
      </c>
      <c r="C310" s="346">
        <v>197588</v>
      </c>
      <c r="D310" s="346">
        <v>1.091E-2</v>
      </c>
      <c r="E310" s="346">
        <v>2155.69</v>
      </c>
    </row>
    <row r="311" spans="1:5" x14ac:dyDescent="0.2">
      <c r="A311" s="346" t="s">
        <v>2</v>
      </c>
      <c r="B311" s="346" t="s">
        <v>1</v>
      </c>
      <c r="C311" s="346">
        <v>122560</v>
      </c>
      <c r="D311" s="346">
        <v>7.0699999999999999E-3</v>
      </c>
      <c r="E311" s="346">
        <v>866.5</v>
      </c>
    </row>
    <row r="312" spans="1:5" x14ac:dyDescent="0.2">
      <c r="A312" s="346" t="s">
        <v>13</v>
      </c>
      <c r="B312" s="346" t="s">
        <v>14</v>
      </c>
      <c r="C312" s="346">
        <v>3732</v>
      </c>
      <c r="D312" s="346">
        <v>1.091E-2</v>
      </c>
      <c r="E312" s="346">
        <v>40.72</v>
      </c>
    </row>
    <row r="313" spans="1:5" x14ac:dyDescent="0.2">
      <c r="A313" s="346" t="s">
        <v>5</v>
      </c>
      <c r="B313" s="346" t="s">
        <v>1</v>
      </c>
      <c r="C313" s="346">
        <v>414</v>
      </c>
      <c r="D313" s="346">
        <v>1.13831E-2</v>
      </c>
      <c r="E313" s="346">
        <v>491.51</v>
      </c>
    </row>
    <row r="314" spans="1:5" x14ac:dyDescent="0.2">
      <c r="A314" s="346" t="s">
        <v>15</v>
      </c>
      <c r="B314" s="346" t="s">
        <v>15</v>
      </c>
      <c r="C314" s="346">
        <v>802075</v>
      </c>
      <c r="D314" s="346">
        <v>1.371E-2</v>
      </c>
      <c r="E314" s="346">
        <v>10996.44</v>
      </c>
    </row>
    <row r="315" spans="1:5" x14ac:dyDescent="0.2">
      <c r="A315" s="346" t="s">
        <v>0</v>
      </c>
      <c r="B315" s="346" t="s">
        <v>1</v>
      </c>
      <c r="C315" s="346">
        <v>195301</v>
      </c>
      <c r="D315" s="346">
        <v>1.091E-2</v>
      </c>
      <c r="E315" s="346">
        <v>2130.73</v>
      </c>
    </row>
    <row r="316" spans="1:5" x14ac:dyDescent="0.2">
      <c r="A316" s="346" t="s">
        <v>2</v>
      </c>
      <c r="B316" s="346" t="s">
        <v>1</v>
      </c>
      <c r="C316" s="346">
        <v>137040</v>
      </c>
      <c r="D316" s="346">
        <v>7.0699999999999999E-3</v>
      </c>
      <c r="E316" s="346">
        <v>968.87</v>
      </c>
    </row>
    <row r="317" spans="1:5" x14ac:dyDescent="0.2">
      <c r="A317" s="346" t="s">
        <v>5</v>
      </c>
      <c r="B317" s="346" t="s">
        <v>1</v>
      </c>
      <c r="C317" s="346">
        <v>38066</v>
      </c>
      <c r="D317" s="346">
        <v>1.13831E-2</v>
      </c>
      <c r="E317" s="346">
        <v>433.31</v>
      </c>
    </row>
    <row r="318" spans="1:5" x14ac:dyDescent="0.2">
      <c r="A318" s="346" t="s">
        <v>13</v>
      </c>
      <c r="B318" s="346" t="s">
        <v>14</v>
      </c>
      <c r="C318" s="346">
        <v>3732</v>
      </c>
      <c r="D318" s="346">
        <v>1.091E-2</v>
      </c>
      <c r="E318" s="346">
        <v>40.72</v>
      </c>
    </row>
    <row r="319" spans="1:5" x14ac:dyDescent="0.2">
      <c r="A319" s="346" t="s">
        <v>0</v>
      </c>
      <c r="B319" s="346" t="s">
        <v>1</v>
      </c>
      <c r="C319" s="346">
        <v>50809</v>
      </c>
      <c r="D319" s="346">
        <v>1.091E-2</v>
      </c>
      <c r="E319" s="346">
        <v>554.32000000000005</v>
      </c>
    </row>
    <row r="320" spans="1:5" x14ac:dyDescent="0.2">
      <c r="A320" s="346" t="s">
        <v>2</v>
      </c>
      <c r="B320" s="346" t="s">
        <v>1</v>
      </c>
      <c r="C320" s="346">
        <v>72857</v>
      </c>
      <c r="D320" s="346">
        <v>7.0699999999999999E-3</v>
      </c>
      <c r="E320" s="346">
        <v>515.09</v>
      </c>
    </row>
    <row r="321" spans="1:5" x14ac:dyDescent="0.2">
      <c r="A321" s="346" t="s">
        <v>5</v>
      </c>
      <c r="B321" s="346" t="s">
        <v>1</v>
      </c>
      <c r="C321" s="346">
        <v>426</v>
      </c>
      <c r="D321" s="346">
        <v>1.1383099999999999</v>
      </c>
      <c r="E321" s="346">
        <v>484.92</v>
      </c>
    </row>
    <row r="322" spans="1:5" x14ac:dyDescent="0.2">
      <c r="A322" s="346" t="s">
        <v>13</v>
      </c>
      <c r="B322" s="346" t="s">
        <v>14</v>
      </c>
      <c r="C322" s="346">
        <v>4347</v>
      </c>
      <c r="D322" s="346">
        <v>1.091E-2</v>
      </c>
      <c r="E322" s="346">
        <v>47.43</v>
      </c>
    </row>
    <row r="323" spans="1:5" x14ac:dyDescent="0.2">
      <c r="A323" s="346" t="s">
        <v>15</v>
      </c>
      <c r="B323" s="346" t="s">
        <v>15</v>
      </c>
      <c r="C323" s="346">
        <v>333425</v>
      </c>
      <c r="D323" s="346">
        <v>1.371E-2</v>
      </c>
      <c r="E323" s="346">
        <v>4571.26</v>
      </c>
    </row>
    <row r="324" spans="1:5" x14ac:dyDescent="0.2">
      <c r="A324" s="346" t="s">
        <v>0</v>
      </c>
      <c r="B324" s="346" t="s">
        <v>1</v>
      </c>
      <c r="C324" s="346">
        <v>56032</v>
      </c>
      <c r="D324" s="346">
        <v>1.09102E-2</v>
      </c>
      <c r="E324" s="346">
        <v>611.32000000000005</v>
      </c>
    </row>
    <row r="325" spans="1:5" x14ac:dyDescent="0.2">
      <c r="A325" s="346" t="s">
        <v>15</v>
      </c>
      <c r="B325" s="346" t="s">
        <v>15</v>
      </c>
      <c r="C325" s="346">
        <v>385810</v>
      </c>
      <c r="D325" s="346">
        <v>1.3709900000000001E-2</v>
      </c>
      <c r="E325" s="346">
        <v>5289.43</v>
      </c>
    </row>
    <row r="326" spans="1:5" x14ac:dyDescent="0.2">
      <c r="A326" s="346" t="s">
        <v>2</v>
      </c>
      <c r="B326" s="346" t="s">
        <v>1</v>
      </c>
      <c r="C326" s="346">
        <v>99511</v>
      </c>
      <c r="D326" s="346">
        <v>7.0699999999999999E-3</v>
      </c>
      <c r="E326" s="346">
        <v>703.54</v>
      </c>
    </row>
    <row r="327" spans="1:5" x14ac:dyDescent="0.2">
      <c r="A327" s="346" t="s">
        <v>5</v>
      </c>
      <c r="B327" s="346" t="s">
        <v>1</v>
      </c>
      <c r="C327" s="346">
        <v>423</v>
      </c>
      <c r="D327" s="346">
        <v>1.1383099999999999</v>
      </c>
      <c r="E327" s="346">
        <v>481.51</v>
      </c>
    </row>
    <row r="328" spans="1:5" x14ac:dyDescent="0.2">
      <c r="A328" s="346" t="s">
        <v>13</v>
      </c>
      <c r="B328" s="346" t="s">
        <v>14</v>
      </c>
      <c r="C328" s="346">
        <v>4347</v>
      </c>
      <c r="D328" s="346">
        <v>1.0899499999999999E-2</v>
      </c>
      <c r="E328" s="346">
        <v>47.38</v>
      </c>
    </row>
    <row r="329" spans="1:5" x14ac:dyDescent="0.2">
      <c r="A329" s="346" t="s">
        <v>0</v>
      </c>
      <c r="B329" s="346" t="s">
        <v>1</v>
      </c>
      <c r="C329" s="346">
        <v>47010</v>
      </c>
      <c r="D329" s="346">
        <v>1.0910700000000001E-2</v>
      </c>
      <c r="E329" s="346">
        <v>512.91</v>
      </c>
    </row>
    <row r="330" spans="1:5" x14ac:dyDescent="0.2">
      <c r="A330" s="346" t="s">
        <v>2</v>
      </c>
      <c r="B330" s="346" t="s">
        <v>1</v>
      </c>
      <c r="C330" s="346">
        <v>75668</v>
      </c>
      <c r="D330" s="346">
        <v>7.0701000000000002E-3</v>
      </c>
      <c r="E330" s="346">
        <v>534.98</v>
      </c>
    </row>
    <row r="331" spans="1:5" x14ac:dyDescent="0.2">
      <c r="A331" s="346" t="s">
        <v>5</v>
      </c>
      <c r="B331" s="346" t="s">
        <v>1</v>
      </c>
      <c r="C331" s="346">
        <v>422</v>
      </c>
      <c r="D331" s="346">
        <v>1.1383175000000001</v>
      </c>
      <c r="E331" s="346">
        <v>480.37</v>
      </c>
    </row>
    <row r="332" spans="1:5" x14ac:dyDescent="0.2">
      <c r="A332" s="346" t="s">
        <v>13</v>
      </c>
      <c r="B332" s="346" t="s">
        <v>14</v>
      </c>
      <c r="C332" s="346">
        <v>4347</v>
      </c>
      <c r="D332" s="346">
        <v>1.0899499999999999E-2</v>
      </c>
      <c r="E332" s="346">
        <v>47.38</v>
      </c>
    </row>
    <row r="333" spans="1:5" x14ac:dyDescent="0.2">
      <c r="A333" s="346" t="s">
        <v>15</v>
      </c>
      <c r="B333" s="346" t="s">
        <v>15</v>
      </c>
      <c r="C333" s="346">
        <v>304675</v>
      </c>
      <c r="D333" s="346">
        <v>1.37097E-2</v>
      </c>
      <c r="E333" s="346">
        <v>4177</v>
      </c>
    </row>
    <row r="334" spans="1:5" x14ac:dyDescent="0.2">
      <c r="A334" s="346" t="s">
        <v>15</v>
      </c>
      <c r="B334" s="346" t="s">
        <v>15</v>
      </c>
      <c r="C334" s="346">
        <v>298728</v>
      </c>
      <c r="D334" s="346">
        <v>1.3709300000000001E-2</v>
      </c>
      <c r="E334" s="346">
        <v>4095.35</v>
      </c>
    </row>
    <row r="335" spans="1:5" x14ac:dyDescent="0.2">
      <c r="A335" s="346" t="s">
        <v>0</v>
      </c>
      <c r="B335" s="346" t="s">
        <v>1</v>
      </c>
      <c r="C335" s="346">
        <v>48681</v>
      </c>
      <c r="D335" s="346">
        <v>1.0910400000000001E-2</v>
      </c>
      <c r="E335" s="346">
        <v>531.13</v>
      </c>
    </row>
    <row r="336" spans="1:5" x14ac:dyDescent="0.2">
      <c r="A336" s="346" t="s">
        <v>2</v>
      </c>
      <c r="B336" s="346" t="s">
        <v>1</v>
      </c>
      <c r="C336" s="346">
        <v>85537</v>
      </c>
      <c r="D336" s="346">
        <v>7.0699999999999999E-3</v>
      </c>
      <c r="E336" s="346">
        <v>604.75</v>
      </c>
    </row>
    <row r="337" spans="1:5" x14ac:dyDescent="0.2">
      <c r="A337" s="346" t="s">
        <v>13</v>
      </c>
      <c r="B337" s="346" t="s">
        <v>14</v>
      </c>
      <c r="C337" s="346">
        <v>4347</v>
      </c>
      <c r="D337" s="346">
        <v>1.09225E-2</v>
      </c>
      <c r="E337" s="346">
        <v>47.48</v>
      </c>
    </row>
    <row r="338" spans="1:5" x14ac:dyDescent="0.2">
      <c r="A338" s="346" t="s">
        <v>5</v>
      </c>
      <c r="B338" s="346" t="s">
        <v>1</v>
      </c>
      <c r="C338" s="346">
        <v>442</v>
      </c>
      <c r="D338" s="346">
        <v>1.1383000000000001</v>
      </c>
      <c r="E338" s="346">
        <v>503.13</v>
      </c>
    </row>
    <row r="339" spans="1:5" x14ac:dyDescent="0.2">
      <c r="A339" s="346" t="s">
        <v>15</v>
      </c>
      <c r="B339" s="346" t="s">
        <v>15</v>
      </c>
      <c r="C339" s="346">
        <v>228888</v>
      </c>
      <c r="D339" s="346">
        <v>1.3710200000000001E-2</v>
      </c>
      <c r="E339" s="346">
        <v>3138.11</v>
      </c>
    </row>
    <row r="340" spans="1:5" x14ac:dyDescent="0.2">
      <c r="A340" s="346" t="s">
        <v>0</v>
      </c>
      <c r="B340" s="346" t="s">
        <v>1</v>
      </c>
      <c r="C340" s="346">
        <v>40325</v>
      </c>
      <c r="D340" s="346">
        <v>1.091E-2</v>
      </c>
      <c r="E340" s="346">
        <v>439.95</v>
      </c>
    </row>
    <row r="341" spans="1:5" x14ac:dyDescent="0.2">
      <c r="A341" s="346" t="s">
        <v>2</v>
      </c>
      <c r="B341" s="346" t="s">
        <v>1</v>
      </c>
      <c r="C341" s="346">
        <v>76440</v>
      </c>
      <c r="D341" s="346">
        <v>7.0699999999999999E-3</v>
      </c>
      <c r="E341" s="346">
        <v>540.42999999999995</v>
      </c>
    </row>
    <row r="342" spans="1:5" x14ac:dyDescent="0.2">
      <c r="A342" s="346" t="s">
        <v>5</v>
      </c>
      <c r="B342" s="346" t="s">
        <v>1</v>
      </c>
      <c r="C342" s="346">
        <v>420</v>
      </c>
      <c r="D342" s="346">
        <v>1.1383000000000001</v>
      </c>
      <c r="E342" s="346">
        <v>478.09</v>
      </c>
    </row>
    <row r="343" spans="1:5" x14ac:dyDescent="0.2">
      <c r="A343" s="346" t="s">
        <v>13</v>
      </c>
      <c r="B343" s="346" t="s">
        <v>14</v>
      </c>
      <c r="C343" s="346">
        <v>4347</v>
      </c>
      <c r="D343" s="346">
        <v>1.0899499999999999E-2</v>
      </c>
      <c r="E343" s="346">
        <v>47.38</v>
      </c>
    </row>
    <row r="344" spans="1:5" x14ac:dyDescent="0.2">
      <c r="A344" s="346" t="s">
        <v>15</v>
      </c>
      <c r="B344" s="346" t="s">
        <v>15</v>
      </c>
      <c r="C344" s="346">
        <v>256177</v>
      </c>
      <c r="D344" s="346">
        <v>1.37097E-2</v>
      </c>
      <c r="E344" s="346">
        <v>3512.11</v>
      </c>
    </row>
    <row r="345" spans="1:5" x14ac:dyDescent="0.2">
      <c r="A345" s="346" t="s">
        <v>0</v>
      </c>
      <c r="B345" s="346" t="s">
        <v>1</v>
      </c>
      <c r="C345" s="346">
        <v>47670</v>
      </c>
      <c r="D345" s="346">
        <v>1.091E-2</v>
      </c>
      <c r="E345" s="346">
        <v>520.08000000000004</v>
      </c>
    </row>
    <row r="346" spans="1:5" x14ac:dyDescent="0.2">
      <c r="A346" s="346" t="s">
        <v>2</v>
      </c>
      <c r="B346" s="346" t="s">
        <v>1</v>
      </c>
      <c r="C346" s="346">
        <v>81622</v>
      </c>
      <c r="D346" s="346">
        <v>7.0701999999999996E-3</v>
      </c>
      <c r="E346" s="346">
        <v>577.08000000000004</v>
      </c>
    </row>
    <row r="347" spans="1:5" x14ac:dyDescent="0.2">
      <c r="A347" s="346" t="s">
        <v>13</v>
      </c>
      <c r="B347" s="346" t="s">
        <v>14</v>
      </c>
      <c r="C347" s="346">
        <v>4347</v>
      </c>
      <c r="D347" s="346">
        <v>1.0899499999999999E-2</v>
      </c>
      <c r="E347" s="346">
        <v>47.38</v>
      </c>
    </row>
    <row r="348" spans="1:5" x14ac:dyDescent="0.2">
      <c r="A348" s="346" t="s">
        <v>5</v>
      </c>
      <c r="B348" s="346" t="s">
        <v>1</v>
      </c>
      <c r="C348" s="346">
        <v>406</v>
      </c>
      <c r="D348" s="346">
        <v>1.1383000000000001</v>
      </c>
      <c r="E348" s="346">
        <v>462.15</v>
      </c>
    </row>
    <row r="349" spans="1:5" x14ac:dyDescent="0.2">
      <c r="A349" s="346" t="s">
        <v>0</v>
      </c>
      <c r="B349" s="346" t="s">
        <v>1</v>
      </c>
      <c r="C349" s="346">
        <v>40376</v>
      </c>
      <c r="D349" s="346">
        <v>1.09097E-2</v>
      </c>
      <c r="E349" s="346">
        <v>440.49</v>
      </c>
    </row>
    <row r="350" spans="1:5" x14ac:dyDescent="0.2">
      <c r="A350" s="346" t="s">
        <v>15</v>
      </c>
      <c r="B350" s="346" t="s">
        <v>15</v>
      </c>
      <c r="C350" s="346">
        <v>244441</v>
      </c>
      <c r="D350" s="346">
        <v>1.3709799999999999E-2</v>
      </c>
      <c r="E350" s="346">
        <v>3351.24</v>
      </c>
    </row>
    <row r="351" spans="1:5" x14ac:dyDescent="0.2">
      <c r="A351" s="346" t="s">
        <v>2</v>
      </c>
      <c r="B351" s="346" t="s">
        <v>1</v>
      </c>
      <c r="C351" s="346">
        <v>53306</v>
      </c>
      <c r="D351" s="346">
        <v>7.0701000000000002E-3</v>
      </c>
      <c r="E351" s="346">
        <v>376.88</v>
      </c>
    </row>
    <row r="352" spans="1:5" x14ac:dyDescent="0.2">
      <c r="A352" s="346" t="s">
        <v>5</v>
      </c>
      <c r="B352" s="346" t="s">
        <v>1</v>
      </c>
      <c r="C352" s="346">
        <v>356</v>
      </c>
      <c r="D352" s="346">
        <v>1.1383000000000001</v>
      </c>
      <c r="E352" s="346">
        <v>405.23</v>
      </c>
    </row>
    <row r="353" spans="1:5" x14ac:dyDescent="0.2">
      <c r="A353" s="346" t="s">
        <v>13</v>
      </c>
      <c r="B353" s="346" t="s">
        <v>14</v>
      </c>
      <c r="C353" s="346">
        <v>4347</v>
      </c>
      <c r="D353" s="346">
        <v>1.0899499999999999E-2</v>
      </c>
      <c r="E353" s="346">
        <v>47.38</v>
      </c>
    </row>
    <row r="354" spans="1:5" x14ac:dyDescent="0.2">
      <c r="A354" s="346" t="s">
        <v>13</v>
      </c>
      <c r="B354" s="346" t="s">
        <v>14</v>
      </c>
      <c r="C354" s="346">
        <v>4347</v>
      </c>
      <c r="D354" s="346">
        <v>1.0899499999999999E-2</v>
      </c>
      <c r="E354" s="346">
        <v>47.38</v>
      </c>
    </row>
    <row r="355" spans="1:5" x14ac:dyDescent="0.2">
      <c r="A355" s="346" t="s">
        <v>2</v>
      </c>
      <c r="B355" s="346" t="s">
        <v>1</v>
      </c>
      <c r="C355" s="346">
        <v>54958</v>
      </c>
      <c r="D355" s="346">
        <v>7.0699999999999999E-3</v>
      </c>
      <c r="E355" s="346">
        <v>388.55</v>
      </c>
    </row>
    <row r="356" spans="1:5" x14ac:dyDescent="0.2">
      <c r="A356" s="346" t="s">
        <v>0</v>
      </c>
      <c r="B356" s="346" t="s">
        <v>1</v>
      </c>
      <c r="C356" s="346">
        <v>44629</v>
      </c>
      <c r="D356" s="346">
        <v>1.0909500000000001E-2</v>
      </c>
      <c r="E356" s="346">
        <v>486.88</v>
      </c>
    </row>
    <row r="357" spans="1:5" x14ac:dyDescent="0.2">
      <c r="A357" s="346" t="s">
        <v>15</v>
      </c>
      <c r="B357" s="346" t="s">
        <v>15</v>
      </c>
      <c r="C357" s="346">
        <v>283088</v>
      </c>
      <c r="D357" s="346">
        <v>1.3710399999999999E-2</v>
      </c>
      <c r="E357" s="346">
        <v>3881.24</v>
      </c>
    </row>
    <row r="358" spans="1:5" x14ac:dyDescent="0.2">
      <c r="A358" s="346" t="s">
        <v>5</v>
      </c>
      <c r="B358" s="346" t="s">
        <v>1</v>
      </c>
      <c r="C358" s="346">
        <v>401</v>
      </c>
      <c r="D358" s="346">
        <v>1.1382793</v>
      </c>
      <c r="E358" s="346">
        <v>456.45</v>
      </c>
    </row>
    <row r="359" spans="1:5" x14ac:dyDescent="0.2">
      <c r="A359" s="346" t="s">
        <v>13</v>
      </c>
      <c r="B359" s="346" t="s">
        <v>14</v>
      </c>
      <c r="C359" s="346">
        <v>4347</v>
      </c>
      <c r="D359" s="346">
        <v>1.0899499999999999E-2</v>
      </c>
      <c r="E359" s="346">
        <v>47.38</v>
      </c>
    </row>
    <row r="360" spans="1:5" x14ac:dyDescent="0.2">
      <c r="A360" s="346" t="s">
        <v>5</v>
      </c>
      <c r="B360" s="346" t="s">
        <v>1</v>
      </c>
      <c r="C360" s="346">
        <v>364</v>
      </c>
      <c r="D360" s="346">
        <v>1.1382692000000001</v>
      </c>
      <c r="E360" s="346">
        <v>414.33</v>
      </c>
    </row>
    <row r="361" spans="1:5" x14ac:dyDescent="0.2">
      <c r="A361" s="346" t="s">
        <v>2</v>
      </c>
      <c r="B361" s="346" t="s">
        <v>1</v>
      </c>
      <c r="C361" s="346">
        <v>64487</v>
      </c>
      <c r="D361" s="346">
        <v>7.0699999999999999E-3</v>
      </c>
      <c r="E361" s="346">
        <v>455.92</v>
      </c>
    </row>
    <row r="362" spans="1:5" x14ac:dyDescent="0.2">
      <c r="A362" s="346" t="s">
        <v>0</v>
      </c>
      <c r="B362" s="346" t="s">
        <v>1</v>
      </c>
      <c r="C362" s="346">
        <v>46535</v>
      </c>
      <c r="D362" s="346">
        <v>1.09096E-2</v>
      </c>
      <c r="E362" s="346">
        <v>507.68</v>
      </c>
    </row>
    <row r="363" spans="1:5" x14ac:dyDescent="0.2">
      <c r="A363" s="346" t="s">
        <v>15</v>
      </c>
      <c r="B363" s="346" t="s">
        <v>15</v>
      </c>
      <c r="C363" s="346">
        <v>277016</v>
      </c>
      <c r="D363" s="346">
        <v>1.3710099999999999E-2</v>
      </c>
      <c r="E363" s="346">
        <v>3797.93</v>
      </c>
    </row>
    <row r="364" spans="1:5" x14ac:dyDescent="0.2">
      <c r="A364" s="346" t="s">
        <v>0</v>
      </c>
      <c r="B364" s="346" t="s">
        <v>1</v>
      </c>
      <c r="C364" s="346">
        <v>39874</v>
      </c>
      <c r="D364" s="346">
        <v>1.09099E-2</v>
      </c>
      <c r="E364" s="346">
        <v>435.02</v>
      </c>
    </row>
    <row r="365" spans="1:5" x14ac:dyDescent="0.2">
      <c r="A365" s="346" t="s">
        <v>2</v>
      </c>
      <c r="B365" s="346" t="s">
        <v>1</v>
      </c>
      <c r="C365" s="346">
        <v>64282</v>
      </c>
      <c r="D365" s="346">
        <v>7.0701000000000002E-3</v>
      </c>
      <c r="E365" s="346">
        <v>454.48</v>
      </c>
    </row>
    <row r="366" spans="1:5" x14ac:dyDescent="0.2">
      <c r="A366" s="346" t="s">
        <v>5</v>
      </c>
      <c r="B366" s="346" t="s">
        <v>1</v>
      </c>
      <c r="C366" s="346">
        <v>338</v>
      </c>
      <c r="D366" s="346">
        <v>1.1382840000000001</v>
      </c>
      <c r="E366" s="346">
        <v>384.74</v>
      </c>
    </row>
    <row r="367" spans="1:5" x14ac:dyDescent="0.2">
      <c r="A367" s="346" t="s">
        <v>13</v>
      </c>
      <c r="B367" s="346" t="s">
        <v>14</v>
      </c>
      <c r="C367" s="346">
        <v>4347</v>
      </c>
      <c r="D367" s="346">
        <v>1.0899499999999999E-2</v>
      </c>
      <c r="E367" s="346">
        <v>47.38</v>
      </c>
    </row>
    <row r="368" spans="1:5" x14ac:dyDescent="0.2">
      <c r="A368" s="346" t="s">
        <v>15</v>
      </c>
      <c r="B368" s="346" t="s">
        <v>15</v>
      </c>
      <c r="C368" s="346">
        <v>233102</v>
      </c>
      <c r="D368" s="346">
        <v>1.3709900000000001E-2</v>
      </c>
      <c r="E368" s="346">
        <v>3195.8</v>
      </c>
    </row>
    <row r="369" spans="1:5" x14ac:dyDescent="0.2">
      <c r="A369" s="346" t="s">
        <v>13</v>
      </c>
      <c r="B369" s="346" t="s">
        <v>14</v>
      </c>
      <c r="C369" s="346">
        <v>4347</v>
      </c>
      <c r="D369" s="346">
        <v>1.0899499999999999E-2</v>
      </c>
      <c r="E369" s="346">
        <v>47.38</v>
      </c>
    </row>
    <row r="370" spans="1:5" x14ac:dyDescent="0.2">
      <c r="A370" s="346" t="s">
        <v>5</v>
      </c>
      <c r="B370" s="346" t="s">
        <v>1</v>
      </c>
      <c r="C370" s="346">
        <v>348</v>
      </c>
      <c r="D370" s="346">
        <v>1.1382840000000001</v>
      </c>
      <c r="E370" s="346">
        <v>396.12</v>
      </c>
    </row>
    <row r="371" spans="1:5" x14ac:dyDescent="0.2">
      <c r="A371" s="346" t="s">
        <v>2</v>
      </c>
      <c r="B371" s="346" t="s">
        <v>1</v>
      </c>
      <c r="C371" s="346">
        <v>68990</v>
      </c>
      <c r="D371" s="346">
        <v>7.0701000000000002E-3</v>
      </c>
      <c r="E371" s="346">
        <v>487.77</v>
      </c>
    </row>
    <row r="372" spans="1:5" x14ac:dyDescent="0.2">
      <c r="A372" s="346" t="s">
        <v>0</v>
      </c>
      <c r="B372" s="346" t="s">
        <v>1</v>
      </c>
      <c r="C372" s="346">
        <v>42380</v>
      </c>
      <c r="D372" s="346">
        <v>1.09099E-2</v>
      </c>
      <c r="E372" s="346">
        <v>462.36</v>
      </c>
    </row>
    <row r="373" spans="1:5" x14ac:dyDescent="0.2">
      <c r="A373" s="346" t="s">
        <v>15</v>
      </c>
      <c r="B373" s="346" t="s">
        <v>15</v>
      </c>
      <c r="C373" s="346">
        <v>297059</v>
      </c>
      <c r="D373" s="346">
        <v>1.3709900000000001E-2</v>
      </c>
      <c r="E373" s="346">
        <v>4072.65</v>
      </c>
    </row>
    <row r="374" spans="1:5" x14ac:dyDescent="0.2">
      <c r="A374" s="346" t="s">
        <v>13</v>
      </c>
      <c r="B374" s="346" t="s">
        <v>14</v>
      </c>
      <c r="C374" s="346">
        <v>4347</v>
      </c>
      <c r="D374" s="346">
        <v>1.0899499999999999E-2</v>
      </c>
      <c r="E374" s="346">
        <v>47.38</v>
      </c>
    </row>
    <row r="375" spans="1:5" x14ac:dyDescent="0.2">
      <c r="A375" s="346" t="s">
        <v>5</v>
      </c>
      <c r="B375" s="346" t="s">
        <v>1</v>
      </c>
      <c r="C375" s="346">
        <v>402</v>
      </c>
      <c r="D375" s="346">
        <v>1.1383084999999999</v>
      </c>
      <c r="E375" s="346">
        <v>457.6</v>
      </c>
    </row>
    <row r="376" spans="1:5" x14ac:dyDescent="0.2">
      <c r="A376" s="346" t="s">
        <v>2</v>
      </c>
      <c r="B376" s="346" t="s">
        <v>1</v>
      </c>
      <c r="C376" s="346">
        <v>67955</v>
      </c>
      <c r="D376" s="346">
        <v>7.0701000000000002E-3</v>
      </c>
      <c r="E376" s="346">
        <v>480.45</v>
      </c>
    </row>
    <row r="377" spans="1:5" x14ac:dyDescent="0.2">
      <c r="A377" s="346" t="s">
        <v>0</v>
      </c>
      <c r="B377" s="346" t="s">
        <v>1</v>
      </c>
      <c r="C377" s="346">
        <v>48117</v>
      </c>
      <c r="D377" s="346">
        <v>1.0910700000000001E-2</v>
      </c>
      <c r="E377" s="346">
        <v>524.99</v>
      </c>
    </row>
    <row r="378" spans="1:5" x14ac:dyDescent="0.2">
      <c r="A378" s="346" t="s">
        <v>15</v>
      </c>
      <c r="B378" s="346" t="s">
        <v>15</v>
      </c>
      <c r="C378" s="346">
        <v>328320</v>
      </c>
      <c r="D378" s="346">
        <v>1.3709900000000001E-2</v>
      </c>
      <c r="E378" s="346">
        <v>4501.2299999999996</v>
      </c>
    </row>
    <row r="379" spans="1:5" x14ac:dyDescent="0.2">
      <c r="A379" s="346" t="s">
        <v>13</v>
      </c>
      <c r="B379" s="346" t="s">
        <v>14</v>
      </c>
      <c r="C379" s="346">
        <v>5922</v>
      </c>
      <c r="D379" s="346">
        <v>1.091E-2</v>
      </c>
      <c r="E379" s="346">
        <v>64.61</v>
      </c>
    </row>
    <row r="380" spans="1:5" x14ac:dyDescent="0.2">
      <c r="A380" s="346" t="s">
        <v>5</v>
      </c>
      <c r="B380" s="346" t="s">
        <v>1</v>
      </c>
      <c r="C380" s="346">
        <v>1072</v>
      </c>
      <c r="D380" s="346">
        <v>1.1383000000000001</v>
      </c>
      <c r="E380" s="346">
        <v>1220.26</v>
      </c>
    </row>
    <row r="381" spans="1:5" x14ac:dyDescent="0.2">
      <c r="A381" s="346" t="s">
        <v>0</v>
      </c>
      <c r="B381" s="346" t="s">
        <v>1</v>
      </c>
      <c r="C381" s="346">
        <v>191837</v>
      </c>
      <c r="D381" s="346">
        <v>1.091E-2</v>
      </c>
      <c r="E381" s="346">
        <v>2092.94</v>
      </c>
    </row>
    <row r="382" spans="1:5" x14ac:dyDescent="0.2">
      <c r="A382" s="346" t="s">
        <v>2</v>
      </c>
      <c r="B382" s="346" t="s">
        <v>1</v>
      </c>
      <c r="C382" s="346">
        <v>565238</v>
      </c>
      <c r="D382" s="346">
        <v>7.0699999999999999E-3</v>
      </c>
      <c r="E382" s="346">
        <v>3996.23</v>
      </c>
    </row>
    <row r="383" spans="1:5" x14ac:dyDescent="0.2">
      <c r="A383" s="346" t="s">
        <v>15</v>
      </c>
      <c r="B383" s="346" t="s">
        <v>15</v>
      </c>
      <c r="C383" s="346">
        <v>570710</v>
      </c>
      <c r="D383" s="346">
        <v>1.371E-2</v>
      </c>
      <c r="E383" s="346">
        <v>7824.43</v>
      </c>
    </row>
    <row r="384" spans="1:5" x14ac:dyDescent="0.2">
      <c r="A384" s="346" t="s">
        <v>13</v>
      </c>
      <c r="B384" s="346" t="s">
        <v>14</v>
      </c>
      <c r="C384" s="346">
        <v>5539</v>
      </c>
      <c r="D384" s="346">
        <v>1.091E-2</v>
      </c>
      <c r="E384" s="346">
        <v>60.43</v>
      </c>
    </row>
    <row r="385" spans="1:5" x14ac:dyDescent="0.2">
      <c r="A385" s="346" t="s">
        <v>5</v>
      </c>
      <c r="B385" s="346" t="s">
        <v>1</v>
      </c>
      <c r="C385" s="346">
        <v>1111</v>
      </c>
      <c r="D385" s="346">
        <v>1.1383000000000001</v>
      </c>
      <c r="E385" s="346">
        <v>1264.6500000000001</v>
      </c>
    </row>
    <row r="386" spans="1:5" ht="15" customHeight="1" x14ac:dyDescent="0.2">
      <c r="A386" s="346" t="s">
        <v>2</v>
      </c>
      <c r="B386" s="346" t="s">
        <v>1</v>
      </c>
      <c r="C386" s="346">
        <v>553596</v>
      </c>
      <c r="D386" s="346">
        <v>7.0699999999999999E-3</v>
      </c>
      <c r="E386" s="346">
        <v>3913.92</v>
      </c>
    </row>
    <row r="387" spans="1:5" ht="15" customHeight="1" x14ac:dyDescent="0.2">
      <c r="A387" s="346" t="s">
        <v>0</v>
      </c>
      <c r="B387" s="346" t="s">
        <v>1</v>
      </c>
      <c r="C387" s="346">
        <v>182806</v>
      </c>
      <c r="D387" s="346">
        <v>1.091E-2</v>
      </c>
      <c r="E387" s="346">
        <v>1994.41</v>
      </c>
    </row>
    <row r="388" spans="1:5" ht="15" customHeight="1" x14ac:dyDescent="0.2">
      <c r="A388" s="346" t="s">
        <v>15</v>
      </c>
      <c r="B388" s="346" t="s">
        <v>15</v>
      </c>
      <c r="C388" s="346">
        <v>509564</v>
      </c>
      <c r="D388" s="346">
        <v>1.371E-2</v>
      </c>
      <c r="E388" s="346">
        <v>6986.12</v>
      </c>
    </row>
    <row r="389" spans="1:5" ht="15" customHeight="1" x14ac:dyDescent="0.2">
      <c r="A389" s="346" t="s">
        <v>5</v>
      </c>
      <c r="B389" s="346" t="s">
        <v>1</v>
      </c>
      <c r="C389" s="346">
        <v>1092</v>
      </c>
      <c r="D389" s="346">
        <v>1.1383000000000001</v>
      </c>
      <c r="E389" s="346">
        <v>1243.02</v>
      </c>
    </row>
    <row r="390" spans="1:5" ht="15" customHeight="1" x14ac:dyDescent="0.2">
      <c r="A390" s="346" t="s">
        <v>13</v>
      </c>
      <c r="B390" s="346" t="s">
        <v>14</v>
      </c>
      <c r="C390" s="346">
        <v>5338</v>
      </c>
      <c r="D390" s="346">
        <v>1.091E-2</v>
      </c>
      <c r="E390" s="346">
        <v>58.24</v>
      </c>
    </row>
    <row r="391" spans="1:5" x14ac:dyDescent="0.2">
      <c r="A391" s="346" t="s">
        <v>2</v>
      </c>
      <c r="B391" s="346" t="s">
        <v>1</v>
      </c>
      <c r="C391" s="346">
        <v>533782</v>
      </c>
      <c r="D391" s="346">
        <v>7.0699999999999999E-3</v>
      </c>
      <c r="E391" s="346">
        <v>3773.84</v>
      </c>
    </row>
    <row r="392" spans="1:5" x14ac:dyDescent="0.2">
      <c r="A392" s="346" t="s">
        <v>15</v>
      </c>
      <c r="B392" s="346" t="s">
        <v>15</v>
      </c>
      <c r="C392" s="346">
        <v>472261</v>
      </c>
      <c r="D392" s="346">
        <v>1.371E-2</v>
      </c>
      <c r="E392" s="346">
        <v>6474.7</v>
      </c>
    </row>
    <row r="393" spans="1:5" x14ac:dyDescent="0.2">
      <c r="A393" s="346" t="s">
        <v>0</v>
      </c>
      <c r="B393" s="346" t="s">
        <v>1</v>
      </c>
      <c r="C393" s="346">
        <v>167326</v>
      </c>
      <c r="D393" s="346">
        <v>1.091E-2</v>
      </c>
      <c r="E393" s="346">
        <v>1825.53</v>
      </c>
    </row>
    <row r="394" spans="1:5" x14ac:dyDescent="0.2">
      <c r="A394" s="346" t="s">
        <v>13</v>
      </c>
      <c r="B394" s="346" t="s">
        <v>14</v>
      </c>
      <c r="C394" s="346">
        <v>5296</v>
      </c>
      <c r="D394" s="346">
        <v>1.091E-2</v>
      </c>
      <c r="E394" s="346">
        <v>57.78</v>
      </c>
    </row>
    <row r="395" spans="1:5" x14ac:dyDescent="0.2">
      <c r="A395" s="346" t="s">
        <v>5</v>
      </c>
      <c r="B395" s="346" t="s">
        <v>1</v>
      </c>
      <c r="C395" s="346">
        <v>1052</v>
      </c>
      <c r="D395" s="346">
        <v>1.1383000000000001</v>
      </c>
      <c r="E395" s="346">
        <v>1197.49</v>
      </c>
    </row>
    <row r="396" spans="1:5" x14ac:dyDescent="0.2">
      <c r="A396" s="346" t="s">
        <v>2</v>
      </c>
      <c r="B396" s="346" t="s">
        <v>1</v>
      </c>
      <c r="C396" s="346">
        <v>538651</v>
      </c>
      <c r="D396" s="346">
        <v>7.0699999999999999E-3</v>
      </c>
      <c r="E396" s="346">
        <v>3808.26</v>
      </c>
    </row>
    <row r="397" spans="1:5" x14ac:dyDescent="0.2">
      <c r="A397" s="346" t="s">
        <v>0</v>
      </c>
      <c r="B397" s="346" t="s">
        <v>1</v>
      </c>
      <c r="C397" s="346">
        <v>166706</v>
      </c>
      <c r="D397" s="346">
        <v>1.091E-2</v>
      </c>
      <c r="E397" s="346">
        <v>1818.76</v>
      </c>
    </row>
    <row r="398" spans="1:5" x14ac:dyDescent="0.2">
      <c r="A398" s="346" t="s">
        <v>15</v>
      </c>
      <c r="B398" s="346" t="s">
        <v>15</v>
      </c>
      <c r="C398" s="346">
        <v>435130</v>
      </c>
      <c r="D398" s="346">
        <v>1.371E-2</v>
      </c>
      <c r="E398" s="346">
        <v>5965.63</v>
      </c>
    </row>
    <row r="399" spans="1:5" x14ac:dyDescent="0.2">
      <c r="A399" s="346" t="s">
        <v>5</v>
      </c>
      <c r="B399" s="346" t="s">
        <v>1</v>
      </c>
      <c r="C399" s="346">
        <v>1054</v>
      </c>
      <c r="D399" s="346">
        <v>1.1383000000000001</v>
      </c>
      <c r="E399" s="346">
        <v>1199.77</v>
      </c>
    </row>
    <row r="400" spans="1:5" x14ac:dyDescent="0.2">
      <c r="A400" s="346" t="s">
        <v>13</v>
      </c>
      <c r="B400" s="346" t="s">
        <v>14</v>
      </c>
      <c r="C400" s="346">
        <v>5098</v>
      </c>
      <c r="D400" s="346">
        <v>1.091E-2</v>
      </c>
      <c r="E400" s="346">
        <v>55.62</v>
      </c>
    </row>
    <row r="401" spans="1:5" x14ac:dyDescent="0.2">
      <c r="A401" s="346" t="s">
        <v>2</v>
      </c>
      <c r="B401" s="346" t="s">
        <v>1</v>
      </c>
      <c r="C401" s="346">
        <v>482914</v>
      </c>
      <c r="D401" s="346">
        <v>7.0699999999999999E-3</v>
      </c>
      <c r="E401" s="346">
        <v>3414.2</v>
      </c>
    </row>
    <row r="402" spans="1:5" x14ac:dyDescent="0.2">
      <c r="A402" s="346" t="s">
        <v>0</v>
      </c>
      <c r="B402" s="346" t="s">
        <v>1</v>
      </c>
      <c r="C402" s="346">
        <v>132335</v>
      </c>
      <c r="D402" s="346">
        <v>1.091E-2</v>
      </c>
      <c r="E402" s="346">
        <v>1443.77</v>
      </c>
    </row>
    <row r="403" spans="1:5" x14ac:dyDescent="0.2">
      <c r="A403" s="346" t="s">
        <v>15</v>
      </c>
      <c r="B403" s="346" t="s">
        <v>15</v>
      </c>
      <c r="C403" s="346">
        <v>369118</v>
      </c>
      <c r="D403" s="346">
        <v>1.371E-2</v>
      </c>
      <c r="E403" s="346">
        <v>5060.6099999999997</v>
      </c>
    </row>
    <row r="404" spans="1:5" x14ac:dyDescent="0.2">
      <c r="A404" s="346" t="s">
        <v>15</v>
      </c>
      <c r="B404" s="346" t="s">
        <v>15</v>
      </c>
      <c r="C404" s="346">
        <v>358282</v>
      </c>
      <c r="D404" s="346">
        <v>1.371E-2</v>
      </c>
      <c r="E404" s="346">
        <v>4912.05</v>
      </c>
    </row>
    <row r="405" spans="1:5" x14ac:dyDescent="0.2">
      <c r="A405" s="346" t="s">
        <v>13</v>
      </c>
      <c r="B405" s="346" t="s">
        <v>14</v>
      </c>
      <c r="C405" s="346">
        <v>4986</v>
      </c>
      <c r="D405" s="346">
        <v>1.091E-2</v>
      </c>
      <c r="E405" s="346">
        <v>54.4</v>
      </c>
    </row>
    <row r="406" spans="1:5" x14ac:dyDescent="0.2">
      <c r="A406" s="346" t="s">
        <v>5</v>
      </c>
      <c r="B406" s="346" t="s">
        <v>1</v>
      </c>
      <c r="C406" s="346">
        <v>1116</v>
      </c>
      <c r="D406" s="346">
        <v>1.1383000000000001</v>
      </c>
      <c r="E406" s="346">
        <v>1270.3399999999999</v>
      </c>
    </row>
    <row r="407" spans="1:5" x14ac:dyDescent="0.2">
      <c r="A407" s="346" t="s">
        <v>2</v>
      </c>
      <c r="B407" s="346" t="s">
        <v>1</v>
      </c>
      <c r="C407" s="346">
        <v>430320</v>
      </c>
      <c r="D407" s="346">
        <v>7.0699999999999999E-3</v>
      </c>
      <c r="E407" s="346">
        <v>3042.36</v>
      </c>
    </row>
    <row r="408" spans="1:5" x14ac:dyDescent="0.2">
      <c r="A408" s="346" t="s">
        <v>0</v>
      </c>
      <c r="B408" s="346" t="s">
        <v>1</v>
      </c>
      <c r="C408" s="346">
        <v>133696</v>
      </c>
      <c r="D408" s="346">
        <v>1.091E-2</v>
      </c>
      <c r="E408" s="346">
        <v>1458.62</v>
      </c>
    </row>
    <row r="409" spans="1:5" x14ac:dyDescent="0.2">
      <c r="A409" s="346" t="s">
        <v>0</v>
      </c>
      <c r="B409" s="346" t="s">
        <v>1</v>
      </c>
      <c r="C409" s="346">
        <v>130123</v>
      </c>
      <c r="D409" s="346">
        <v>1.091E-2</v>
      </c>
      <c r="E409" s="346">
        <v>1419.64</v>
      </c>
    </row>
    <row r="410" spans="1:5" x14ac:dyDescent="0.2">
      <c r="A410" s="346" t="s">
        <v>15</v>
      </c>
      <c r="B410" s="346" t="s">
        <v>15</v>
      </c>
      <c r="C410" s="346">
        <v>416261</v>
      </c>
      <c r="D410" s="346">
        <v>1.371E-2</v>
      </c>
      <c r="E410" s="346">
        <v>5706.94</v>
      </c>
    </row>
    <row r="411" spans="1:5" x14ac:dyDescent="0.2">
      <c r="A411" s="346" t="s">
        <v>2</v>
      </c>
      <c r="B411" s="346" t="s">
        <v>1</v>
      </c>
      <c r="C411" s="346">
        <v>501301</v>
      </c>
      <c r="D411" s="346">
        <v>7.0699999999999999E-3</v>
      </c>
      <c r="E411" s="346">
        <v>3544.2</v>
      </c>
    </row>
    <row r="412" spans="1:5" x14ac:dyDescent="0.2">
      <c r="A412" s="346" t="s">
        <v>5</v>
      </c>
      <c r="B412" s="346" t="s">
        <v>1</v>
      </c>
      <c r="C412" s="346">
        <v>1234</v>
      </c>
      <c r="D412" s="346">
        <v>1.1383000000000001</v>
      </c>
      <c r="E412" s="346">
        <v>1404.66</v>
      </c>
    </row>
    <row r="413" spans="1:5" x14ac:dyDescent="0.2">
      <c r="A413" s="346" t="s">
        <v>13</v>
      </c>
      <c r="B413" s="346" t="s">
        <v>14</v>
      </c>
      <c r="C413" s="346">
        <v>4925</v>
      </c>
      <c r="D413" s="346">
        <v>1.091E-2</v>
      </c>
      <c r="E413" s="346">
        <v>53.73</v>
      </c>
    </row>
    <row r="414" spans="1:5" x14ac:dyDescent="0.2">
      <c r="A414" s="346" t="s">
        <v>13</v>
      </c>
      <c r="B414" s="346" t="s">
        <v>14</v>
      </c>
      <c r="C414" s="346">
        <v>5073</v>
      </c>
      <c r="D414" s="346">
        <v>1.091E-2</v>
      </c>
      <c r="E414" s="346">
        <v>55.35</v>
      </c>
    </row>
    <row r="415" spans="1:5" x14ac:dyDescent="0.2">
      <c r="A415" s="346" t="s">
        <v>2</v>
      </c>
      <c r="B415" s="346" t="s">
        <v>1</v>
      </c>
      <c r="C415" s="346">
        <v>491841</v>
      </c>
      <c r="D415" s="346">
        <v>7.0699999999999999E-3</v>
      </c>
      <c r="E415" s="346">
        <v>3477.32</v>
      </c>
    </row>
    <row r="416" spans="1:5" x14ac:dyDescent="0.2">
      <c r="A416" s="346" t="s">
        <v>0</v>
      </c>
      <c r="B416" s="346" t="s">
        <v>1</v>
      </c>
      <c r="C416" s="346">
        <v>143319</v>
      </c>
      <c r="D416" s="346">
        <v>1.091E-2</v>
      </c>
      <c r="E416" s="346">
        <v>1563.61</v>
      </c>
    </row>
    <row r="417" spans="1:5" x14ac:dyDescent="0.2">
      <c r="A417" s="346" t="s">
        <v>15</v>
      </c>
      <c r="B417" s="346" t="s">
        <v>15</v>
      </c>
      <c r="C417" s="346">
        <v>415908</v>
      </c>
      <c r="D417" s="346">
        <v>1.371E-2</v>
      </c>
      <c r="E417" s="346">
        <v>5702.1</v>
      </c>
    </row>
    <row r="418" spans="1:5" x14ac:dyDescent="0.2">
      <c r="A418" s="346" t="s">
        <v>5</v>
      </c>
      <c r="B418" s="346" t="s">
        <v>1</v>
      </c>
      <c r="C418" s="346">
        <v>1202</v>
      </c>
      <c r="D418" s="346">
        <v>1.1383000000000001</v>
      </c>
      <c r="E418" s="346">
        <v>1368.24</v>
      </c>
    </row>
    <row r="419" spans="1:5" x14ac:dyDescent="0.2">
      <c r="A419" s="346" t="s">
        <v>13</v>
      </c>
      <c r="B419" s="346" t="s">
        <v>14</v>
      </c>
      <c r="C419" s="346">
        <v>5381</v>
      </c>
      <c r="D419" s="346">
        <v>1.091E-2</v>
      </c>
      <c r="E419" s="346">
        <v>58.71</v>
      </c>
    </row>
    <row r="420" spans="1:5" x14ac:dyDescent="0.2">
      <c r="A420" s="346" t="s">
        <v>5</v>
      </c>
      <c r="B420" s="346" t="s">
        <v>1</v>
      </c>
      <c r="C420" s="346">
        <v>1190</v>
      </c>
      <c r="D420" s="346">
        <v>1.1383000000000001</v>
      </c>
      <c r="E420" s="346">
        <v>1354.58</v>
      </c>
    </row>
    <row r="421" spans="1:5" x14ac:dyDescent="0.2">
      <c r="A421" s="346" t="s">
        <v>2</v>
      </c>
      <c r="B421" s="346" t="s">
        <v>1</v>
      </c>
      <c r="C421" s="346">
        <v>540231</v>
      </c>
      <c r="D421" s="346">
        <v>7.0699999999999999E-3</v>
      </c>
      <c r="E421" s="346">
        <v>3819.43</v>
      </c>
    </row>
    <row r="422" spans="1:5" x14ac:dyDescent="0.2">
      <c r="A422" s="346" t="s">
        <v>0</v>
      </c>
      <c r="B422" s="346" t="s">
        <v>1</v>
      </c>
      <c r="C422" s="346">
        <v>153943</v>
      </c>
      <c r="D422" s="346">
        <v>1.091E-2</v>
      </c>
      <c r="E422" s="346">
        <v>1679.52</v>
      </c>
    </row>
    <row r="423" spans="1:5" x14ac:dyDescent="0.2">
      <c r="A423" s="346" t="s">
        <v>15</v>
      </c>
      <c r="B423" s="346" t="s">
        <v>15</v>
      </c>
      <c r="C423" s="346">
        <v>390944</v>
      </c>
      <c r="D423" s="346">
        <v>1.371E-2</v>
      </c>
      <c r="E423" s="346">
        <v>5359.84</v>
      </c>
    </row>
    <row r="424" spans="1:5" x14ac:dyDescent="0.2">
      <c r="A424" s="346" t="s">
        <v>0</v>
      </c>
      <c r="B424" s="346" t="s">
        <v>1</v>
      </c>
      <c r="C424" s="346">
        <v>147533</v>
      </c>
      <c r="D424" s="346">
        <v>1.091E-2</v>
      </c>
      <c r="E424" s="346">
        <v>1609.59</v>
      </c>
    </row>
    <row r="425" spans="1:5" x14ac:dyDescent="0.2">
      <c r="A425" s="346" t="s">
        <v>2</v>
      </c>
      <c r="B425" s="346" t="s">
        <v>1</v>
      </c>
      <c r="C425" s="346">
        <v>469721</v>
      </c>
      <c r="D425" s="346">
        <v>7.0699999999999999E-3</v>
      </c>
      <c r="E425" s="346">
        <v>3320.93</v>
      </c>
    </row>
    <row r="426" spans="1:5" x14ac:dyDescent="0.2">
      <c r="A426" s="346" t="s">
        <v>5</v>
      </c>
      <c r="B426" s="346" t="s">
        <v>1</v>
      </c>
      <c r="C426" s="346">
        <v>1168</v>
      </c>
      <c r="D426" s="346">
        <v>1.1383000000000001</v>
      </c>
      <c r="E426" s="346">
        <v>1329.53</v>
      </c>
    </row>
    <row r="427" spans="1:5" x14ac:dyDescent="0.2">
      <c r="A427" s="346" t="s">
        <v>13</v>
      </c>
      <c r="B427" s="346" t="s">
        <v>14</v>
      </c>
      <c r="C427" s="346">
        <v>5415</v>
      </c>
      <c r="D427" s="346">
        <v>1.091E-2</v>
      </c>
      <c r="E427" s="346">
        <v>59.08</v>
      </c>
    </row>
    <row r="428" spans="1:5" x14ac:dyDescent="0.2">
      <c r="A428" s="346" t="s">
        <v>15</v>
      </c>
      <c r="B428" s="346" t="s">
        <v>15</v>
      </c>
      <c r="C428" s="346">
        <v>380288</v>
      </c>
      <c r="D428" s="346">
        <v>1.371E-2</v>
      </c>
      <c r="E428" s="346">
        <v>5213.75</v>
      </c>
    </row>
    <row r="429" spans="1:5" x14ac:dyDescent="0.2">
      <c r="A429" s="346" t="s">
        <v>13</v>
      </c>
      <c r="B429" s="346" t="s">
        <v>14</v>
      </c>
      <c r="C429" s="346">
        <v>5746</v>
      </c>
      <c r="D429" s="346">
        <v>1.091E-2</v>
      </c>
      <c r="E429" s="346">
        <v>62.69</v>
      </c>
    </row>
    <row r="430" spans="1:5" x14ac:dyDescent="0.2">
      <c r="A430" s="346" t="s">
        <v>5</v>
      </c>
      <c r="B430" s="346" t="s">
        <v>1</v>
      </c>
      <c r="C430" s="346">
        <v>1123</v>
      </c>
      <c r="D430" s="346">
        <v>1.1383000000000001</v>
      </c>
      <c r="E430" s="346">
        <v>1278.31</v>
      </c>
    </row>
    <row r="431" spans="1:5" x14ac:dyDescent="0.2">
      <c r="A431" s="346" t="s">
        <v>2</v>
      </c>
      <c r="B431" s="346" t="s">
        <v>1</v>
      </c>
      <c r="C431" s="346">
        <v>574951</v>
      </c>
      <c r="D431" s="346">
        <v>7.0699999999999999E-3</v>
      </c>
      <c r="E431" s="346">
        <v>4064.9</v>
      </c>
    </row>
    <row r="432" spans="1:5" x14ac:dyDescent="0.2">
      <c r="A432" s="346" t="s">
        <v>0</v>
      </c>
      <c r="B432" s="346" t="s">
        <v>1</v>
      </c>
      <c r="C432" s="346">
        <v>166498</v>
      </c>
      <c r="D432" s="346">
        <v>1.091E-2</v>
      </c>
      <c r="E432" s="346">
        <v>1816.49</v>
      </c>
    </row>
    <row r="433" spans="1:5" x14ac:dyDescent="0.2">
      <c r="A433" s="346" t="s">
        <v>15</v>
      </c>
      <c r="B433" s="346" t="s">
        <v>15</v>
      </c>
      <c r="C433" s="346">
        <v>480765</v>
      </c>
      <c r="D433" s="346">
        <v>1.371E-2</v>
      </c>
      <c r="E433" s="346">
        <v>6591.29</v>
      </c>
    </row>
    <row r="434" spans="1:5" x14ac:dyDescent="0.2">
      <c r="A434" s="346" t="s">
        <v>13</v>
      </c>
      <c r="B434" s="346" t="s">
        <v>14</v>
      </c>
      <c r="C434" s="346">
        <v>5539</v>
      </c>
      <c r="D434" s="346">
        <v>1.091E-2</v>
      </c>
      <c r="E434" s="346">
        <v>60.43</v>
      </c>
    </row>
    <row r="435" spans="1:5" x14ac:dyDescent="0.2">
      <c r="A435" s="346" t="s">
        <v>5</v>
      </c>
      <c r="B435" s="346" t="s">
        <v>1</v>
      </c>
      <c r="C435" s="346">
        <v>1120</v>
      </c>
      <c r="D435" s="346">
        <v>1.1383000000000001</v>
      </c>
      <c r="E435" s="346">
        <v>1274.9000000000001</v>
      </c>
    </row>
    <row r="436" spans="1:5" x14ac:dyDescent="0.2">
      <c r="A436" s="346" t="s">
        <v>2</v>
      </c>
      <c r="B436" s="346" t="s">
        <v>1</v>
      </c>
      <c r="C436" s="346">
        <v>481781</v>
      </c>
      <c r="D436" s="346">
        <v>7.0699999999999999E-3</v>
      </c>
      <c r="E436" s="346">
        <v>3406.19</v>
      </c>
    </row>
    <row r="437" spans="1:5" x14ac:dyDescent="0.2">
      <c r="A437" s="346" t="s">
        <v>0</v>
      </c>
      <c r="B437" s="346" t="s">
        <v>1</v>
      </c>
      <c r="C437" s="346">
        <v>137984</v>
      </c>
      <c r="D437" s="346">
        <v>1.091E-2</v>
      </c>
      <c r="E437" s="346">
        <v>1505.41</v>
      </c>
    </row>
    <row r="438" spans="1:5" x14ac:dyDescent="0.2">
      <c r="A438" s="346" t="s">
        <v>15</v>
      </c>
      <c r="B438" s="346" t="s">
        <v>15</v>
      </c>
      <c r="C438" s="346">
        <v>426599</v>
      </c>
      <c r="D438" s="346">
        <v>1.371E-2</v>
      </c>
      <c r="E438" s="346">
        <v>5848.67</v>
      </c>
    </row>
    <row r="439" spans="1:5" x14ac:dyDescent="0.2">
      <c r="A439" s="346" t="s">
        <v>13</v>
      </c>
      <c r="B439" s="346" t="s">
        <v>14</v>
      </c>
      <c r="C439" s="346">
        <v>38776</v>
      </c>
      <c r="D439" s="346">
        <v>1.091E-2</v>
      </c>
      <c r="E439" s="346">
        <v>423.05</v>
      </c>
    </row>
    <row r="440" spans="1:5" x14ac:dyDescent="0.2">
      <c r="A440" s="346" t="s">
        <v>15</v>
      </c>
      <c r="B440" s="346" t="s">
        <v>15</v>
      </c>
      <c r="C440" s="346">
        <v>3126297</v>
      </c>
      <c r="D440" s="346">
        <v>1.371E-2</v>
      </c>
      <c r="E440" s="346">
        <v>42861.53</v>
      </c>
    </row>
    <row r="441" spans="1:5" x14ac:dyDescent="0.2">
      <c r="A441" s="346" t="s">
        <v>5</v>
      </c>
      <c r="B441" s="346" t="s">
        <v>1</v>
      </c>
      <c r="C441" s="346">
        <v>6314.5</v>
      </c>
      <c r="D441" s="346">
        <v>1.1383000000000001</v>
      </c>
      <c r="E441" s="346">
        <v>7187.8</v>
      </c>
    </row>
    <row r="442" spans="1:5" x14ac:dyDescent="0.2">
      <c r="A442" s="346" t="s">
        <v>2</v>
      </c>
      <c r="B442" s="346" t="s">
        <v>1</v>
      </c>
      <c r="C442" s="346">
        <v>1551203</v>
      </c>
      <c r="D442" s="346">
        <v>7.0699999999999999E-3</v>
      </c>
      <c r="E442" s="346">
        <v>10967.01</v>
      </c>
    </row>
    <row r="443" spans="1:5" x14ac:dyDescent="0.2">
      <c r="A443" s="346" t="s">
        <v>0</v>
      </c>
      <c r="B443" s="346" t="s">
        <v>1</v>
      </c>
      <c r="C443" s="346">
        <v>1188429</v>
      </c>
      <c r="D443" s="346">
        <v>1.091E-2</v>
      </c>
      <c r="E443" s="346">
        <v>12965.76</v>
      </c>
    </row>
    <row r="444" spans="1:5" x14ac:dyDescent="0.2">
      <c r="A444" s="346" t="s">
        <v>13</v>
      </c>
      <c r="B444" s="346" t="s">
        <v>14</v>
      </c>
      <c r="C444" s="346">
        <v>40000</v>
      </c>
      <c r="D444" s="346">
        <v>1.091E-2</v>
      </c>
      <c r="E444" s="346">
        <v>436.4</v>
      </c>
    </row>
    <row r="445" spans="1:5" x14ac:dyDescent="0.2">
      <c r="A445" s="346" t="s">
        <v>2</v>
      </c>
      <c r="B445" s="346" t="s">
        <v>1</v>
      </c>
      <c r="C445" s="346">
        <v>1545184</v>
      </c>
      <c r="D445" s="346">
        <v>7.0699999999999999E-3</v>
      </c>
      <c r="E445" s="346">
        <v>10924.45</v>
      </c>
    </row>
    <row r="446" spans="1:5" x14ac:dyDescent="0.2">
      <c r="A446" s="346" t="s">
        <v>0</v>
      </c>
      <c r="B446" s="346" t="s">
        <v>1</v>
      </c>
      <c r="C446" s="346">
        <v>966480</v>
      </c>
      <c r="D446" s="346">
        <v>1.091E-2</v>
      </c>
      <c r="E446" s="346">
        <v>10544.3</v>
      </c>
    </row>
    <row r="447" spans="1:5" x14ac:dyDescent="0.2">
      <c r="A447" s="346" t="s">
        <v>15</v>
      </c>
      <c r="B447" s="346" t="s">
        <v>15</v>
      </c>
      <c r="C447" s="346">
        <v>2762496</v>
      </c>
      <c r="D447" s="346">
        <v>1.371E-2</v>
      </c>
      <c r="E447" s="346">
        <v>37873.82</v>
      </c>
    </row>
    <row r="448" spans="1:5" x14ac:dyDescent="0.2">
      <c r="A448" s="346" t="s">
        <v>5</v>
      </c>
      <c r="B448" s="346" t="s">
        <v>1</v>
      </c>
      <c r="C448" s="346">
        <v>4968.41</v>
      </c>
      <c r="D448" s="346">
        <v>1.1383000000000001</v>
      </c>
      <c r="E448" s="346">
        <v>5655.54</v>
      </c>
    </row>
    <row r="449" spans="1:5" x14ac:dyDescent="0.2">
      <c r="A449" s="346" t="s">
        <v>0</v>
      </c>
      <c r="B449" s="346" t="s">
        <v>1</v>
      </c>
      <c r="C449" s="346">
        <v>1050565</v>
      </c>
      <c r="D449" s="346">
        <v>1.091E-2</v>
      </c>
      <c r="E449" s="346">
        <v>11461.66</v>
      </c>
    </row>
    <row r="450" spans="1:5" x14ac:dyDescent="0.2">
      <c r="A450" s="346" t="s">
        <v>2</v>
      </c>
      <c r="B450" s="346" t="s">
        <v>1</v>
      </c>
      <c r="C450" s="346">
        <v>1283245</v>
      </c>
      <c r="D450" s="346">
        <v>7.0699999999999999E-3</v>
      </c>
      <c r="E450" s="346">
        <v>9072.5400000000009</v>
      </c>
    </row>
    <row r="451" spans="1:5" x14ac:dyDescent="0.2">
      <c r="A451" s="346" t="s">
        <v>5</v>
      </c>
      <c r="B451" s="346" t="s">
        <v>1</v>
      </c>
      <c r="C451" s="346">
        <v>4056</v>
      </c>
      <c r="D451" s="346">
        <v>1.138358</v>
      </c>
      <c r="E451" s="346">
        <v>4617.18</v>
      </c>
    </row>
    <row r="452" spans="1:5" x14ac:dyDescent="0.2">
      <c r="A452" s="346" t="s">
        <v>13</v>
      </c>
      <c r="B452" s="346" t="s">
        <v>14</v>
      </c>
      <c r="C452" s="346">
        <v>40000</v>
      </c>
      <c r="D452" s="346">
        <v>1.091E-2</v>
      </c>
      <c r="E452" s="346">
        <v>436.4</v>
      </c>
    </row>
    <row r="453" spans="1:5" x14ac:dyDescent="0.2">
      <c r="A453" s="346" t="s">
        <v>15</v>
      </c>
      <c r="B453" s="346" t="s">
        <v>15</v>
      </c>
      <c r="C453" s="346">
        <v>2626568</v>
      </c>
      <c r="D453" s="346">
        <v>1.371E-2</v>
      </c>
      <c r="E453" s="346">
        <v>36010.25</v>
      </c>
    </row>
    <row r="454" spans="1:5" x14ac:dyDescent="0.2">
      <c r="A454" s="346" t="s">
        <v>13</v>
      </c>
      <c r="B454" s="346" t="s">
        <v>14</v>
      </c>
      <c r="C454" s="346">
        <v>40063</v>
      </c>
      <c r="D454" s="346">
        <v>1.091E-2</v>
      </c>
      <c r="E454" s="346">
        <v>437.09</v>
      </c>
    </row>
    <row r="455" spans="1:5" x14ac:dyDescent="0.2">
      <c r="A455" s="346" t="s">
        <v>5</v>
      </c>
      <c r="B455" s="346" t="s">
        <v>1</v>
      </c>
      <c r="C455" s="346">
        <v>3652.95</v>
      </c>
      <c r="D455" s="346">
        <v>1.1383000000000001</v>
      </c>
      <c r="E455" s="346">
        <v>4158.1499999999996</v>
      </c>
    </row>
    <row r="456" spans="1:5" x14ac:dyDescent="0.2">
      <c r="A456" s="346" t="s">
        <v>2</v>
      </c>
      <c r="B456" s="346" t="s">
        <v>1</v>
      </c>
      <c r="C456" s="346">
        <v>1251347</v>
      </c>
      <c r="D456" s="346">
        <v>7.0699999999999999E-3</v>
      </c>
      <c r="E456" s="346">
        <v>8847.02</v>
      </c>
    </row>
    <row r="457" spans="1:5" x14ac:dyDescent="0.2">
      <c r="A457" s="346" t="s">
        <v>0</v>
      </c>
      <c r="B457" s="346" t="s">
        <v>1</v>
      </c>
      <c r="C457" s="346">
        <v>947726</v>
      </c>
      <c r="D457" s="346">
        <v>1.091E-2</v>
      </c>
      <c r="E457" s="346">
        <v>10339.69</v>
      </c>
    </row>
    <row r="458" spans="1:5" x14ac:dyDescent="0.2">
      <c r="A458" s="346" t="s">
        <v>15</v>
      </c>
      <c r="B458" s="346" t="s">
        <v>15</v>
      </c>
      <c r="C458" s="346">
        <v>2360421</v>
      </c>
      <c r="D458" s="346">
        <v>1.371E-2</v>
      </c>
      <c r="E458" s="346">
        <v>32361.37</v>
      </c>
    </row>
    <row r="459" spans="1:5" x14ac:dyDescent="0.2">
      <c r="A459" s="346" t="s">
        <v>13</v>
      </c>
      <c r="B459" s="346" t="s">
        <v>14</v>
      </c>
      <c r="C459" s="346">
        <v>40126</v>
      </c>
      <c r="D459" s="346">
        <v>1.091E-2</v>
      </c>
      <c r="E459" s="346">
        <v>437.77</v>
      </c>
    </row>
    <row r="460" spans="1:5" x14ac:dyDescent="0.2">
      <c r="A460" s="346" t="s">
        <v>5</v>
      </c>
      <c r="B460" s="346" t="s">
        <v>1</v>
      </c>
      <c r="C460" s="346">
        <v>3552.95</v>
      </c>
      <c r="D460" s="346">
        <v>1.1383000000000001</v>
      </c>
      <c r="E460" s="346">
        <v>4044.32</v>
      </c>
    </row>
    <row r="461" spans="1:5" x14ac:dyDescent="0.2">
      <c r="A461" s="346" t="s">
        <v>2</v>
      </c>
      <c r="B461" s="346" t="s">
        <v>1</v>
      </c>
      <c r="C461" s="346">
        <v>1168804</v>
      </c>
      <c r="D461" s="346">
        <v>7.0699999999999999E-3</v>
      </c>
      <c r="E461" s="346">
        <v>8263.44</v>
      </c>
    </row>
    <row r="462" spans="1:5" ht="12.75" customHeight="1" x14ac:dyDescent="0.25">
      <c r="A462" s="346" t="s">
        <v>0</v>
      </c>
      <c r="B462" s="346" t="s">
        <v>1</v>
      </c>
      <c r="C462" s="348">
        <v>962905</v>
      </c>
      <c r="D462" s="347">
        <v>1.091E-2</v>
      </c>
      <c r="E462" s="202">
        <v>10505.29</v>
      </c>
    </row>
    <row r="463" spans="1:5" x14ac:dyDescent="0.2">
      <c r="A463" s="346" t="s">
        <v>15</v>
      </c>
      <c r="B463" s="346" t="s">
        <v>15</v>
      </c>
      <c r="C463" s="346">
        <v>2304634</v>
      </c>
      <c r="D463" s="346">
        <v>1.371E-2</v>
      </c>
      <c r="E463" s="346">
        <v>31596.53</v>
      </c>
    </row>
    <row r="464" spans="1:5" x14ac:dyDescent="0.2">
      <c r="A464" s="346" t="s">
        <v>0</v>
      </c>
      <c r="B464" s="346" t="s">
        <v>1</v>
      </c>
      <c r="C464" s="346">
        <v>856666</v>
      </c>
      <c r="D464" s="346">
        <v>1.091E-2</v>
      </c>
      <c r="E464" s="346">
        <v>9346.23</v>
      </c>
    </row>
    <row r="465" spans="1:5" x14ac:dyDescent="0.2">
      <c r="A465" s="346" t="s">
        <v>2</v>
      </c>
      <c r="B465" s="346" t="s">
        <v>1</v>
      </c>
      <c r="C465" s="346">
        <v>1208116</v>
      </c>
      <c r="D465" s="346">
        <v>7.0699999999999999E-3</v>
      </c>
      <c r="E465" s="346">
        <v>8541.3799999999992</v>
      </c>
    </row>
    <row r="466" spans="1:5" x14ac:dyDescent="0.2">
      <c r="A466" s="346" t="s">
        <v>5</v>
      </c>
      <c r="B466" s="346" t="s">
        <v>1</v>
      </c>
      <c r="C466" s="346">
        <v>3471.53</v>
      </c>
      <c r="D466" s="346">
        <v>1.1383000000000001</v>
      </c>
      <c r="E466" s="346">
        <v>3951.64</v>
      </c>
    </row>
    <row r="467" spans="1:5" x14ac:dyDescent="0.2">
      <c r="A467" s="346" t="s">
        <v>13</v>
      </c>
      <c r="B467" s="346" t="s">
        <v>14</v>
      </c>
      <c r="C467" s="346">
        <v>40135</v>
      </c>
      <c r="D467" s="346">
        <v>1.091E-2</v>
      </c>
      <c r="E467" s="346">
        <v>437.87</v>
      </c>
    </row>
    <row r="468" spans="1:5" x14ac:dyDescent="0.2">
      <c r="A468" s="346" t="s">
        <v>15</v>
      </c>
      <c r="B468" s="346" t="s">
        <v>15</v>
      </c>
      <c r="C468" s="346">
        <v>2047277</v>
      </c>
      <c r="D468" s="346">
        <v>1.371E-2</v>
      </c>
      <c r="E468" s="346">
        <v>28068.17</v>
      </c>
    </row>
    <row r="469" spans="1:5" x14ac:dyDescent="0.2">
      <c r="A469" s="346" t="s">
        <v>0</v>
      </c>
      <c r="B469" s="346" t="s">
        <v>1</v>
      </c>
      <c r="C469" s="346">
        <v>1249109</v>
      </c>
      <c r="D469" s="346">
        <v>1.091E-2</v>
      </c>
      <c r="E469" s="346">
        <v>13627.78</v>
      </c>
    </row>
    <row r="470" spans="1:5" x14ac:dyDescent="0.2">
      <c r="A470" s="346" t="s">
        <v>2</v>
      </c>
      <c r="B470" s="346" t="s">
        <v>1</v>
      </c>
      <c r="C470" s="346">
        <v>1202441</v>
      </c>
      <c r="D470" s="346">
        <v>7.0698000000000002E-3</v>
      </c>
      <c r="E470" s="346">
        <v>8501.0499999999993</v>
      </c>
    </row>
    <row r="471" spans="1:5" x14ac:dyDescent="0.2">
      <c r="A471" s="346" t="s">
        <v>5</v>
      </c>
      <c r="B471" s="346" t="s">
        <v>1</v>
      </c>
      <c r="C471" s="346">
        <v>3676.83</v>
      </c>
      <c r="D471" s="346">
        <v>1.1383000000000001</v>
      </c>
      <c r="E471" s="346">
        <v>4185.34</v>
      </c>
    </row>
    <row r="472" spans="1:5" x14ac:dyDescent="0.2">
      <c r="A472" s="346" t="s">
        <v>13</v>
      </c>
      <c r="B472" s="346" t="s">
        <v>14</v>
      </c>
      <c r="C472" s="346">
        <v>39847</v>
      </c>
      <c r="D472" s="346">
        <v>1.091E-2</v>
      </c>
      <c r="E472" s="346">
        <v>434.73</v>
      </c>
    </row>
    <row r="473" spans="1:5" x14ac:dyDescent="0.2">
      <c r="A473" s="346" t="s">
        <v>15</v>
      </c>
      <c r="B473" s="346" t="s">
        <v>15</v>
      </c>
      <c r="C473" s="346">
        <v>2628285</v>
      </c>
      <c r="D473" s="346">
        <v>1.371E-2</v>
      </c>
      <c r="E473" s="346">
        <v>36033.79</v>
      </c>
    </row>
    <row r="474" spans="1:5" x14ac:dyDescent="0.2">
      <c r="A474" s="346" t="s">
        <v>2</v>
      </c>
      <c r="B474" s="346" t="s">
        <v>1</v>
      </c>
      <c r="C474" s="346">
        <v>1176392</v>
      </c>
      <c r="D474" s="346">
        <v>7.0699999999999999E-3</v>
      </c>
      <c r="E474" s="346">
        <v>8317.09</v>
      </c>
    </row>
    <row r="475" spans="1:5" x14ac:dyDescent="0.2">
      <c r="A475" s="346" t="s">
        <v>5</v>
      </c>
      <c r="B475" s="346" t="s">
        <v>1</v>
      </c>
      <c r="C475" s="346">
        <v>4006.65</v>
      </c>
      <c r="D475" s="346">
        <v>1.1383000000000001</v>
      </c>
      <c r="E475" s="346">
        <v>4560.7700000000004</v>
      </c>
    </row>
    <row r="476" spans="1:5" x14ac:dyDescent="0.2">
      <c r="A476" s="346" t="s">
        <v>15</v>
      </c>
      <c r="B476" s="346" t="s">
        <v>15</v>
      </c>
      <c r="C476" s="346">
        <v>2273525</v>
      </c>
      <c r="D476" s="346">
        <v>1.371E-2</v>
      </c>
      <c r="E476" s="346">
        <v>31170.03</v>
      </c>
    </row>
    <row r="477" spans="1:5" x14ac:dyDescent="0.2">
      <c r="A477" s="346" t="s">
        <v>13</v>
      </c>
      <c r="B477" s="346" t="s">
        <v>14</v>
      </c>
      <c r="C477" s="346">
        <v>39730</v>
      </c>
      <c r="D477" s="346">
        <v>1.091E-2</v>
      </c>
      <c r="E477" s="346">
        <v>433.45</v>
      </c>
    </row>
    <row r="478" spans="1:5" x14ac:dyDescent="0.2">
      <c r="A478" s="346" t="s">
        <v>0</v>
      </c>
      <c r="B478" s="346" t="s">
        <v>1</v>
      </c>
      <c r="C478" s="346">
        <v>967026</v>
      </c>
      <c r="D478" s="346">
        <v>1.091E-2</v>
      </c>
      <c r="E478" s="346">
        <v>10550.25</v>
      </c>
    </row>
    <row r="479" spans="1:5" x14ac:dyDescent="0.2">
      <c r="A479" s="346" t="s">
        <v>13</v>
      </c>
      <c r="B479" s="346" t="s">
        <v>14</v>
      </c>
      <c r="C479" s="346">
        <v>39694</v>
      </c>
      <c r="D479" s="346">
        <v>1.091E-2</v>
      </c>
      <c r="E479" s="346">
        <v>433.06</v>
      </c>
    </row>
    <row r="480" spans="1:5" x14ac:dyDescent="0.2">
      <c r="A480" s="346" t="s">
        <v>5</v>
      </c>
      <c r="B480" s="346" t="s">
        <v>1</v>
      </c>
      <c r="C480" s="346">
        <v>3914.95</v>
      </c>
      <c r="D480" s="346">
        <v>1.1383000000000001</v>
      </c>
      <c r="E480" s="346">
        <v>4456.3900000000003</v>
      </c>
    </row>
    <row r="481" spans="1:5" x14ac:dyDescent="0.2">
      <c r="A481" s="346" t="s">
        <v>2</v>
      </c>
      <c r="B481" s="346" t="s">
        <v>1</v>
      </c>
      <c r="C481" s="346">
        <v>1229294.3</v>
      </c>
      <c r="D481" s="346">
        <v>0.70699959999999995</v>
      </c>
      <c r="E481" s="346">
        <v>8676.66</v>
      </c>
    </row>
    <row r="482" spans="1:5" x14ac:dyDescent="0.2">
      <c r="A482" s="346" t="s">
        <v>0</v>
      </c>
      <c r="B482" s="346" t="s">
        <v>1</v>
      </c>
      <c r="C482" s="346">
        <v>894428</v>
      </c>
      <c r="D482" s="346">
        <v>1.091E-2</v>
      </c>
      <c r="E482" s="346">
        <v>9758.2099999999991</v>
      </c>
    </row>
    <row r="483" spans="1:5" x14ac:dyDescent="0.2">
      <c r="A483" s="346" t="s">
        <v>15</v>
      </c>
      <c r="B483" s="346" t="s">
        <v>15</v>
      </c>
      <c r="C483" s="346">
        <v>2209153</v>
      </c>
      <c r="D483" s="346">
        <v>1.371E-2</v>
      </c>
      <c r="E483" s="346">
        <v>30287.49</v>
      </c>
    </row>
    <row r="484" spans="1:5" x14ac:dyDescent="0.2">
      <c r="A484" s="346" t="s">
        <v>13</v>
      </c>
      <c r="B484" s="346" t="s">
        <v>14</v>
      </c>
      <c r="C484" s="346">
        <v>39712</v>
      </c>
      <c r="D484" s="346">
        <v>1.091E-2</v>
      </c>
      <c r="E484" s="346">
        <v>433.26</v>
      </c>
    </row>
    <row r="485" spans="1:5" x14ac:dyDescent="0.2">
      <c r="A485" s="346" t="s">
        <v>2</v>
      </c>
      <c r="B485" s="346" t="s">
        <v>1</v>
      </c>
      <c r="C485" s="346">
        <v>1744085</v>
      </c>
      <c r="D485" s="346">
        <v>7.0699999999999999E-3</v>
      </c>
      <c r="E485" s="346">
        <v>12330.68</v>
      </c>
    </row>
    <row r="486" spans="1:5" x14ac:dyDescent="0.2">
      <c r="A486" s="346" t="s">
        <v>0</v>
      </c>
      <c r="B486" s="346" t="s">
        <v>1</v>
      </c>
      <c r="C486" s="346">
        <v>991969</v>
      </c>
      <c r="D486" s="346">
        <v>1.091E-2</v>
      </c>
      <c r="E486" s="346">
        <v>10822.38</v>
      </c>
    </row>
    <row r="487" spans="1:5" x14ac:dyDescent="0.2">
      <c r="A487" s="346" t="s">
        <v>15</v>
      </c>
      <c r="B487" s="346" t="s">
        <v>15</v>
      </c>
      <c r="C487" s="346">
        <v>25958.3</v>
      </c>
      <c r="D487" s="346">
        <v>1.371</v>
      </c>
      <c r="E487" s="346">
        <v>35588.83</v>
      </c>
    </row>
    <row r="488" spans="1:5" x14ac:dyDescent="0.2">
      <c r="A488" s="346" t="s">
        <v>5</v>
      </c>
      <c r="B488" s="346" t="s">
        <v>1</v>
      </c>
      <c r="C488" s="346">
        <v>5757.09</v>
      </c>
      <c r="D488" s="346">
        <v>1.1383000000000001</v>
      </c>
      <c r="E488" s="346">
        <v>6553.3</v>
      </c>
    </row>
    <row r="489" spans="1:5" x14ac:dyDescent="0.2">
      <c r="A489" s="346" t="s">
        <v>13</v>
      </c>
      <c r="B489" s="346" t="s">
        <v>14</v>
      </c>
      <c r="C489" s="346">
        <v>39721</v>
      </c>
      <c r="D489" s="346">
        <v>1.091E-2</v>
      </c>
      <c r="E489" s="346">
        <v>433.36</v>
      </c>
    </row>
    <row r="490" spans="1:5" x14ac:dyDescent="0.2">
      <c r="A490" s="346" t="s">
        <v>5</v>
      </c>
      <c r="B490" s="346" t="s">
        <v>1</v>
      </c>
      <c r="C490" s="346">
        <v>5923.71</v>
      </c>
      <c r="D490" s="346">
        <v>1.1383000000000001</v>
      </c>
      <c r="E490" s="346">
        <v>6742.96</v>
      </c>
    </row>
    <row r="491" spans="1:5" x14ac:dyDescent="0.2">
      <c r="A491" s="346" t="s">
        <v>2</v>
      </c>
      <c r="B491" s="346" t="s">
        <v>1</v>
      </c>
      <c r="C491" s="346">
        <v>2234547</v>
      </c>
      <c r="D491" s="346">
        <v>7.0699999999999999E-3</v>
      </c>
      <c r="E491" s="346">
        <v>15798.25</v>
      </c>
    </row>
    <row r="492" spans="1:5" x14ac:dyDescent="0.2">
      <c r="A492" s="346" t="s">
        <v>0</v>
      </c>
      <c r="B492" s="346" t="s">
        <v>1</v>
      </c>
      <c r="C492" s="346">
        <v>1033663</v>
      </c>
      <c r="D492" s="346">
        <v>1.091E-2</v>
      </c>
      <c r="E492" s="346">
        <v>11277.26</v>
      </c>
    </row>
    <row r="493" spans="1:5" x14ac:dyDescent="0.2">
      <c r="A493" s="346" t="s">
        <v>15</v>
      </c>
      <c r="B493" s="346" t="s">
        <v>15</v>
      </c>
      <c r="C493" s="346">
        <v>2963188</v>
      </c>
      <c r="D493" s="346">
        <v>1.371E-2</v>
      </c>
      <c r="E493" s="346">
        <v>40625.31</v>
      </c>
    </row>
    <row r="494" spans="1:5" x14ac:dyDescent="0.2">
      <c r="A494" s="346" t="s">
        <v>13</v>
      </c>
      <c r="B494" s="346" t="s">
        <v>14</v>
      </c>
      <c r="C494" s="346">
        <v>39631</v>
      </c>
      <c r="D494" s="346">
        <v>1.091E-2</v>
      </c>
      <c r="E494" s="346">
        <v>432.37</v>
      </c>
    </row>
    <row r="495" spans="1:5" x14ac:dyDescent="0.2">
      <c r="A495" s="346" t="s">
        <v>5</v>
      </c>
      <c r="B495" s="346" t="s">
        <v>1</v>
      </c>
      <c r="C495" s="346">
        <v>6308.71</v>
      </c>
      <c r="D495" s="346">
        <v>1.1383000000000001</v>
      </c>
      <c r="E495" s="346">
        <v>7181.2</v>
      </c>
    </row>
    <row r="496" spans="1:5" ht="12.75" customHeight="1" x14ac:dyDescent="0.25">
      <c r="A496" s="346" t="s">
        <v>2</v>
      </c>
      <c r="B496" s="346" t="s">
        <v>1</v>
      </c>
      <c r="C496" s="202">
        <v>2132184</v>
      </c>
      <c r="D496" s="347">
        <v>7.0699999999999999E-3</v>
      </c>
      <c r="E496" s="202">
        <v>15074.54</v>
      </c>
    </row>
    <row r="497" spans="1:5" x14ac:dyDescent="0.2">
      <c r="A497" s="346" t="s">
        <v>0</v>
      </c>
      <c r="B497" s="346" t="s">
        <v>1</v>
      </c>
      <c r="C497" s="346">
        <v>1078593</v>
      </c>
      <c r="D497" s="346">
        <v>1.091E-2</v>
      </c>
      <c r="E497" s="346">
        <v>11767.45</v>
      </c>
    </row>
    <row r="498" spans="1:5" x14ac:dyDescent="0.2">
      <c r="A498" s="346" t="s">
        <v>15</v>
      </c>
      <c r="B498" s="346" t="s">
        <v>15</v>
      </c>
      <c r="C498" s="346">
        <v>3083712</v>
      </c>
      <c r="D498" s="346">
        <v>1.371E-2</v>
      </c>
      <c r="E498" s="346">
        <v>42277.69</v>
      </c>
    </row>
    <row r="499" spans="1:5" x14ac:dyDescent="0.2">
      <c r="A499" s="346" t="s">
        <v>2</v>
      </c>
      <c r="B499" s="346" t="s">
        <v>1</v>
      </c>
      <c r="C499" s="346">
        <v>1438565</v>
      </c>
      <c r="D499" s="346">
        <v>7.0699999999999999E-3</v>
      </c>
      <c r="E499" s="346">
        <v>10170.65</v>
      </c>
    </row>
    <row r="500" spans="1:5" x14ac:dyDescent="0.2">
      <c r="A500" s="346" t="s">
        <v>0</v>
      </c>
      <c r="B500" s="346" t="s">
        <v>1</v>
      </c>
      <c r="C500" s="346">
        <v>490636</v>
      </c>
      <c r="D500" s="346">
        <v>1.091E-2</v>
      </c>
      <c r="E500" s="346">
        <v>5352.84</v>
      </c>
    </row>
    <row r="501" spans="1:5" x14ac:dyDescent="0.2">
      <c r="A501" s="346" t="s">
        <v>5</v>
      </c>
      <c r="B501" s="346" t="s">
        <v>1</v>
      </c>
      <c r="C501" s="346">
        <v>3973.5</v>
      </c>
      <c r="D501" s="346">
        <v>1.1383000000000001</v>
      </c>
      <c r="E501" s="346">
        <v>4523.04</v>
      </c>
    </row>
    <row r="502" spans="1:5" x14ac:dyDescent="0.2">
      <c r="A502" s="346" t="s">
        <v>13</v>
      </c>
      <c r="B502" s="346" t="s">
        <v>14</v>
      </c>
      <c r="C502" s="346">
        <v>5903</v>
      </c>
      <c r="D502" s="346">
        <v>1.091E-2</v>
      </c>
      <c r="E502" s="346">
        <v>64.400000000000006</v>
      </c>
    </row>
    <row r="503" spans="1:5" x14ac:dyDescent="0.2">
      <c r="A503" s="346" t="s">
        <v>15</v>
      </c>
      <c r="B503" s="346" t="s">
        <v>15</v>
      </c>
      <c r="C503" s="346">
        <v>2072203</v>
      </c>
      <c r="D503" s="346">
        <v>1.371E-2</v>
      </c>
      <c r="E503" s="346">
        <v>28409.9</v>
      </c>
    </row>
    <row r="504" spans="1:5" x14ac:dyDescent="0.2">
      <c r="A504" s="346" t="s">
        <v>5</v>
      </c>
      <c r="B504" s="346" t="s">
        <v>1</v>
      </c>
      <c r="C504" s="346">
        <v>4066.6</v>
      </c>
      <c r="D504" s="346">
        <v>1.1383000000000001</v>
      </c>
      <c r="E504" s="346">
        <v>4629.01</v>
      </c>
    </row>
    <row r="505" spans="1:5" x14ac:dyDescent="0.2">
      <c r="A505" s="346" t="s">
        <v>13</v>
      </c>
      <c r="B505" s="346" t="s">
        <v>14</v>
      </c>
      <c r="C505" s="346">
        <v>5903</v>
      </c>
      <c r="D505" s="346">
        <v>1.091E-2</v>
      </c>
      <c r="E505" s="346">
        <v>64.400000000000006</v>
      </c>
    </row>
    <row r="506" spans="1:5" x14ac:dyDescent="0.2">
      <c r="A506" s="346" t="s">
        <v>2</v>
      </c>
      <c r="B506" s="346" t="s">
        <v>1</v>
      </c>
      <c r="C506" s="346">
        <v>1388663</v>
      </c>
      <c r="D506" s="346">
        <v>7.0699999999999999E-3</v>
      </c>
      <c r="E506" s="346">
        <v>9817.85</v>
      </c>
    </row>
    <row r="507" spans="1:5" x14ac:dyDescent="0.2">
      <c r="A507" s="346" t="s">
        <v>15</v>
      </c>
      <c r="B507" s="346" t="s">
        <v>15</v>
      </c>
      <c r="C507" s="346">
        <v>1907069</v>
      </c>
      <c r="D507" s="346">
        <v>1.371E-2</v>
      </c>
      <c r="E507" s="346">
        <v>26145.919999999998</v>
      </c>
    </row>
    <row r="508" spans="1:5" x14ac:dyDescent="0.2">
      <c r="A508" s="346" t="s">
        <v>0</v>
      </c>
      <c r="B508" s="346" t="s">
        <v>1</v>
      </c>
      <c r="C508" s="346">
        <v>465421</v>
      </c>
      <c r="D508" s="346">
        <v>1.091E-2</v>
      </c>
      <c r="E508" s="346">
        <v>5077.74</v>
      </c>
    </row>
    <row r="509" spans="1:5" x14ac:dyDescent="0.2">
      <c r="A509" s="346" t="s">
        <v>0</v>
      </c>
      <c r="B509" s="346" t="s">
        <v>1</v>
      </c>
      <c r="C509" s="346">
        <v>467236</v>
      </c>
      <c r="D509" s="346">
        <v>1.091E-2</v>
      </c>
      <c r="E509" s="346">
        <v>5097.54</v>
      </c>
    </row>
    <row r="510" spans="1:5" x14ac:dyDescent="0.2">
      <c r="A510" s="346" t="s">
        <v>2</v>
      </c>
      <c r="B510" s="346" t="s">
        <v>1</v>
      </c>
      <c r="C510" s="346">
        <v>1421124</v>
      </c>
      <c r="D510" s="346">
        <v>7.0699999999999999E-3</v>
      </c>
      <c r="E510" s="346">
        <v>10047.35</v>
      </c>
    </row>
    <row r="511" spans="1:5" x14ac:dyDescent="0.2">
      <c r="A511" s="346" t="s">
        <v>13</v>
      </c>
      <c r="B511" s="346" t="s">
        <v>14</v>
      </c>
      <c r="C511" s="346">
        <v>5840</v>
      </c>
      <c r="D511" s="346">
        <v>1.0911000000000001E-2</v>
      </c>
      <c r="E511" s="346">
        <v>63.72</v>
      </c>
    </row>
    <row r="512" spans="1:5" x14ac:dyDescent="0.2">
      <c r="A512" s="346" t="s">
        <v>5</v>
      </c>
      <c r="B512" s="346" t="s">
        <v>1</v>
      </c>
      <c r="C512" s="346">
        <v>4019.7</v>
      </c>
      <c r="D512" s="346">
        <v>1.1383000000000001</v>
      </c>
      <c r="E512" s="346">
        <v>4575.62</v>
      </c>
    </row>
    <row r="513" spans="1:5" x14ac:dyDescent="0.2">
      <c r="A513" s="346" t="s">
        <v>15</v>
      </c>
      <c r="B513" s="346" t="s">
        <v>15</v>
      </c>
      <c r="C513" s="346">
        <v>1752923</v>
      </c>
      <c r="D513" s="346">
        <v>1.371E-2</v>
      </c>
      <c r="E513" s="346">
        <v>24032.57</v>
      </c>
    </row>
    <row r="514" spans="1:5" x14ac:dyDescent="0.2">
      <c r="A514" s="346" t="s">
        <v>13</v>
      </c>
      <c r="B514" s="346" t="s">
        <v>14</v>
      </c>
      <c r="C514" s="346">
        <v>5940</v>
      </c>
      <c r="D514" s="346">
        <v>1.09091E-2</v>
      </c>
      <c r="E514" s="346">
        <v>64.8</v>
      </c>
    </row>
    <row r="515" spans="1:5" x14ac:dyDescent="0.2">
      <c r="A515" s="346" t="s">
        <v>5</v>
      </c>
      <c r="B515" s="346" t="s">
        <v>1</v>
      </c>
      <c r="C515" s="346">
        <v>4259.5</v>
      </c>
      <c r="D515" s="346">
        <v>1.1383000000000001</v>
      </c>
      <c r="E515" s="346">
        <v>4848.59</v>
      </c>
    </row>
    <row r="516" spans="1:5" x14ac:dyDescent="0.2">
      <c r="A516" s="346" t="s">
        <v>2</v>
      </c>
      <c r="B516" s="346" t="s">
        <v>1</v>
      </c>
      <c r="C516" s="346">
        <v>1445144</v>
      </c>
      <c r="D516" s="346">
        <v>7.0699999999999999E-3</v>
      </c>
      <c r="E516" s="346">
        <v>10217.17</v>
      </c>
    </row>
    <row r="517" spans="1:5" x14ac:dyDescent="0.2">
      <c r="A517" s="346" t="s">
        <v>0</v>
      </c>
      <c r="B517" s="346" t="s">
        <v>1</v>
      </c>
      <c r="C517" s="346">
        <v>429051</v>
      </c>
      <c r="D517" s="346">
        <v>1.091E-2</v>
      </c>
      <c r="E517" s="346">
        <v>4680.95</v>
      </c>
    </row>
    <row r="518" spans="1:5" x14ac:dyDescent="0.2">
      <c r="A518" s="346" t="s">
        <v>15</v>
      </c>
      <c r="B518" s="346" t="s">
        <v>15</v>
      </c>
      <c r="C518" s="346">
        <v>1535165</v>
      </c>
      <c r="D518" s="346">
        <v>1.371E-2</v>
      </c>
      <c r="E518" s="346">
        <v>21047.11</v>
      </c>
    </row>
    <row r="519" spans="1:5" x14ac:dyDescent="0.2">
      <c r="A519" s="346" t="s">
        <v>13</v>
      </c>
      <c r="B519" s="346" t="s">
        <v>14</v>
      </c>
      <c r="C519" s="346">
        <v>5962</v>
      </c>
      <c r="D519" s="346">
        <v>1.0907399999999999E-2</v>
      </c>
      <c r="E519" s="346">
        <v>65.03</v>
      </c>
    </row>
    <row r="520" spans="1:5" x14ac:dyDescent="0.2">
      <c r="A520" s="346" t="s">
        <v>5</v>
      </c>
      <c r="B520" s="346" t="s">
        <v>1</v>
      </c>
      <c r="C520" s="346">
        <v>4512.7</v>
      </c>
      <c r="D520" s="346">
        <v>1.1383000000000001</v>
      </c>
      <c r="E520" s="346">
        <v>5136.8100000000004</v>
      </c>
    </row>
    <row r="521" spans="1:5" x14ac:dyDescent="0.2">
      <c r="A521" s="346" t="s">
        <v>2</v>
      </c>
      <c r="B521" s="346" t="s">
        <v>1</v>
      </c>
      <c r="C521" s="346">
        <v>1499686</v>
      </c>
      <c r="D521" s="346">
        <v>7.0699999999999999E-3</v>
      </c>
      <c r="E521" s="346">
        <v>10602.78</v>
      </c>
    </row>
    <row r="522" spans="1:5" x14ac:dyDescent="0.2">
      <c r="A522" s="346" t="s">
        <v>0</v>
      </c>
      <c r="B522" s="346" t="s">
        <v>1</v>
      </c>
      <c r="C522" s="346">
        <v>409688</v>
      </c>
      <c r="D522" s="346">
        <v>1.091E-2</v>
      </c>
      <c r="E522" s="346">
        <v>4469.7</v>
      </c>
    </row>
    <row r="523" spans="1:5" x14ac:dyDescent="0.2">
      <c r="A523" s="346" t="s">
        <v>15</v>
      </c>
      <c r="B523" s="346" t="s">
        <v>15</v>
      </c>
      <c r="C523" s="346">
        <v>1479751</v>
      </c>
      <c r="D523" s="346">
        <v>1.371E-2</v>
      </c>
      <c r="E523" s="346">
        <v>20287.39</v>
      </c>
    </row>
    <row r="524" spans="1:5" x14ac:dyDescent="0.2">
      <c r="A524" s="346" t="s">
        <v>13</v>
      </c>
      <c r="B524" s="346" t="s">
        <v>14</v>
      </c>
      <c r="C524" s="346">
        <v>5894</v>
      </c>
      <c r="D524" s="346">
        <v>1.09094E-2</v>
      </c>
      <c r="E524" s="346">
        <v>64.3</v>
      </c>
    </row>
    <row r="525" spans="1:5" x14ac:dyDescent="0.2">
      <c r="A525" s="346" t="s">
        <v>5</v>
      </c>
      <c r="B525" s="346" t="s">
        <v>1</v>
      </c>
      <c r="C525" s="346">
        <v>4889.8999999999996</v>
      </c>
      <c r="D525" s="346">
        <v>1.1383000000000001</v>
      </c>
      <c r="E525" s="346">
        <v>5566.17</v>
      </c>
    </row>
    <row r="526" spans="1:5" x14ac:dyDescent="0.2">
      <c r="A526" s="346" t="s">
        <v>2</v>
      </c>
      <c r="B526" s="346" t="s">
        <v>1</v>
      </c>
      <c r="C526" s="346">
        <v>1669494</v>
      </c>
      <c r="D526" s="346">
        <v>7.0699999999999999E-3</v>
      </c>
      <c r="E526" s="346">
        <v>11803.32</v>
      </c>
    </row>
    <row r="527" spans="1:5" x14ac:dyDescent="0.2">
      <c r="A527" s="346" t="s">
        <v>0</v>
      </c>
      <c r="B527" s="346" t="s">
        <v>1</v>
      </c>
      <c r="C527" s="346">
        <v>431900</v>
      </c>
      <c r="D527" s="346">
        <v>1.091E-2</v>
      </c>
      <c r="E527" s="346">
        <v>4712.03</v>
      </c>
    </row>
    <row r="528" spans="1:5" x14ac:dyDescent="0.2">
      <c r="A528" s="346" t="s">
        <v>15</v>
      </c>
      <c r="B528" s="346" t="s">
        <v>15</v>
      </c>
      <c r="C528" s="346">
        <v>1671462</v>
      </c>
      <c r="D528" s="346">
        <v>1.371E-2</v>
      </c>
      <c r="E528" s="346">
        <v>22915.74</v>
      </c>
    </row>
    <row r="529" spans="1:5" x14ac:dyDescent="0.2">
      <c r="A529" s="346" t="s">
        <v>13</v>
      </c>
      <c r="B529" s="346" t="s">
        <v>14</v>
      </c>
      <c r="C529" s="346">
        <v>5894</v>
      </c>
      <c r="D529" s="346">
        <v>1.09094E-2</v>
      </c>
      <c r="E529" s="346">
        <v>64.3</v>
      </c>
    </row>
    <row r="530" spans="1:5" x14ac:dyDescent="0.2">
      <c r="A530" s="346" t="s">
        <v>5</v>
      </c>
      <c r="B530" s="346" t="s">
        <v>1</v>
      </c>
      <c r="C530" s="346">
        <v>4949.2</v>
      </c>
      <c r="D530" s="346">
        <v>1.1383000000000001</v>
      </c>
      <c r="E530" s="346">
        <v>5633.67</v>
      </c>
    </row>
    <row r="531" spans="1:5" x14ac:dyDescent="0.2">
      <c r="A531" s="346" t="s">
        <v>2</v>
      </c>
      <c r="B531" s="346" t="s">
        <v>1</v>
      </c>
      <c r="C531" s="346">
        <v>1854593</v>
      </c>
      <c r="D531" s="346">
        <v>7.0699999999999999E-3</v>
      </c>
      <c r="E531" s="346">
        <v>13111.97</v>
      </c>
    </row>
    <row r="532" spans="1:5" x14ac:dyDescent="0.2">
      <c r="A532" s="346" t="s">
        <v>0</v>
      </c>
      <c r="B532" s="346" t="s">
        <v>1</v>
      </c>
      <c r="C532" s="346">
        <v>515068</v>
      </c>
      <c r="D532" s="346">
        <v>1.091E-2</v>
      </c>
      <c r="E532" s="346">
        <v>5619.39</v>
      </c>
    </row>
    <row r="533" spans="1:5" x14ac:dyDescent="0.2">
      <c r="A533" s="346" t="s">
        <v>15</v>
      </c>
      <c r="B533" s="346" t="s">
        <v>15</v>
      </c>
      <c r="C533" s="346">
        <v>1866827</v>
      </c>
      <c r="D533" s="346">
        <v>1.371E-2</v>
      </c>
      <c r="E533" s="346">
        <v>25594.2</v>
      </c>
    </row>
    <row r="534" spans="1:5" x14ac:dyDescent="0.2">
      <c r="A534" s="346" t="s">
        <v>13</v>
      </c>
      <c r="B534" s="346" t="s">
        <v>14</v>
      </c>
      <c r="C534" s="346">
        <v>5894</v>
      </c>
      <c r="D534" s="346">
        <v>1.09094E-2</v>
      </c>
      <c r="E534" s="346">
        <v>64.3</v>
      </c>
    </row>
    <row r="535" spans="1:5" x14ac:dyDescent="0.2">
      <c r="A535" s="346" t="s">
        <v>5</v>
      </c>
      <c r="B535" s="346" t="s">
        <v>1</v>
      </c>
      <c r="C535" s="346">
        <v>4776.2</v>
      </c>
      <c r="D535" s="346">
        <v>1.1383000000000001</v>
      </c>
      <c r="E535" s="346">
        <v>5436.75</v>
      </c>
    </row>
    <row r="536" spans="1:5" x14ac:dyDescent="0.2">
      <c r="A536" s="346" t="s">
        <v>2</v>
      </c>
      <c r="B536" s="346" t="s">
        <v>1</v>
      </c>
      <c r="C536" s="346">
        <v>1668233</v>
      </c>
      <c r="D536" s="346">
        <v>7.0699999999999999E-3</v>
      </c>
      <c r="E536" s="346">
        <v>11794.41</v>
      </c>
    </row>
    <row r="537" spans="1:5" x14ac:dyDescent="0.2">
      <c r="A537" s="346" t="s">
        <v>0</v>
      </c>
      <c r="B537" s="346" t="s">
        <v>1</v>
      </c>
      <c r="C537" s="346">
        <v>454968</v>
      </c>
      <c r="D537" s="346">
        <v>1.091E-2</v>
      </c>
      <c r="E537" s="346">
        <v>4963.7</v>
      </c>
    </row>
    <row r="538" spans="1:5" x14ac:dyDescent="0.2">
      <c r="A538" s="346" t="s">
        <v>15</v>
      </c>
      <c r="B538" s="346" t="s">
        <v>15</v>
      </c>
      <c r="C538" s="346">
        <v>1597658</v>
      </c>
      <c r="D538" s="346">
        <v>1.371E-2</v>
      </c>
      <c r="E538" s="346">
        <v>21903.89</v>
      </c>
    </row>
    <row r="539" spans="1:5" x14ac:dyDescent="0.2">
      <c r="A539" s="346" t="s">
        <v>0</v>
      </c>
      <c r="B539" s="346" t="s">
        <v>1</v>
      </c>
      <c r="C539" s="346">
        <v>414339</v>
      </c>
      <c r="D539" s="346">
        <v>1.091E-2</v>
      </c>
      <c r="E539" s="346">
        <v>4520.4399999999996</v>
      </c>
    </row>
    <row r="540" spans="1:5" x14ac:dyDescent="0.2">
      <c r="A540" s="346" t="s">
        <v>2</v>
      </c>
      <c r="B540" s="346" t="s">
        <v>1</v>
      </c>
      <c r="C540" s="346">
        <v>1553727</v>
      </c>
      <c r="D540" s="346">
        <v>7.0699999999999999E-3</v>
      </c>
      <c r="E540" s="346">
        <v>10984.85</v>
      </c>
    </row>
    <row r="541" spans="1:5" x14ac:dyDescent="0.2">
      <c r="A541" s="346" t="s">
        <v>5</v>
      </c>
      <c r="B541" s="346" t="s">
        <v>1</v>
      </c>
      <c r="C541" s="346">
        <v>4669.8999999999996</v>
      </c>
      <c r="D541" s="346">
        <v>1.1383000000000001</v>
      </c>
      <c r="E541" s="346">
        <v>5315.75</v>
      </c>
    </row>
    <row r="542" spans="1:5" x14ac:dyDescent="0.2">
      <c r="A542" s="346" t="s">
        <v>13</v>
      </c>
      <c r="B542" s="346" t="s">
        <v>14</v>
      </c>
      <c r="C542" s="346">
        <v>5905</v>
      </c>
      <c r="D542" s="346">
        <v>1.09094E-2</v>
      </c>
      <c r="E542" s="346">
        <v>64.42</v>
      </c>
    </row>
    <row r="543" spans="1:5" x14ac:dyDescent="0.2">
      <c r="A543" s="346" t="s">
        <v>15</v>
      </c>
      <c r="B543" s="346" t="s">
        <v>15</v>
      </c>
      <c r="C543" s="346">
        <v>1555159</v>
      </c>
      <c r="D543" s="346">
        <v>1.371E-2</v>
      </c>
      <c r="E543" s="346">
        <v>21321.23</v>
      </c>
    </row>
    <row r="544" spans="1:5" x14ac:dyDescent="0.2">
      <c r="A544" s="346" t="s">
        <v>13</v>
      </c>
      <c r="B544" s="346" t="s">
        <v>14</v>
      </c>
      <c r="C544" s="346">
        <v>5905</v>
      </c>
      <c r="D544" s="346">
        <v>1.09094E-2</v>
      </c>
      <c r="E544" s="346">
        <v>64.42</v>
      </c>
    </row>
    <row r="545" spans="1:5" x14ac:dyDescent="0.2">
      <c r="A545" s="346" t="s">
        <v>15</v>
      </c>
      <c r="B545" s="346" t="s">
        <v>15</v>
      </c>
      <c r="C545" s="346">
        <v>1678856</v>
      </c>
      <c r="D545" s="346">
        <v>1.371E-2</v>
      </c>
      <c r="E545" s="346">
        <v>23017.119999999999</v>
      </c>
    </row>
    <row r="546" spans="1:5" x14ac:dyDescent="0.2">
      <c r="A546" s="346" t="s">
        <v>5</v>
      </c>
      <c r="B546" s="346" t="s">
        <v>1</v>
      </c>
      <c r="C546" s="346">
        <v>4313.6000000000004</v>
      </c>
      <c r="D546" s="346">
        <v>1.1383000000000001</v>
      </c>
      <c r="E546" s="346">
        <v>4910.17</v>
      </c>
    </row>
    <row r="547" spans="1:5" x14ac:dyDescent="0.2">
      <c r="A547" s="346" t="s">
        <v>2</v>
      </c>
      <c r="B547" s="346" t="s">
        <v>1</v>
      </c>
      <c r="C547" s="346">
        <v>1417740</v>
      </c>
      <c r="D547" s="346">
        <v>7.0699999999999999E-3</v>
      </c>
      <c r="E547" s="346">
        <v>10023.42</v>
      </c>
    </row>
    <row r="548" spans="1:5" x14ac:dyDescent="0.2">
      <c r="A548" s="346" t="s">
        <v>0</v>
      </c>
      <c r="B548" s="346" t="s">
        <v>1</v>
      </c>
      <c r="C548" s="346">
        <v>407712</v>
      </c>
      <c r="D548" s="346">
        <v>1.091E-2</v>
      </c>
      <c r="E548" s="346">
        <v>4448.1400000000003</v>
      </c>
    </row>
    <row r="549" spans="1:5" x14ac:dyDescent="0.2">
      <c r="A549" s="346" t="s">
        <v>13</v>
      </c>
      <c r="B549" s="346" t="s">
        <v>14</v>
      </c>
      <c r="C549" s="346">
        <v>5803</v>
      </c>
      <c r="D549" s="346">
        <v>1.09094E-2</v>
      </c>
      <c r="E549" s="346">
        <v>63.31</v>
      </c>
    </row>
    <row r="550" spans="1:5" x14ac:dyDescent="0.2">
      <c r="A550" s="346" t="s">
        <v>2</v>
      </c>
      <c r="B550" s="346" t="s">
        <v>1</v>
      </c>
      <c r="C550" s="346">
        <v>1403975</v>
      </c>
      <c r="D550" s="346">
        <v>7.0699999999999999E-3</v>
      </c>
      <c r="E550" s="346">
        <v>9926.1</v>
      </c>
    </row>
    <row r="551" spans="1:5" x14ac:dyDescent="0.2">
      <c r="A551" s="346" t="s">
        <v>0</v>
      </c>
      <c r="B551" s="346" t="s">
        <v>1</v>
      </c>
      <c r="C551" s="346">
        <v>453126</v>
      </c>
      <c r="D551" s="346">
        <v>1.091E-2</v>
      </c>
      <c r="E551" s="346">
        <v>4943.6000000000004</v>
      </c>
    </row>
    <row r="552" spans="1:5" x14ac:dyDescent="0.2">
      <c r="A552" s="346" t="s">
        <v>15</v>
      </c>
      <c r="B552" s="346" t="s">
        <v>15</v>
      </c>
      <c r="C552" s="346">
        <v>2005616</v>
      </c>
      <c r="D552" s="346">
        <v>1.371E-2</v>
      </c>
      <c r="E552" s="346">
        <v>27497</v>
      </c>
    </row>
    <row r="553" spans="1:5" x14ac:dyDescent="0.2">
      <c r="A553" s="346" t="s">
        <v>5</v>
      </c>
      <c r="B553" s="346" t="s">
        <v>1</v>
      </c>
      <c r="C553" s="346">
        <v>4006.3</v>
      </c>
      <c r="D553" s="346">
        <v>1.1383000000000001</v>
      </c>
      <c r="E553" s="346">
        <v>4560.37</v>
      </c>
    </row>
    <row r="554" spans="1:5" x14ac:dyDescent="0.2">
      <c r="A554" s="346" t="s">
        <v>0</v>
      </c>
      <c r="B554" s="346" t="s">
        <v>1</v>
      </c>
      <c r="C554" s="346">
        <v>491434</v>
      </c>
      <c r="D554" s="346">
        <v>1.091E-2</v>
      </c>
      <c r="E554" s="346">
        <v>5361.54</v>
      </c>
    </row>
    <row r="555" spans="1:5" x14ac:dyDescent="0.2">
      <c r="A555" s="346" t="s">
        <v>2</v>
      </c>
      <c r="B555" s="346" t="s">
        <v>1</v>
      </c>
      <c r="C555" s="346">
        <v>1515629</v>
      </c>
      <c r="D555" s="346">
        <v>7.0699999999999999E-3</v>
      </c>
      <c r="E555" s="346">
        <v>10715.5</v>
      </c>
    </row>
    <row r="556" spans="1:5" ht="15" customHeight="1" x14ac:dyDescent="0.2">
      <c r="A556" s="346" t="s">
        <v>5</v>
      </c>
      <c r="B556" s="346" t="s">
        <v>1</v>
      </c>
      <c r="C556" s="346">
        <v>4039.3</v>
      </c>
      <c r="D556" s="346">
        <v>1.1383000000000001</v>
      </c>
      <c r="E556" s="346">
        <v>4597.9399999999996</v>
      </c>
    </row>
    <row r="557" spans="1:5" ht="15" customHeight="1" x14ac:dyDescent="0.2">
      <c r="A557" s="346" t="s">
        <v>13</v>
      </c>
      <c r="B557" s="346" t="s">
        <v>14</v>
      </c>
      <c r="C557" s="346">
        <v>5803</v>
      </c>
      <c r="D557" s="346">
        <v>1.09094E-2</v>
      </c>
      <c r="E557" s="346">
        <v>63.31</v>
      </c>
    </row>
    <row r="558" spans="1:5" ht="15" customHeight="1" x14ac:dyDescent="0.2">
      <c r="A558" s="346" t="s">
        <v>15</v>
      </c>
      <c r="B558" s="346" t="s">
        <v>15</v>
      </c>
      <c r="C558" s="346">
        <v>2266787</v>
      </c>
      <c r="D558" s="346">
        <v>1.371E-2</v>
      </c>
      <c r="E558" s="346">
        <v>31077.65</v>
      </c>
    </row>
    <row r="559" spans="1:5" ht="15" customHeight="1" x14ac:dyDescent="0.2">
      <c r="A559" s="346" t="s">
        <v>0</v>
      </c>
      <c r="B559" s="346" t="s">
        <v>1</v>
      </c>
      <c r="C559" s="346">
        <v>234962</v>
      </c>
      <c r="D559" s="346">
        <v>1.091E-2</v>
      </c>
      <c r="E559" s="346">
        <v>2563.44</v>
      </c>
    </row>
    <row r="560" spans="1:5" ht="15" customHeight="1" x14ac:dyDescent="0.2">
      <c r="A560" s="346" t="s">
        <v>2</v>
      </c>
      <c r="B560" s="346" t="s">
        <v>1</v>
      </c>
      <c r="C560" s="346">
        <v>570940</v>
      </c>
      <c r="D560" s="346">
        <v>7.0699999999999999E-3</v>
      </c>
      <c r="E560" s="346">
        <v>4036.55</v>
      </c>
    </row>
    <row r="561" spans="1:5" x14ac:dyDescent="0.2">
      <c r="A561" s="346" t="s">
        <v>5</v>
      </c>
      <c r="B561" s="346" t="s">
        <v>1</v>
      </c>
      <c r="C561" s="346">
        <v>1549.42</v>
      </c>
      <c r="D561" s="346">
        <v>1.1383000000000001</v>
      </c>
      <c r="E561" s="346">
        <v>1763.7</v>
      </c>
    </row>
    <row r="562" spans="1:5" x14ac:dyDescent="0.2">
      <c r="A562" s="346" t="s">
        <v>22</v>
      </c>
      <c r="B562" s="346" t="s">
        <v>37</v>
      </c>
      <c r="C562" s="346">
        <v>749182</v>
      </c>
      <c r="D562" s="346">
        <v>5.2199999999999998E-3</v>
      </c>
      <c r="E562" s="346">
        <v>3910.73</v>
      </c>
    </row>
    <row r="563" spans="1:5" x14ac:dyDescent="0.2">
      <c r="A563" s="346" t="s">
        <v>24</v>
      </c>
      <c r="B563" s="346" t="s">
        <v>37</v>
      </c>
      <c r="C563" s="346">
        <v>1542.33</v>
      </c>
      <c r="D563" s="346">
        <v>1.2132000000000001</v>
      </c>
      <c r="E563" s="346">
        <v>1871.15</v>
      </c>
    </row>
    <row r="564" spans="1:5" x14ac:dyDescent="0.2">
      <c r="A564" s="346" t="s">
        <v>13</v>
      </c>
      <c r="B564" s="346" t="s">
        <v>14</v>
      </c>
      <c r="C564" s="346">
        <v>7404</v>
      </c>
      <c r="D564" s="346">
        <v>1.091E-2</v>
      </c>
      <c r="E564" s="346">
        <v>80.78</v>
      </c>
    </row>
    <row r="565" spans="1:5" x14ac:dyDescent="0.2">
      <c r="A565" s="346" t="s">
        <v>15</v>
      </c>
      <c r="B565" s="346" t="s">
        <v>15</v>
      </c>
      <c r="C565" s="346">
        <v>1052277</v>
      </c>
      <c r="D565" s="346">
        <v>1.371E-2</v>
      </c>
      <c r="E565" s="346">
        <v>14426.72</v>
      </c>
    </row>
    <row r="566" spans="1:5" x14ac:dyDescent="0.2">
      <c r="A566" s="346" t="s">
        <v>15</v>
      </c>
      <c r="B566" s="346" t="s">
        <v>15</v>
      </c>
      <c r="C566" s="346">
        <v>959099</v>
      </c>
      <c r="D566" s="346">
        <v>1.371E-2</v>
      </c>
      <c r="E566" s="346">
        <v>13149.25</v>
      </c>
    </row>
    <row r="567" spans="1:5" x14ac:dyDescent="0.2">
      <c r="A567" s="346" t="s">
        <v>0</v>
      </c>
      <c r="B567" s="346" t="s">
        <v>1</v>
      </c>
      <c r="C567" s="346">
        <v>222871</v>
      </c>
      <c r="D567" s="346">
        <v>1.091E-2</v>
      </c>
      <c r="E567" s="346">
        <v>2431.52</v>
      </c>
    </row>
    <row r="568" spans="1:5" x14ac:dyDescent="0.2">
      <c r="A568" s="346" t="s">
        <v>2</v>
      </c>
      <c r="B568" s="346" t="s">
        <v>1</v>
      </c>
      <c r="C568" s="346">
        <v>523954</v>
      </c>
      <c r="D568" s="346">
        <v>7.0699999999999999E-3</v>
      </c>
      <c r="E568" s="346">
        <v>3704.35</v>
      </c>
    </row>
    <row r="569" spans="1:5" x14ac:dyDescent="0.2">
      <c r="A569" s="346" t="s">
        <v>5</v>
      </c>
      <c r="B569" s="346" t="s">
        <v>1</v>
      </c>
      <c r="C569" s="346">
        <v>1542.14</v>
      </c>
      <c r="D569" s="346">
        <v>1.1383000000000001</v>
      </c>
      <c r="E569" s="346">
        <v>1755.42</v>
      </c>
    </row>
    <row r="570" spans="1:5" x14ac:dyDescent="0.2">
      <c r="A570" s="346" t="s">
        <v>22</v>
      </c>
      <c r="B570" s="346" t="s">
        <v>37</v>
      </c>
      <c r="C570" s="346">
        <v>664433</v>
      </c>
      <c r="D570" s="346">
        <v>5.2199999999999998E-3</v>
      </c>
      <c r="E570" s="346">
        <v>3468.34</v>
      </c>
    </row>
    <row r="571" spans="1:5" x14ac:dyDescent="0.2">
      <c r="A571" s="346" t="s">
        <v>24</v>
      </c>
      <c r="B571" s="346" t="s">
        <v>37</v>
      </c>
      <c r="C571" s="346">
        <v>1446.03</v>
      </c>
      <c r="D571" s="346">
        <v>1.2132000000000001</v>
      </c>
      <c r="E571" s="346">
        <v>1754.32</v>
      </c>
    </row>
    <row r="572" spans="1:5" x14ac:dyDescent="0.2">
      <c r="A572" s="346" t="s">
        <v>13</v>
      </c>
      <c r="B572" s="346" t="s">
        <v>14</v>
      </c>
      <c r="C572" s="346">
        <v>7404</v>
      </c>
      <c r="D572" s="346">
        <v>1.091E-2</v>
      </c>
      <c r="E572" s="346">
        <v>80.78</v>
      </c>
    </row>
    <row r="573" spans="1:5" x14ac:dyDescent="0.2">
      <c r="A573" s="346" t="s">
        <v>24</v>
      </c>
      <c r="B573" s="346" t="s">
        <v>37</v>
      </c>
      <c r="C573" s="346">
        <v>1476.75</v>
      </c>
      <c r="D573" s="346">
        <v>1.2132000000000001</v>
      </c>
      <c r="E573" s="346">
        <v>1791.59</v>
      </c>
    </row>
    <row r="574" spans="1:5" x14ac:dyDescent="0.2">
      <c r="A574" s="346" t="s">
        <v>22</v>
      </c>
      <c r="B574" s="346" t="s">
        <v>37</v>
      </c>
      <c r="C574" s="346">
        <v>704221</v>
      </c>
      <c r="D574" s="346">
        <v>5.2199999999999998E-3</v>
      </c>
      <c r="E574" s="346">
        <v>3676.03</v>
      </c>
    </row>
    <row r="575" spans="1:5" x14ac:dyDescent="0.2">
      <c r="A575" s="346" t="s">
        <v>5</v>
      </c>
      <c r="B575" s="346" t="s">
        <v>1</v>
      </c>
      <c r="C575" s="346">
        <v>1557.92</v>
      </c>
      <c r="D575" s="346">
        <v>1.1383000000000001</v>
      </c>
      <c r="E575" s="346">
        <v>1773.38</v>
      </c>
    </row>
    <row r="576" spans="1:5" x14ac:dyDescent="0.2">
      <c r="A576" s="346" t="s">
        <v>2</v>
      </c>
      <c r="B576" s="346" t="s">
        <v>1</v>
      </c>
      <c r="C576" s="346">
        <v>550421</v>
      </c>
      <c r="D576" s="346">
        <v>7.0699999999999999E-3</v>
      </c>
      <c r="E576" s="346">
        <v>3891.48</v>
      </c>
    </row>
    <row r="577" spans="1:5" x14ac:dyDescent="0.2">
      <c r="A577" s="346" t="s">
        <v>0</v>
      </c>
      <c r="B577" s="346" t="s">
        <v>1</v>
      </c>
      <c r="C577" s="346">
        <v>217279</v>
      </c>
      <c r="D577" s="346">
        <v>1.091E-2</v>
      </c>
      <c r="E577" s="346">
        <v>2370.5100000000002</v>
      </c>
    </row>
    <row r="578" spans="1:5" x14ac:dyDescent="0.2">
      <c r="A578" s="346" t="s">
        <v>15</v>
      </c>
      <c r="B578" s="346" t="s">
        <v>15</v>
      </c>
      <c r="C578" s="346">
        <v>866746</v>
      </c>
      <c r="D578" s="346">
        <v>1.371E-2</v>
      </c>
      <c r="E578" s="346">
        <v>11883.09</v>
      </c>
    </row>
    <row r="579" spans="1:5" x14ac:dyDescent="0.2">
      <c r="A579" s="346" t="s">
        <v>13</v>
      </c>
      <c r="B579" s="346" t="s">
        <v>14</v>
      </c>
      <c r="C579" s="346">
        <v>7404</v>
      </c>
      <c r="D579" s="346">
        <v>1.091E-2</v>
      </c>
      <c r="E579" s="346">
        <v>80.78</v>
      </c>
    </row>
    <row r="580" spans="1:5" x14ac:dyDescent="0.2">
      <c r="A580" s="346" t="s">
        <v>5</v>
      </c>
      <c r="B580" s="346" t="s">
        <v>1</v>
      </c>
      <c r="C580" s="346">
        <v>1593.24</v>
      </c>
      <c r="D580" s="346">
        <v>1.1383000000000001</v>
      </c>
      <c r="E580" s="346">
        <v>1813.59</v>
      </c>
    </row>
    <row r="581" spans="1:5" x14ac:dyDescent="0.2">
      <c r="A581" s="346" t="s">
        <v>2</v>
      </c>
      <c r="B581" s="346" t="s">
        <v>1</v>
      </c>
      <c r="C581" s="346">
        <v>578254</v>
      </c>
      <c r="D581" s="346">
        <v>7.0699999999999999E-3</v>
      </c>
      <c r="E581" s="346">
        <v>4088.26</v>
      </c>
    </row>
    <row r="582" spans="1:5" x14ac:dyDescent="0.2">
      <c r="A582" s="346" t="s">
        <v>0</v>
      </c>
      <c r="B582" s="346" t="s">
        <v>1</v>
      </c>
      <c r="C582" s="346">
        <v>197140</v>
      </c>
      <c r="D582" s="346">
        <v>1.091E-2</v>
      </c>
      <c r="E582" s="346">
        <v>2150.8000000000002</v>
      </c>
    </row>
    <row r="583" spans="1:5" x14ac:dyDescent="0.2">
      <c r="A583" s="346" t="s">
        <v>22</v>
      </c>
      <c r="B583" s="346" t="s">
        <v>37</v>
      </c>
      <c r="C583" s="346">
        <v>717120</v>
      </c>
      <c r="D583" s="346">
        <v>5.2199999999999998E-3</v>
      </c>
      <c r="E583" s="346">
        <v>3743.37</v>
      </c>
    </row>
    <row r="584" spans="1:5" x14ac:dyDescent="0.2">
      <c r="A584" s="346" t="s">
        <v>24</v>
      </c>
      <c r="B584" s="346" t="s">
        <v>37</v>
      </c>
      <c r="C584" s="346">
        <v>1406.25</v>
      </c>
      <c r="D584" s="346">
        <v>1.2132000000000001</v>
      </c>
      <c r="E584" s="346">
        <v>1706.06</v>
      </c>
    </row>
    <row r="585" spans="1:5" x14ac:dyDescent="0.2">
      <c r="A585" s="346" t="s">
        <v>13</v>
      </c>
      <c r="B585" s="346" t="s">
        <v>14</v>
      </c>
      <c r="C585" s="346">
        <v>7404</v>
      </c>
      <c r="D585" s="346">
        <v>1.091E-2</v>
      </c>
      <c r="E585" s="346">
        <v>80.78</v>
      </c>
    </row>
    <row r="586" spans="1:5" x14ac:dyDescent="0.2">
      <c r="A586" s="346" t="s">
        <v>15</v>
      </c>
      <c r="B586" s="346" t="s">
        <v>15</v>
      </c>
      <c r="C586" s="346">
        <v>813093</v>
      </c>
      <c r="D586" s="346">
        <v>1.371E-2</v>
      </c>
      <c r="E586" s="346">
        <v>11147.51</v>
      </c>
    </row>
    <row r="587" spans="1:5" x14ac:dyDescent="0.2">
      <c r="A587" s="346" t="s">
        <v>13</v>
      </c>
      <c r="B587" s="346" t="s">
        <v>14</v>
      </c>
      <c r="C587" s="346">
        <v>7548</v>
      </c>
      <c r="D587" s="346">
        <v>1.091E-2</v>
      </c>
      <c r="E587" s="346">
        <v>82.35</v>
      </c>
    </row>
    <row r="588" spans="1:5" x14ac:dyDescent="0.2">
      <c r="A588" s="346" t="s">
        <v>24</v>
      </c>
      <c r="B588" s="346" t="s">
        <v>37</v>
      </c>
      <c r="C588" s="346">
        <v>1403.856</v>
      </c>
      <c r="D588" s="346">
        <v>1.2132000000000001</v>
      </c>
      <c r="E588" s="346">
        <v>1703.16</v>
      </c>
    </row>
    <row r="589" spans="1:5" x14ac:dyDescent="0.2">
      <c r="A589" s="346" t="s">
        <v>22</v>
      </c>
      <c r="B589" s="346" t="s">
        <v>37</v>
      </c>
      <c r="C589" s="346">
        <v>551571</v>
      </c>
      <c r="D589" s="346">
        <v>5.2199999999999998E-3</v>
      </c>
      <c r="E589" s="346">
        <v>2879.2</v>
      </c>
    </row>
    <row r="590" spans="1:5" x14ac:dyDescent="0.2">
      <c r="A590" s="346" t="s">
        <v>5</v>
      </c>
      <c r="B590" s="346" t="s">
        <v>1</v>
      </c>
      <c r="C590" s="346">
        <v>1632.6</v>
      </c>
      <c r="D590" s="346">
        <v>1.1383000000000001</v>
      </c>
      <c r="E590" s="346">
        <v>1858.39</v>
      </c>
    </row>
    <row r="591" spans="1:5" x14ac:dyDescent="0.2">
      <c r="A591" s="346" t="s">
        <v>2</v>
      </c>
      <c r="B591" s="346" t="s">
        <v>1</v>
      </c>
      <c r="C591" s="346">
        <v>610876</v>
      </c>
      <c r="D591" s="346">
        <v>7.0699999999999999E-3</v>
      </c>
      <c r="E591" s="346">
        <v>4318.8900000000003</v>
      </c>
    </row>
    <row r="592" spans="1:5" x14ac:dyDescent="0.2">
      <c r="A592" s="346" t="s">
        <v>0</v>
      </c>
      <c r="B592" s="346" t="s">
        <v>1</v>
      </c>
      <c r="C592" s="346">
        <v>190939</v>
      </c>
      <c r="D592" s="346">
        <v>1.091E-2</v>
      </c>
      <c r="E592" s="346">
        <v>2083.14</v>
      </c>
    </row>
    <row r="593" spans="1:5" x14ac:dyDescent="0.2">
      <c r="A593" s="346" t="s">
        <v>15</v>
      </c>
      <c r="B593" s="346" t="s">
        <v>15</v>
      </c>
      <c r="C593" s="346">
        <v>713483</v>
      </c>
      <c r="D593" s="346">
        <v>1.371E-2</v>
      </c>
      <c r="E593" s="346">
        <v>9781.85</v>
      </c>
    </row>
    <row r="594" spans="1:5" x14ac:dyDescent="0.2">
      <c r="A594" s="346" t="s">
        <v>13</v>
      </c>
      <c r="B594" s="346" t="s">
        <v>14</v>
      </c>
      <c r="C594" s="346">
        <v>7548</v>
      </c>
      <c r="D594" s="346">
        <v>1.091E-2</v>
      </c>
      <c r="E594" s="346">
        <v>82.35</v>
      </c>
    </row>
    <row r="595" spans="1:5" x14ac:dyDescent="0.2">
      <c r="A595" s="346" t="s">
        <v>24</v>
      </c>
      <c r="B595" s="346" t="s">
        <v>37</v>
      </c>
      <c r="C595" s="346">
        <v>1584.54</v>
      </c>
      <c r="D595" s="346">
        <v>1.2132000000000001</v>
      </c>
      <c r="E595" s="346">
        <v>1922.36</v>
      </c>
    </row>
    <row r="596" spans="1:5" x14ac:dyDescent="0.2">
      <c r="A596" s="346" t="s">
        <v>22</v>
      </c>
      <c r="B596" s="346" t="s">
        <v>37</v>
      </c>
      <c r="C596" s="346">
        <v>762000</v>
      </c>
      <c r="D596" s="346">
        <v>5.2199999999999998E-3</v>
      </c>
      <c r="E596" s="346">
        <v>3977.64</v>
      </c>
    </row>
    <row r="597" spans="1:5" x14ac:dyDescent="0.2">
      <c r="A597" s="346" t="s">
        <v>5</v>
      </c>
      <c r="B597" s="346" t="s">
        <v>1</v>
      </c>
      <c r="C597" s="346">
        <v>1689.24</v>
      </c>
      <c r="D597" s="346">
        <v>1.1383000000000001</v>
      </c>
      <c r="E597" s="346">
        <v>1922.86</v>
      </c>
    </row>
    <row r="598" spans="1:5" x14ac:dyDescent="0.2">
      <c r="A598" s="346" t="s">
        <v>2</v>
      </c>
      <c r="B598" s="346" t="s">
        <v>1</v>
      </c>
      <c r="C598" s="346">
        <v>573965</v>
      </c>
      <c r="D598" s="346">
        <v>7.0699999999999999E-3</v>
      </c>
      <c r="E598" s="346">
        <v>4057.93</v>
      </c>
    </row>
    <row r="599" spans="1:5" x14ac:dyDescent="0.2">
      <c r="A599" s="346" t="s">
        <v>0</v>
      </c>
      <c r="B599" s="346" t="s">
        <v>1</v>
      </c>
      <c r="C599" s="346">
        <v>206899</v>
      </c>
      <c r="D599" s="346">
        <v>1.091E-2</v>
      </c>
      <c r="E599" s="346">
        <v>2257.27</v>
      </c>
    </row>
    <row r="600" spans="1:5" x14ac:dyDescent="0.2">
      <c r="A600" s="346" t="s">
        <v>15</v>
      </c>
      <c r="B600" s="346" t="s">
        <v>15</v>
      </c>
      <c r="C600" s="346">
        <v>692942</v>
      </c>
      <c r="D600" s="346">
        <v>1.371E-2</v>
      </c>
      <c r="E600" s="346">
        <v>9500.23</v>
      </c>
    </row>
    <row r="601" spans="1:5" x14ac:dyDescent="0.2">
      <c r="A601" s="346" t="s">
        <v>0</v>
      </c>
      <c r="B601" s="346" t="s">
        <v>1</v>
      </c>
      <c r="C601" s="346">
        <v>262559</v>
      </c>
      <c r="D601" s="346">
        <v>1.091E-2</v>
      </c>
      <c r="E601" s="346">
        <v>2864.52</v>
      </c>
    </row>
    <row r="602" spans="1:5" x14ac:dyDescent="0.2">
      <c r="A602" s="346" t="s">
        <v>2</v>
      </c>
      <c r="B602" s="346" t="s">
        <v>1</v>
      </c>
      <c r="C602" s="346">
        <v>721047</v>
      </c>
      <c r="D602" s="346">
        <v>7.0699999999999999E-3</v>
      </c>
      <c r="E602" s="346">
        <v>5097.8</v>
      </c>
    </row>
    <row r="603" spans="1:5" x14ac:dyDescent="0.2">
      <c r="A603" s="346" t="s">
        <v>5</v>
      </c>
      <c r="B603" s="346" t="s">
        <v>1</v>
      </c>
      <c r="C603" s="346">
        <v>1711.8</v>
      </c>
      <c r="D603" s="346">
        <v>1.1383000000000001</v>
      </c>
      <c r="E603" s="346">
        <v>1948.54</v>
      </c>
    </row>
    <row r="604" spans="1:5" x14ac:dyDescent="0.2">
      <c r="A604" s="346" t="s">
        <v>22</v>
      </c>
      <c r="B604" s="346" t="s">
        <v>37</v>
      </c>
      <c r="C604" s="346">
        <v>765582</v>
      </c>
      <c r="D604" s="346">
        <v>5.2199999999999998E-3</v>
      </c>
      <c r="E604" s="346">
        <v>3996.34</v>
      </c>
    </row>
    <row r="605" spans="1:5" x14ac:dyDescent="0.2">
      <c r="A605" s="346" t="s">
        <v>24</v>
      </c>
      <c r="B605" s="346" t="s">
        <v>37</v>
      </c>
      <c r="C605" s="346">
        <v>1693.98</v>
      </c>
      <c r="D605" s="346">
        <v>1.2132000000000001</v>
      </c>
      <c r="E605" s="346">
        <v>2055.14</v>
      </c>
    </row>
    <row r="606" spans="1:5" x14ac:dyDescent="0.2">
      <c r="A606" s="346" t="s">
        <v>13</v>
      </c>
      <c r="B606" s="346" t="s">
        <v>14</v>
      </c>
      <c r="C606" s="346">
        <v>7525</v>
      </c>
      <c r="D606" s="346">
        <v>1.091E-2</v>
      </c>
      <c r="E606" s="346">
        <v>82.1</v>
      </c>
    </row>
    <row r="607" spans="1:5" x14ac:dyDescent="0.2">
      <c r="A607" s="346" t="s">
        <v>15</v>
      </c>
      <c r="B607" s="346" t="s">
        <v>15</v>
      </c>
      <c r="C607" s="346">
        <v>891532</v>
      </c>
      <c r="D607" s="346">
        <v>1.371E-2</v>
      </c>
      <c r="E607" s="346">
        <v>12222.9</v>
      </c>
    </row>
    <row r="608" spans="1:5" x14ac:dyDescent="0.2">
      <c r="A608" s="346" t="s">
        <v>22</v>
      </c>
      <c r="B608" s="346" t="s">
        <v>37</v>
      </c>
      <c r="C608" s="346">
        <v>811335</v>
      </c>
      <c r="D608" s="346">
        <v>5.2199999999999998E-3</v>
      </c>
      <c r="E608" s="346">
        <v>4235.17</v>
      </c>
    </row>
    <row r="609" spans="1:5" x14ac:dyDescent="0.2">
      <c r="A609" s="346" t="s">
        <v>24</v>
      </c>
      <c r="B609" s="346" t="s">
        <v>37</v>
      </c>
      <c r="C609" s="346">
        <v>1696.05</v>
      </c>
      <c r="D609" s="346">
        <v>1.2132000000000001</v>
      </c>
      <c r="E609" s="346">
        <v>2057.65</v>
      </c>
    </row>
    <row r="610" spans="1:5" x14ac:dyDescent="0.2">
      <c r="A610" s="346" t="s">
        <v>13</v>
      </c>
      <c r="B610" s="346" t="s">
        <v>14</v>
      </c>
      <c r="C610" s="346">
        <v>7525</v>
      </c>
      <c r="D610" s="346">
        <v>1.091E-2</v>
      </c>
      <c r="E610" s="346">
        <v>82.1</v>
      </c>
    </row>
    <row r="611" spans="1:5" x14ac:dyDescent="0.2">
      <c r="A611" s="346" t="s">
        <v>5</v>
      </c>
      <c r="B611" s="346" t="s">
        <v>1</v>
      </c>
      <c r="C611" s="346">
        <v>1719.62</v>
      </c>
      <c r="D611" s="346">
        <v>1.1383000000000001</v>
      </c>
      <c r="E611" s="346">
        <v>1957.44</v>
      </c>
    </row>
    <row r="612" spans="1:5" x14ac:dyDescent="0.2">
      <c r="A612" s="346" t="s">
        <v>15</v>
      </c>
      <c r="B612" s="346" t="s">
        <v>15</v>
      </c>
      <c r="C612" s="346">
        <v>752255</v>
      </c>
      <c r="D612" s="346">
        <v>1.371E-2</v>
      </c>
      <c r="E612" s="346">
        <v>10313.42</v>
      </c>
    </row>
    <row r="613" spans="1:5" x14ac:dyDescent="0.2">
      <c r="A613" s="346" t="s">
        <v>0</v>
      </c>
      <c r="B613" s="346" t="s">
        <v>1</v>
      </c>
      <c r="C613" s="346">
        <v>220970</v>
      </c>
      <c r="D613" s="346">
        <v>1.091E-2</v>
      </c>
      <c r="E613" s="346">
        <v>2410.7800000000002</v>
      </c>
    </row>
    <row r="614" spans="1:5" x14ac:dyDescent="0.2">
      <c r="A614" s="346" t="s">
        <v>2</v>
      </c>
      <c r="B614" s="346" t="s">
        <v>1</v>
      </c>
      <c r="C614" s="346">
        <v>635045</v>
      </c>
      <c r="D614" s="346">
        <v>7.0699999999999999E-3</v>
      </c>
      <c r="E614" s="346">
        <v>4489.7700000000004</v>
      </c>
    </row>
    <row r="615" spans="1:5" x14ac:dyDescent="0.2">
      <c r="A615" s="346" t="s">
        <v>0</v>
      </c>
      <c r="B615" s="346" t="s">
        <v>1</v>
      </c>
      <c r="C615" s="346">
        <v>201553</v>
      </c>
      <c r="D615" s="346">
        <v>1.091E-2</v>
      </c>
      <c r="E615" s="346">
        <v>2198.94</v>
      </c>
    </row>
    <row r="616" spans="1:5" x14ac:dyDescent="0.2">
      <c r="A616" s="346" t="s">
        <v>2</v>
      </c>
      <c r="B616" s="346" t="s">
        <v>1</v>
      </c>
      <c r="C616" s="346">
        <v>649164</v>
      </c>
      <c r="D616" s="346">
        <v>7.0699999999999999E-3</v>
      </c>
      <c r="E616" s="346">
        <v>4589.59</v>
      </c>
    </row>
    <row r="617" spans="1:5" x14ac:dyDescent="0.2">
      <c r="A617" s="346" t="s">
        <v>5</v>
      </c>
      <c r="B617" s="346" t="s">
        <v>1</v>
      </c>
      <c r="C617" s="346">
        <v>1638.58</v>
      </c>
      <c r="D617" s="346">
        <v>1.1383000000000001</v>
      </c>
      <c r="E617" s="346">
        <v>1865.2</v>
      </c>
    </row>
    <row r="618" spans="1:5" x14ac:dyDescent="0.2">
      <c r="A618" s="346" t="s">
        <v>22</v>
      </c>
      <c r="B618" s="346" t="s">
        <v>37</v>
      </c>
      <c r="C618" s="346">
        <v>817324</v>
      </c>
      <c r="D618" s="346">
        <v>5.2199999999999998E-3</v>
      </c>
      <c r="E618" s="346">
        <v>4266.43</v>
      </c>
    </row>
    <row r="619" spans="1:5" x14ac:dyDescent="0.2">
      <c r="A619" s="346" t="s">
        <v>24</v>
      </c>
      <c r="B619" s="346" t="s">
        <v>37</v>
      </c>
      <c r="C619" s="346">
        <v>1707.39</v>
      </c>
      <c r="D619" s="346">
        <v>1.2132000000000001</v>
      </c>
      <c r="E619" s="346">
        <v>2071.41</v>
      </c>
    </row>
    <row r="620" spans="1:5" x14ac:dyDescent="0.2">
      <c r="A620" s="346" t="s">
        <v>13</v>
      </c>
      <c r="B620" s="346" t="s">
        <v>14</v>
      </c>
      <c r="C620" s="346">
        <v>7525</v>
      </c>
      <c r="D620" s="346">
        <v>1.091E-2</v>
      </c>
      <c r="E620" s="346">
        <v>82.1</v>
      </c>
    </row>
    <row r="621" spans="1:5" x14ac:dyDescent="0.2">
      <c r="A621" s="346" t="s">
        <v>15</v>
      </c>
      <c r="B621" s="346" t="s">
        <v>15</v>
      </c>
      <c r="C621" s="346">
        <v>728184</v>
      </c>
      <c r="D621" s="346">
        <v>1.371E-2</v>
      </c>
      <c r="E621" s="346">
        <v>9983.4</v>
      </c>
    </row>
    <row r="622" spans="1:5" x14ac:dyDescent="0.2">
      <c r="A622" s="346" t="s">
        <v>13</v>
      </c>
      <c r="B622" s="346" t="s">
        <v>14</v>
      </c>
      <c r="C622" s="346">
        <v>7381</v>
      </c>
      <c r="D622" s="346">
        <v>1.091E-2</v>
      </c>
      <c r="E622" s="346">
        <v>80.53</v>
      </c>
    </row>
    <row r="623" spans="1:5" x14ac:dyDescent="0.2">
      <c r="A623" s="346" t="s">
        <v>24</v>
      </c>
      <c r="B623" s="346" t="s">
        <v>37</v>
      </c>
      <c r="C623" s="346">
        <v>1657.98</v>
      </c>
      <c r="D623" s="346">
        <v>1.2132000000000001</v>
      </c>
      <c r="E623" s="346">
        <v>2011.46</v>
      </c>
    </row>
    <row r="624" spans="1:5" x14ac:dyDescent="0.2">
      <c r="A624" s="346" t="s">
        <v>22</v>
      </c>
      <c r="B624" s="346" t="s">
        <v>37</v>
      </c>
      <c r="C624" s="346">
        <v>902138</v>
      </c>
      <c r="D624" s="346">
        <v>5.2199999999999998E-3</v>
      </c>
      <c r="E624" s="346">
        <v>4709.16</v>
      </c>
    </row>
    <row r="625" spans="1:5" x14ac:dyDescent="0.2">
      <c r="A625" s="346" t="s">
        <v>5</v>
      </c>
      <c r="B625" s="346" t="s">
        <v>1</v>
      </c>
      <c r="C625" s="346">
        <v>1562.88</v>
      </c>
      <c r="D625" s="346">
        <v>1.1383000000000001</v>
      </c>
      <c r="E625" s="346">
        <v>1779.03</v>
      </c>
    </row>
    <row r="626" spans="1:5" x14ac:dyDescent="0.2">
      <c r="A626" s="346" t="s">
        <v>2</v>
      </c>
      <c r="B626" s="346" t="s">
        <v>1</v>
      </c>
      <c r="C626" s="346">
        <v>577889</v>
      </c>
      <c r="D626" s="346">
        <v>7.0699999999999999E-3</v>
      </c>
      <c r="E626" s="346">
        <v>4085.68</v>
      </c>
    </row>
    <row r="627" spans="1:5" x14ac:dyDescent="0.2">
      <c r="A627" s="346" t="s">
        <v>0</v>
      </c>
      <c r="B627" s="346" t="s">
        <v>1</v>
      </c>
      <c r="C627" s="346">
        <v>179798</v>
      </c>
      <c r="D627" s="346">
        <v>1.091E-2</v>
      </c>
      <c r="E627" s="346">
        <v>1961.6</v>
      </c>
    </row>
    <row r="628" spans="1:5" x14ac:dyDescent="0.2">
      <c r="A628" s="346" t="s">
        <v>15</v>
      </c>
      <c r="B628" s="346" t="s">
        <v>15</v>
      </c>
      <c r="C628" s="346">
        <v>712935</v>
      </c>
      <c r="D628" s="346">
        <v>1.371E-2</v>
      </c>
      <c r="E628" s="346">
        <v>9774.34</v>
      </c>
    </row>
    <row r="629" spans="1:5" x14ac:dyDescent="0.2">
      <c r="A629" s="346" t="s">
        <v>13</v>
      </c>
      <c r="B629" s="346" t="s">
        <v>14</v>
      </c>
      <c r="C629" s="346">
        <v>7381</v>
      </c>
      <c r="D629" s="346">
        <v>1.091E-2</v>
      </c>
      <c r="E629" s="346">
        <v>80.53</v>
      </c>
    </row>
    <row r="630" spans="1:5" x14ac:dyDescent="0.2">
      <c r="A630" s="346" t="s">
        <v>24</v>
      </c>
      <c r="B630" s="346" t="s">
        <v>37</v>
      </c>
      <c r="C630" s="346">
        <v>1617.39</v>
      </c>
      <c r="D630" s="346">
        <v>1.2132000000000001</v>
      </c>
      <c r="E630" s="346">
        <v>1962.22</v>
      </c>
    </row>
    <row r="631" spans="1:5" x14ac:dyDescent="0.2">
      <c r="A631" s="346" t="s">
        <v>22</v>
      </c>
      <c r="B631" s="346" t="s">
        <v>37</v>
      </c>
      <c r="C631" s="346">
        <v>809409</v>
      </c>
      <c r="D631" s="346">
        <v>5.2199999999999998E-3</v>
      </c>
      <c r="E631" s="346">
        <v>4225.1099999999997</v>
      </c>
    </row>
    <row r="632" spans="1:5" x14ac:dyDescent="0.2">
      <c r="A632" s="346" t="s">
        <v>5</v>
      </c>
      <c r="B632" s="346" t="s">
        <v>1</v>
      </c>
      <c r="C632" s="346">
        <v>1524.88</v>
      </c>
      <c r="D632" s="346">
        <v>1.1383000000000001</v>
      </c>
      <c r="E632" s="346">
        <v>1735.77</v>
      </c>
    </row>
    <row r="633" spans="1:5" x14ac:dyDescent="0.2">
      <c r="A633" s="346" t="s">
        <v>2</v>
      </c>
      <c r="B633" s="346" t="s">
        <v>1</v>
      </c>
      <c r="C633" s="346">
        <v>590995</v>
      </c>
      <c r="D633" s="346">
        <v>7.0699999999999999E-3</v>
      </c>
      <c r="E633" s="346">
        <v>4178.33</v>
      </c>
    </row>
    <row r="634" spans="1:5" x14ac:dyDescent="0.2">
      <c r="A634" s="346" t="s">
        <v>0</v>
      </c>
      <c r="B634" s="346" t="s">
        <v>1</v>
      </c>
      <c r="C634" s="346">
        <v>250725</v>
      </c>
      <c r="D634" s="346">
        <v>1.091E-2</v>
      </c>
      <c r="E634" s="346">
        <v>2735.41</v>
      </c>
    </row>
    <row r="635" spans="1:5" x14ac:dyDescent="0.2">
      <c r="A635" s="346" t="s">
        <v>15</v>
      </c>
      <c r="B635" s="346" t="s">
        <v>15</v>
      </c>
      <c r="C635" s="346">
        <v>960807</v>
      </c>
      <c r="D635" s="346">
        <v>1.371E-2</v>
      </c>
      <c r="E635" s="346">
        <v>13172.66</v>
      </c>
    </row>
    <row r="636" spans="1:5" x14ac:dyDescent="0.2">
      <c r="A636" s="346" t="s">
        <v>0</v>
      </c>
      <c r="B636" s="346" t="s">
        <v>1</v>
      </c>
      <c r="C636" s="346">
        <v>191357</v>
      </c>
      <c r="D636" s="346">
        <v>1.091E-2</v>
      </c>
      <c r="E636" s="346">
        <v>2087.6999999999998</v>
      </c>
    </row>
    <row r="637" spans="1:5" x14ac:dyDescent="0.2">
      <c r="A637" s="346" t="s">
        <v>2</v>
      </c>
      <c r="B637" s="346" t="s">
        <v>1</v>
      </c>
      <c r="C637" s="346">
        <v>594147</v>
      </c>
      <c r="D637" s="346">
        <v>7.0699999999999999E-3</v>
      </c>
      <c r="E637" s="346">
        <v>4200.62</v>
      </c>
    </row>
    <row r="638" spans="1:5" x14ac:dyDescent="0.2">
      <c r="A638" s="346" t="s">
        <v>5</v>
      </c>
      <c r="B638" s="346" t="s">
        <v>1</v>
      </c>
      <c r="C638" s="346">
        <v>1577.9680000000001</v>
      </c>
      <c r="D638" s="346">
        <v>1.1383000000000001</v>
      </c>
      <c r="E638" s="346">
        <v>1796.2</v>
      </c>
    </row>
    <row r="639" spans="1:5" x14ac:dyDescent="0.2">
      <c r="A639" s="346" t="s">
        <v>13</v>
      </c>
      <c r="B639" s="346" t="s">
        <v>14</v>
      </c>
      <c r="C639" s="346">
        <v>7381</v>
      </c>
      <c r="D639" s="346">
        <v>1.091E-2</v>
      </c>
      <c r="E639" s="346">
        <v>80.53</v>
      </c>
    </row>
    <row r="640" spans="1:5" x14ac:dyDescent="0.2">
      <c r="A640" s="346" t="s">
        <v>24</v>
      </c>
      <c r="B640" s="346" t="s">
        <v>37</v>
      </c>
      <c r="C640" s="346">
        <v>1365.912</v>
      </c>
      <c r="D640" s="346">
        <v>1.2132000000000001</v>
      </c>
      <c r="E640" s="346">
        <v>1657.12</v>
      </c>
    </row>
    <row r="641" spans="1:5" x14ac:dyDescent="0.2">
      <c r="A641" s="346" t="s">
        <v>22</v>
      </c>
      <c r="B641" s="346" t="s">
        <v>37</v>
      </c>
      <c r="C641" s="346">
        <v>601524</v>
      </c>
      <c r="D641" s="346">
        <v>5.2199999999999998E-3</v>
      </c>
      <c r="E641" s="346">
        <v>3139.96</v>
      </c>
    </row>
    <row r="642" spans="1:5" x14ac:dyDescent="0.2">
      <c r="A642" s="346" t="s">
        <v>15</v>
      </c>
      <c r="B642" s="346" t="s">
        <v>15</v>
      </c>
      <c r="C642" s="346">
        <v>1050322</v>
      </c>
      <c r="D642" s="346">
        <v>1.371E-2</v>
      </c>
      <c r="E642" s="346">
        <v>14399.91</v>
      </c>
    </row>
    <row r="643" spans="1:5" x14ac:dyDescent="0.2">
      <c r="A643" s="346" t="s">
        <v>13</v>
      </c>
      <c r="B643" s="346" t="s">
        <v>14</v>
      </c>
      <c r="C643" s="346">
        <v>13928</v>
      </c>
      <c r="D643" s="346">
        <v>1.091E-2</v>
      </c>
      <c r="E643" s="346">
        <v>151.94999999999999</v>
      </c>
    </row>
    <row r="644" spans="1:5" x14ac:dyDescent="0.2">
      <c r="A644" s="346" t="s">
        <v>15</v>
      </c>
      <c r="B644" s="346" t="s">
        <v>15</v>
      </c>
      <c r="C644" s="346">
        <v>401823</v>
      </c>
      <c r="D644" s="346">
        <v>1.371E-2</v>
      </c>
      <c r="E644" s="346">
        <v>5508.99</v>
      </c>
    </row>
    <row r="645" spans="1:5" x14ac:dyDescent="0.2">
      <c r="A645" s="346" t="s">
        <v>24</v>
      </c>
      <c r="B645" s="346" t="s">
        <v>37</v>
      </c>
      <c r="C645" s="346">
        <v>2298</v>
      </c>
      <c r="D645" s="346">
        <v>1.2132000000000001</v>
      </c>
      <c r="E645" s="346">
        <v>2787.93</v>
      </c>
    </row>
    <row r="646" spans="1:5" x14ac:dyDescent="0.2">
      <c r="A646" s="346" t="s">
        <v>22</v>
      </c>
      <c r="B646" s="346" t="s">
        <v>37</v>
      </c>
      <c r="C646" s="346">
        <v>648000</v>
      </c>
      <c r="D646" s="346">
        <v>5.2199999999999998E-3</v>
      </c>
      <c r="E646" s="346">
        <v>3382.56</v>
      </c>
    </row>
    <row r="647" spans="1:5" x14ac:dyDescent="0.2">
      <c r="A647" s="346" t="s">
        <v>0</v>
      </c>
      <c r="B647" s="346" t="s">
        <v>1</v>
      </c>
      <c r="C647" s="346">
        <v>173257</v>
      </c>
      <c r="D647" s="346">
        <v>1.091E-2</v>
      </c>
      <c r="E647" s="346">
        <v>1890.23</v>
      </c>
    </row>
    <row r="648" spans="1:5" x14ac:dyDescent="0.2">
      <c r="A648" s="346" t="s">
        <v>13</v>
      </c>
      <c r="B648" s="346" t="s">
        <v>14</v>
      </c>
      <c r="C648" s="346">
        <v>12240</v>
      </c>
      <c r="D648" s="346">
        <v>1.091E-2</v>
      </c>
      <c r="E648" s="346">
        <v>133.54</v>
      </c>
    </row>
    <row r="649" spans="1:5" x14ac:dyDescent="0.2">
      <c r="A649" s="346" t="s">
        <v>22</v>
      </c>
      <c r="B649" s="346" t="s">
        <v>37</v>
      </c>
      <c r="C649" s="346">
        <v>643200</v>
      </c>
      <c r="D649" s="346">
        <v>5.2199999999999998E-3</v>
      </c>
      <c r="E649" s="346">
        <v>3357.5</v>
      </c>
    </row>
    <row r="650" spans="1:5" x14ac:dyDescent="0.2">
      <c r="A650" s="346" t="s">
        <v>0</v>
      </c>
      <c r="B650" s="346" t="s">
        <v>1</v>
      </c>
      <c r="C650" s="346">
        <v>180792</v>
      </c>
      <c r="D650" s="346">
        <v>1.091E-2</v>
      </c>
      <c r="E650" s="346">
        <v>1972.44</v>
      </c>
    </row>
    <row r="651" spans="1:5" x14ac:dyDescent="0.2">
      <c r="A651" s="346" t="s">
        <v>15</v>
      </c>
      <c r="B651" s="346" t="s">
        <v>15</v>
      </c>
      <c r="C651" s="346">
        <v>414140</v>
      </c>
      <c r="D651" s="346">
        <v>1.371E-2</v>
      </c>
      <c r="E651" s="346">
        <v>5677.86</v>
      </c>
    </row>
    <row r="652" spans="1:5" x14ac:dyDescent="0.2">
      <c r="A652" s="346" t="s">
        <v>24</v>
      </c>
      <c r="B652" s="346" t="s">
        <v>37</v>
      </c>
      <c r="C652" s="346">
        <v>2230</v>
      </c>
      <c r="D652" s="346">
        <v>1.2132000000000001</v>
      </c>
      <c r="E652" s="346">
        <v>2705.44</v>
      </c>
    </row>
    <row r="653" spans="1:5" x14ac:dyDescent="0.2">
      <c r="A653" s="346" t="s">
        <v>0</v>
      </c>
      <c r="B653" s="346" t="s">
        <v>1</v>
      </c>
      <c r="C653" s="346">
        <v>159258</v>
      </c>
      <c r="D653" s="346">
        <v>1.091E-2</v>
      </c>
      <c r="E653" s="346">
        <v>1737.5</v>
      </c>
    </row>
    <row r="654" spans="1:5" x14ac:dyDescent="0.2">
      <c r="A654" s="346" t="s">
        <v>22</v>
      </c>
      <c r="B654" s="346" t="s">
        <v>37</v>
      </c>
      <c r="C654" s="346">
        <v>631200</v>
      </c>
      <c r="D654" s="346">
        <v>5.2199999999999998E-3</v>
      </c>
      <c r="E654" s="346">
        <v>3294.86</v>
      </c>
    </row>
    <row r="655" spans="1:5" x14ac:dyDescent="0.2">
      <c r="A655" s="346" t="s">
        <v>24</v>
      </c>
      <c r="B655" s="346" t="s">
        <v>37</v>
      </c>
      <c r="C655" s="346">
        <v>2257</v>
      </c>
      <c r="D655" s="346">
        <v>1.2132000000000001</v>
      </c>
      <c r="E655" s="346">
        <v>2738.19</v>
      </c>
    </row>
    <row r="656" spans="1:5" x14ac:dyDescent="0.2">
      <c r="A656" s="346" t="s">
        <v>13</v>
      </c>
      <c r="B656" s="346" t="s">
        <v>14</v>
      </c>
      <c r="C656" s="346">
        <v>11264</v>
      </c>
      <c r="D656" s="346">
        <v>1.091E-2</v>
      </c>
      <c r="E656" s="346">
        <v>122.89</v>
      </c>
    </row>
    <row r="657" spans="1:5" x14ac:dyDescent="0.2">
      <c r="A657" s="346" t="s">
        <v>15</v>
      </c>
      <c r="B657" s="346" t="s">
        <v>15</v>
      </c>
      <c r="C657" s="346">
        <v>346283</v>
      </c>
      <c r="D657" s="346">
        <v>1.371E-2</v>
      </c>
      <c r="E657" s="346">
        <v>4747.54</v>
      </c>
    </row>
    <row r="658" spans="1:5" x14ac:dyDescent="0.2">
      <c r="A658" s="346" t="s">
        <v>13</v>
      </c>
      <c r="B658" s="346" t="s">
        <v>14</v>
      </c>
      <c r="C658" s="346">
        <v>10808</v>
      </c>
      <c r="D658" s="346">
        <v>1.091E-2</v>
      </c>
      <c r="E658" s="346">
        <v>117.92</v>
      </c>
    </row>
    <row r="659" spans="1:5" x14ac:dyDescent="0.2">
      <c r="A659" s="346" t="s">
        <v>24</v>
      </c>
      <c r="B659" s="346" t="s">
        <v>37</v>
      </c>
      <c r="C659" s="346">
        <v>2151</v>
      </c>
      <c r="D659" s="346">
        <v>1.2132000000000001</v>
      </c>
      <c r="E659" s="346">
        <v>2609.59</v>
      </c>
    </row>
    <row r="660" spans="1:5" x14ac:dyDescent="0.2">
      <c r="A660" s="346" t="s">
        <v>22</v>
      </c>
      <c r="B660" s="346" t="s">
        <v>37</v>
      </c>
      <c r="C660" s="346">
        <v>609600</v>
      </c>
      <c r="D660" s="346">
        <v>5.2199999999999998E-3</v>
      </c>
      <c r="E660" s="346">
        <v>3182.11</v>
      </c>
    </row>
    <row r="661" spans="1:5" x14ac:dyDescent="0.2">
      <c r="A661" s="346" t="s">
        <v>0</v>
      </c>
      <c r="B661" s="346" t="s">
        <v>1</v>
      </c>
      <c r="C661" s="346">
        <v>162036</v>
      </c>
      <c r="D661" s="346">
        <v>1.091E-2</v>
      </c>
      <c r="E661" s="346">
        <v>1767.81</v>
      </c>
    </row>
    <row r="662" spans="1:5" x14ac:dyDescent="0.2">
      <c r="A662" s="346" t="s">
        <v>15</v>
      </c>
      <c r="B662" s="346" t="s">
        <v>15</v>
      </c>
      <c r="C662" s="346">
        <v>327845</v>
      </c>
      <c r="D662" s="346">
        <v>1.371E-2</v>
      </c>
      <c r="E662" s="346">
        <v>4494.75</v>
      </c>
    </row>
    <row r="663" spans="1:5" x14ac:dyDescent="0.2">
      <c r="A663" s="346" t="s">
        <v>13</v>
      </c>
      <c r="B663" s="346" t="s">
        <v>14</v>
      </c>
      <c r="C663" s="346">
        <v>9480</v>
      </c>
      <c r="D663" s="346">
        <v>1.091E-2</v>
      </c>
      <c r="E663" s="346">
        <v>103.43</v>
      </c>
    </row>
    <row r="664" spans="1:5" x14ac:dyDescent="0.2">
      <c r="A664" s="346" t="s">
        <v>24</v>
      </c>
      <c r="B664" s="346" t="s">
        <v>37</v>
      </c>
      <c r="C664" s="346">
        <v>2113</v>
      </c>
      <c r="D664" s="346">
        <v>1.2132000000000001</v>
      </c>
      <c r="E664" s="346">
        <v>2563.4899999999998</v>
      </c>
    </row>
    <row r="665" spans="1:5" x14ac:dyDescent="0.2">
      <c r="A665" s="346" t="s">
        <v>22</v>
      </c>
      <c r="B665" s="346" t="s">
        <v>37</v>
      </c>
      <c r="C665" s="346">
        <v>501600</v>
      </c>
      <c r="D665" s="346">
        <v>5.2199999999999998E-3</v>
      </c>
      <c r="E665" s="346">
        <v>2618.35</v>
      </c>
    </row>
    <row r="666" spans="1:5" x14ac:dyDescent="0.2">
      <c r="A666" s="346" t="s">
        <v>0</v>
      </c>
      <c r="B666" s="346" t="s">
        <v>1</v>
      </c>
      <c r="C666" s="346">
        <v>152626</v>
      </c>
      <c r="D666" s="346">
        <v>1.091E-2</v>
      </c>
      <c r="E666" s="346">
        <v>1665.15</v>
      </c>
    </row>
    <row r="667" spans="1:5" x14ac:dyDescent="0.2">
      <c r="A667" s="346" t="s">
        <v>15</v>
      </c>
      <c r="B667" s="346" t="s">
        <v>15</v>
      </c>
      <c r="C667" s="346">
        <v>283995</v>
      </c>
      <c r="D667" s="346">
        <v>1.371E-2</v>
      </c>
      <c r="E667" s="346">
        <v>3893.57</v>
      </c>
    </row>
    <row r="668" spans="1:5" x14ac:dyDescent="0.2">
      <c r="A668" s="346" t="s">
        <v>0</v>
      </c>
      <c r="B668" s="346" t="s">
        <v>1</v>
      </c>
      <c r="C668" s="346">
        <v>160028</v>
      </c>
      <c r="D668" s="346">
        <v>1.091E-2</v>
      </c>
      <c r="E668" s="346">
        <v>1745.91</v>
      </c>
    </row>
    <row r="669" spans="1:5" x14ac:dyDescent="0.2">
      <c r="A669" s="346" t="s">
        <v>22</v>
      </c>
      <c r="B669" s="346" t="s">
        <v>37</v>
      </c>
      <c r="C669" s="346">
        <v>532800</v>
      </c>
      <c r="D669" s="346">
        <v>5.2199999999999998E-3</v>
      </c>
      <c r="E669" s="346">
        <v>2781.22</v>
      </c>
    </row>
    <row r="670" spans="1:5" x14ac:dyDescent="0.2">
      <c r="A670" s="346" t="s">
        <v>24</v>
      </c>
      <c r="B670" s="346" t="s">
        <v>37</v>
      </c>
      <c r="C670" s="346">
        <v>2071</v>
      </c>
      <c r="D670" s="346">
        <v>1.2132000000000001</v>
      </c>
      <c r="E670" s="346">
        <v>2512.54</v>
      </c>
    </row>
    <row r="671" spans="1:5" x14ac:dyDescent="0.2">
      <c r="A671" s="346" t="s">
        <v>13</v>
      </c>
      <c r="B671" s="346" t="s">
        <v>14</v>
      </c>
      <c r="C671" s="346">
        <v>8608</v>
      </c>
      <c r="D671" s="346">
        <v>1.091E-2</v>
      </c>
      <c r="E671" s="346">
        <v>93.91</v>
      </c>
    </row>
    <row r="672" spans="1:5" x14ac:dyDescent="0.2">
      <c r="A672" s="346" t="s">
        <v>15</v>
      </c>
      <c r="B672" s="346" t="s">
        <v>15</v>
      </c>
      <c r="C672" s="346">
        <v>267922</v>
      </c>
      <c r="D672" s="346">
        <v>1.371E-2</v>
      </c>
      <c r="E672" s="346">
        <v>3673.21</v>
      </c>
    </row>
    <row r="673" spans="1:5" x14ac:dyDescent="0.2">
      <c r="A673" s="346" t="s">
        <v>0</v>
      </c>
      <c r="B673" s="346" t="s">
        <v>1</v>
      </c>
      <c r="C673" s="346">
        <v>181686</v>
      </c>
      <c r="D673" s="346">
        <v>1.091E-2</v>
      </c>
      <c r="E673" s="346">
        <v>1982.19</v>
      </c>
    </row>
    <row r="674" spans="1:5" x14ac:dyDescent="0.2">
      <c r="A674" s="346" t="s">
        <v>22</v>
      </c>
      <c r="B674" s="346" t="s">
        <v>37</v>
      </c>
      <c r="C674" s="346">
        <v>439200</v>
      </c>
      <c r="D674" s="346">
        <v>5.2199999999999998E-3</v>
      </c>
      <c r="E674" s="346">
        <v>2292.62</v>
      </c>
    </row>
    <row r="675" spans="1:5" x14ac:dyDescent="0.2">
      <c r="A675" s="346" t="s">
        <v>24</v>
      </c>
      <c r="B675" s="346" t="s">
        <v>37</v>
      </c>
      <c r="C675" s="346">
        <v>2047</v>
      </c>
      <c r="D675" s="346">
        <v>1.2132000000000001</v>
      </c>
      <c r="E675" s="346">
        <v>2483.42</v>
      </c>
    </row>
    <row r="676" spans="1:5" x14ac:dyDescent="0.2">
      <c r="A676" s="346" t="s">
        <v>13</v>
      </c>
      <c r="B676" s="346" t="s">
        <v>14</v>
      </c>
      <c r="C676" s="346">
        <v>8656</v>
      </c>
      <c r="D676" s="346">
        <v>1.091E-2</v>
      </c>
      <c r="E676" s="346">
        <v>94.44</v>
      </c>
    </row>
    <row r="677" spans="1:5" x14ac:dyDescent="0.2">
      <c r="A677" s="346" t="s">
        <v>15</v>
      </c>
      <c r="B677" s="346" t="s">
        <v>15</v>
      </c>
      <c r="C677" s="346">
        <v>313244</v>
      </c>
      <c r="D677" s="346">
        <v>1.371E-2</v>
      </c>
      <c r="E677" s="346">
        <v>4294.58</v>
      </c>
    </row>
    <row r="678" spans="1:5" x14ac:dyDescent="0.2">
      <c r="A678" s="346" t="s">
        <v>22</v>
      </c>
      <c r="B678" s="346" t="s">
        <v>37</v>
      </c>
      <c r="C678" s="346">
        <v>564000</v>
      </c>
      <c r="D678" s="346">
        <v>5.2199999999999998E-3</v>
      </c>
      <c r="E678" s="346">
        <v>2944.08</v>
      </c>
    </row>
    <row r="679" spans="1:5" x14ac:dyDescent="0.2">
      <c r="A679" s="346" t="s">
        <v>24</v>
      </c>
      <c r="B679" s="346" t="s">
        <v>37</v>
      </c>
      <c r="C679" s="346">
        <v>1989</v>
      </c>
      <c r="D679" s="346">
        <v>1.2132000000000001</v>
      </c>
      <c r="E679" s="346">
        <v>2413.0500000000002</v>
      </c>
    </row>
    <row r="680" spans="1:5" x14ac:dyDescent="0.2">
      <c r="A680" s="346" t="s">
        <v>15</v>
      </c>
      <c r="B680" s="346" t="s">
        <v>15</v>
      </c>
      <c r="C680" s="346">
        <v>313893</v>
      </c>
      <c r="D680" s="346">
        <v>1.371E-2</v>
      </c>
      <c r="E680" s="346">
        <v>4303.47</v>
      </c>
    </row>
    <row r="681" spans="1:5" x14ac:dyDescent="0.2">
      <c r="A681" s="346" t="s">
        <v>13</v>
      </c>
      <c r="B681" s="346" t="s">
        <v>14</v>
      </c>
      <c r="C681" s="346">
        <v>10352</v>
      </c>
      <c r="D681" s="346">
        <v>1.091E-2</v>
      </c>
      <c r="E681" s="346">
        <v>112.94</v>
      </c>
    </row>
    <row r="682" spans="1:5" x14ac:dyDescent="0.2">
      <c r="A682" s="346" t="s">
        <v>0</v>
      </c>
      <c r="B682" s="346" t="s">
        <v>1</v>
      </c>
      <c r="C682" s="346">
        <v>176947</v>
      </c>
      <c r="D682" s="346">
        <v>1.091E-2</v>
      </c>
      <c r="E682" s="346">
        <v>1930.49</v>
      </c>
    </row>
    <row r="683" spans="1:5" x14ac:dyDescent="0.2">
      <c r="A683" s="346" t="s">
        <v>13</v>
      </c>
      <c r="B683" s="346" t="s">
        <v>14</v>
      </c>
      <c r="C683" s="346">
        <v>11128</v>
      </c>
      <c r="D683" s="346">
        <v>1.091E-2</v>
      </c>
      <c r="E683" s="346">
        <v>121.41</v>
      </c>
    </row>
    <row r="684" spans="1:5" x14ac:dyDescent="0.2">
      <c r="A684" s="346" t="s">
        <v>24</v>
      </c>
      <c r="B684" s="346" t="s">
        <v>37</v>
      </c>
      <c r="C684" s="346">
        <v>2049</v>
      </c>
      <c r="D684" s="346">
        <v>1.2132064</v>
      </c>
      <c r="E684" s="346">
        <v>2485.86</v>
      </c>
    </row>
    <row r="685" spans="1:5" x14ac:dyDescent="0.2">
      <c r="A685" s="346" t="s">
        <v>22</v>
      </c>
      <c r="B685" s="346" t="s">
        <v>37</v>
      </c>
      <c r="C685" s="346">
        <v>484800</v>
      </c>
      <c r="D685" s="346">
        <v>5.2199999999999998E-3</v>
      </c>
      <c r="E685" s="346">
        <v>2530.66</v>
      </c>
    </row>
    <row r="686" spans="1:5" x14ac:dyDescent="0.2">
      <c r="A686" s="346" t="s">
        <v>0</v>
      </c>
      <c r="B686" s="346" t="s">
        <v>1</v>
      </c>
      <c r="C686" s="346">
        <v>152694</v>
      </c>
      <c r="D686" s="346">
        <v>1.091E-2</v>
      </c>
      <c r="E686" s="346">
        <v>1665.89</v>
      </c>
    </row>
    <row r="687" spans="1:5" x14ac:dyDescent="0.2">
      <c r="A687" s="346" t="s">
        <v>15</v>
      </c>
      <c r="B687" s="346" t="s">
        <v>15</v>
      </c>
      <c r="C687" s="346">
        <v>260763</v>
      </c>
      <c r="D687" s="346">
        <v>1.371E-2</v>
      </c>
      <c r="E687" s="346">
        <v>3575.06</v>
      </c>
    </row>
    <row r="688" spans="1:5" x14ac:dyDescent="0.2">
      <c r="A688" s="346" t="s">
        <v>13</v>
      </c>
      <c r="B688" s="346" t="s">
        <v>14</v>
      </c>
      <c r="C688" s="346">
        <v>12728</v>
      </c>
      <c r="D688" s="346">
        <v>1.091E-2</v>
      </c>
      <c r="E688" s="346">
        <v>138.86000000000001</v>
      </c>
    </row>
    <row r="689" spans="1:5" x14ac:dyDescent="0.2">
      <c r="A689" s="346" t="s">
        <v>22</v>
      </c>
      <c r="B689" s="346" t="s">
        <v>37</v>
      </c>
      <c r="C689" s="346">
        <v>525600</v>
      </c>
      <c r="D689" s="346">
        <v>5.2199999999999998E-3</v>
      </c>
      <c r="E689" s="346">
        <v>2743.63</v>
      </c>
    </row>
    <row r="690" spans="1:5" x14ac:dyDescent="0.2">
      <c r="A690" s="346" t="s">
        <v>0</v>
      </c>
      <c r="B690" s="346" t="s">
        <v>1</v>
      </c>
      <c r="C690" s="346">
        <v>145768</v>
      </c>
      <c r="D690" s="346">
        <v>1.091E-2</v>
      </c>
      <c r="E690" s="346">
        <v>1590.33</v>
      </c>
    </row>
    <row r="691" spans="1:5" x14ac:dyDescent="0.2">
      <c r="A691" s="346" t="s">
        <v>15</v>
      </c>
      <c r="B691" s="346" t="s">
        <v>15</v>
      </c>
      <c r="C691" s="346">
        <v>277540</v>
      </c>
      <c r="D691" s="346">
        <v>1.371E-2</v>
      </c>
      <c r="E691" s="346">
        <v>3805.07</v>
      </c>
    </row>
    <row r="692" spans="1:5" x14ac:dyDescent="0.2">
      <c r="A692" s="346" t="s">
        <v>24</v>
      </c>
      <c r="B692" s="346" t="s">
        <v>37</v>
      </c>
      <c r="C692" s="346">
        <v>2088</v>
      </c>
      <c r="D692" s="346">
        <v>1.2131992</v>
      </c>
      <c r="E692" s="346">
        <v>2533.16</v>
      </c>
    </row>
    <row r="693" spans="1:5" x14ac:dyDescent="0.2">
      <c r="A693" s="346" t="s">
        <v>13</v>
      </c>
      <c r="B693" s="346" t="s">
        <v>14</v>
      </c>
      <c r="C693" s="346">
        <v>14512</v>
      </c>
      <c r="D693" s="346">
        <v>1.09096E-2</v>
      </c>
      <c r="E693" s="346">
        <v>158.32</v>
      </c>
    </row>
    <row r="694" spans="1:5" x14ac:dyDescent="0.2">
      <c r="A694" s="346" t="s">
        <v>24</v>
      </c>
      <c r="B694" s="346" t="s">
        <v>37</v>
      </c>
      <c r="C694" s="346">
        <v>2078</v>
      </c>
      <c r="D694" s="346">
        <v>1.2131954</v>
      </c>
      <c r="E694" s="346">
        <v>2521.02</v>
      </c>
    </row>
    <row r="695" spans="1:5" x14ac:dyDescent="0.2">
      <c r="A695" s="346" t="s">
        <v>22</v>
      </c>
      <c r="B695" s="346" t="s">
        <v>37</v>
      </c>
      <c r="C695" s="346">
        <v>492</v>
      </c>
      <c r="D695" s="346">
        <v>5.22</v>
      </c>
      <c r="E695" s="346">
        <v>2568.2399999999998</v>
      </c>
    </row>
    <row r="696" spans="1:5" x14ac:dyDescent="0.2">
      <c r="A696" s="346" t="s">
        <v>0</v>
      </c>
      <c r="B696" s="346" t="s">
        <v>1</v>
      </c>
      <c r="C696" s="346">
        <v>161.08099999999999</v>
      </c>
      <c r="D696" s="346">
        <v>10.909977</v>
      </c>
      <c r="E696" s="346">
        <v>1757.39</v>
      </c>
    </row>
    <row r="697" spans="1:5" x14ac:dyDescent="0.2">
      <c r="A697" s="346" t="s">
        <v>15</v>
      </c>
      <c r="B697" s="346" t="s">
        <v>15</v>
      </c>
      <c r="C697" s="346">
        <v>346467</v>
      </c>
      <c r="D697" s="346">
        <v>1.371E-2</v>
      </c>
      <c r="E697" s="346">
        <v>4750.0600000000004</v>
      </c>
    </row>
    <row r="698" spans="1:5" x14ac:dyDescent="0.2">
      <c r="A698" s="346" t="s">
        <v>13</v>
      </c>
      <c r="B698" s="346" t="s">
        <v>14</v>
      </c>
      <c r="C698" s="346">
        <v>15384</v>
      </c>
      <c r="D698" s="346">
        <v>1.091E-2</v>
      </c>
      <c r="E698" s="346">
        <v>167.84</v>
      </c>
    </row>
    <row r="699" spans="1:5" x14ac:dyDescent="0.2">
      <c r="A699" s="346" t="s">
        <v>24</v>
      </c>
      <c r="B699" s="346" t="s">
        <v>37</v>
      </c>
      <c r="C699" s="346">
        <v>2176</v>
      </c>
      <c r="D699" s="346">
        <v>1.2132000000000001</v>
      </c>
      <c r="E699" s="346">
        <v>2639.92</v>
      </c>
    </row>
    <row r="700" spans="1:5" x14ac:dyDescent="0.2">
      <c r="A700" s="346" t="s">
        <v>22</v>
      </c>
      <c r="B700" s="346" t="s">
        <v>37</v>
      </c>
      <c r="C700" s="346">
        <v>552000</v>
      </c>
      <c r="D700" s="346">
        <v>5.2199999999999998E-3</v>
      </c>
      <c r="E700" s="346">
        <v>2881.44</v>
      </c>
    </row>
    <row r="701" spans="1:5" x14ac:dyDescent="0.2">
      <c r="A701" s="346" t="s">
        <v>0</v>
      </c>
      <c r="B701" s="346" t="s">
        <v>1</v>
      </c>
      <c r="C701" s="346">
        <v>180634</v>
      </c>
      <c r="D701" s="346">
        <v>1.091E-2</v>
      </c>
      <c r="E701" s="346">
        <v>1970.72</v>
      </c>
    </row>
    <row r="702" spans="1:5" x14ac:dyDescent="0.2">
      <c r="A702" s="346" t="s">
        <v>15</v>
      </c>
      <c r="B702" s="346" t="s">
        <v>15</v>
      </c>
      <c r="C702" s="346">
        <v>384171</v>
      </c>
      <c r="D702" s="346">
        <v>1.371E-2</v>
      </c>
      <c r="E702" s="346">
        <v>5266.98</v>
      </c>
    </row>
    <row r="703" spans="1:5" x14ac:dyDescent="0.2">
      <c r="A703" s="346" t="s">
        <v>13</v>
      </c>
      <c r="B703" s="346" t="s">
        <v>14</v>
      </c>
      <c r="C703" s="346">
        <v>4305</v>
      </c>
      <c r="D703" s="346">
        <v>1.09082E-2</v>
      </c>
      <c r="E703" s="346">
        <v>46.96</v>
      </c>
    </row>
    <row r="704" spans="1:5" x14ac:dyDescent="0.2">
      <c r="A704" s="346" t="s">
        <v>24</v>
      </c>
      <c r="B704" s="346" t="s">
        <v>37</v>
      </c>
      <c r="C704" s="346">
        <v>6870</v>
      </c>
      <c r="D704" s="346">
        <v>1.2132000000000001</v>
      </c>
      <c r="E704" s="346">
        <v>8334.68</v>
      </c>
    </row>
    <row r="705" spans="1:5" x14ac:dyDescent="0.2">
      <c r="A705" s="346" t="s">
        <v>22</v>
      </c>
      <c r="B705" s="346" t="s">
        <v>37</v>
      </c>
      <c r="C705" s="346">
        <v>1187520</v>
      </c>
      <c r="D705" s="346">
        <v>5.2199999999999998E-3</v>
      </c>
      <c r="E705" s="346">
        <v>6198.85</v>
      </c>
    </row>
    <row r="706" spans="1:5" x14ac:dyDescent="0.2">
      <c r="A706" s="346" t="s">
        <v>5</v>
      </c>
      <c r="B706" s="346" t="s">
        <v>1</v>
      </c>
      <c r="C706" s="346">
        <v>8694.73</v>
      </c>
      <c r="D706" s="346">
        <v>1.1383000000000001</v>
      </c>
      <c r="E706" s="346">
        <v>9897.2099999999991</v>
      </c>
    </row>
    <row r="707" spans="1:5" x14ac:dyDescent="0.2">
      <c r="A707" s="346" t="s">
        <v>2</v>
      </c>
      <c r="B707" s="346" t="s">
        <v>1</v>
      </c>
      <c r="C707" s="346">
        <v>3328587</v>
      </c>
      <c r="D707" s="346">
        <v>7.0699999999999999E-3</v>
      </c>
      <c r="E707" s="346">
        <v>23533.11</v>
      </c>
    </row>
    <row r="708" spans="1:5" x14ac:dyDescent="0.2">
      <c r="A708" s="346" t="s">
        <v>0</v>
      </c>
      <c r="B708" s="346" t="s">
        <v>1</v>
      </c>
      <c r="C708" s="346">
        <v>705773</v>
      </c>
      <c r="D708" s="346">
        <v>1.0910100000000001E-2</v>
      </c>
      <c r="E708" s="346">
        <v>7700.02</v>
      </c>
    </row>
    <row r="709" spans="1:5" x14ac:dyDescent="0.2">
      <c r="A709" s="346" t="s">
        <v>15</v>
      </c>
      <c r="B709" s="346" t="s">
        <v>15</v>
      </c>
      <c r="C709" s="346">
        <v>2673940</v>
      </c>
      <c r="D709" s="346">
        <v>1.3711599999999999E-2</v>
      </c>
      <c r="E709" s="346">
        <v>36664.080000000002</v>
      </c>
    </row>
    <row r="710" spans="1:5" x14ac:dyDescent="0.2">
      <c r="A710" s="346" t="s">
        <v>15</v>
      </c>
      <c r="B710" s="346" t="s">
        <v>15</v>
      </c>
      <c r="C710" s="346">
        <v>2311579</v>
      </c>
      <c r="D710" s="346">
        <v>1.371E-2</v>
      </c>
      <c r="E710" s="346">
        <v>31691.75</v>
      </c>
    </row>
    <row r="711" spans="1:5" x14ac:dyDescent="0.2">
      <c r="A711" s="346" t="s">
        <v>0</v>
      </c>
      <c r="B711" s="346" t="s">
        <v>1</v>
      </c>
      <c r="C711" s="346">
        <v>627013</v>
      </c>
      <c r="D711" s="346">
        <v>1.091E-2</v>
      </c>
      <c r="E711" s="346">
        <v>6840.71</v>
      </c>
    </row>
    <row r="712" spans="1:5" x14ac:dyDescent="0.2">
      <c r="A712" s="346" t="s">
        <v>2</v>
      </c>
      <c r="B712" s="346" t="s">
        <v>1</v>
      </c>
      <c r="C712" s="346">
        <v>2964691</v>
      </c>
      <c r="D712" s="346">
        <v>7.0699999999999999E-3</v>
      </c>
      <c r="E712" s="346">
        <v>20960.37</v>
      </c>
    </row>
    <row r="713" spans="1:5" x14ac:dyDescent="0.2">
      <c r="A713" s="346" t="s">
        <v>5</v>
      </c>
      <c r="B713" s="346" t="s">
        <v>1</v>
      </c>
      <c r="C713" s="346">
        <v>8595</v>
      </c>
      <c r="D713" s="346">
        <v>1.1383432</v>
      </c>
      <c r="E713" s="346">
        <v>9784.06</v>
      </c>
    </row>
    <row r="714" spans="1:5" x14ac:dyDescent="0.2">
      <c r="A714" s="346" t="s">
        <v>22</v>
      </c>
      <c r="B714" s="346" t="s">
        <v>37</v>
      </c>
      <c r="C714" s="346">
        <v>422600</v>
      </c>
      <c r="D714" s="346">
        <v>5.2199999999999998E-3</v>
      </c>
      <c r="E714" s="346">
        <v>2205.9699999999998</v>
      </c>
    </row>
    <row r="715" spans="1:5" x14ac:dyDescent="0.2">
      <c r="A715" s="346" t="s">
        <v>24</v>
      </c>
      <c r="B715" s="346" t="s">
        <v>37</v>
      </c>
      <c r="C715" s="346">
        <v>3690</v>
      </c>
      <c r="D715" s="346">
        <v>1.2132000000000001</v>
      </c>
      <c r="E715" s="346">
        <v>4476.71</v>
      </c>
    </row>
    <row r="716" spans="1:5" x14ac:dyDescent="0.2">
      <c r="A716" s="346" t="s">
        <v>13</v>
      </c>
      <c r="B716" s="346" t="s">
        <v>14</v>
      </c>
      <c r="C716" s="346">
        <v>4070</v>
      </c>
      <c r="D716" s="346">
        <v>1.09E-2</v>
      </c>
      <c r="E716" s="346">
        <v>44.36</v>
      </c>
    </row>
    <row r="717" spans="1:5" x14ac:dyDescent="0.2">
      <c r="A717" s="346" t="s">
        <v>13</v>
      </c>
      <c r="B717" s="346" t="s">
        <v>14</v>
      </c>
      <c r="C717" s="346">
        <v>3997</v>
      </c>
      <c r="D717" s="346">
        <v>1.091E-2</v>
      </c>
      <c r="E717" s="346">
        <v>43.61</v>
      </c>
    </row>
    <row r="718" spans="1:5" x14ac:dyDescent="0.2">
      <c r="A718" s="346" t="s">
        <v>15</v>
      </c>
      <c r="B718" s="346" t="s">
        <v>15</v>
      </c>
      <c r="C718" s="346">
        <v>2050236</v>
      </c>
      <c r="D718" s="346">
        <v>1.371E-2</v>
      </c>
      <c r="E718" s="346">
        <v>28108.74</v>
      </c>
    </row>
    <row r="719" spans="1:5" x14ac:dyDescent="0.2">
      <c r="A719" s="346" t="s">
        <v>0</v>
      </c>
      <c r="B719" s="346" t="s">
        <v>1</v>
      </c>
      <c r="C719" s="346">
        <v>597047</v>
      </c>
      <c r="D719" s="346">
        <v>1.091E-2</v>
      </c>
      <c r="E719" s="346">
        <v>6513.78</v>
      </c>
    </row>
    <row r="720" spans="1:5" x14ac:dyDescent="0.2">
      <c r="A720" s="346" t="s">
        <v>2</v>
      </c>
      <c r="B720" s="346" t="s">
        <v>1</v>
      </c>
      <c r="C720" s="346">
        <v>2942089</v>
      </c>
      <c r="D720" s="346">
        <v>7.0699999999999999E-3</v>
      </c>
      <c r="E720" s="346">
        <v>20800.57</v>
      </c>
    </row>
    <row r="721" spans="1:5" x14ac:dyDescent="0.2">
      <c r="A721" s="346" t="s">
        <v>5</v>
      </c>
      <c r="B721" s="346" t="s">
        <v>1</v>
      </c>
      <c r="C721" s="346">
        <v>8597</v>
      </c>
      <c r="D721" s="346">
        <v>1.1383000000000001</v>
      </c>
      <c r="E721" s="346">
        <v>9785.9699999999993</v>
      </c>
    </row>
    <row r="722" spans="1:5" x14ac:dyDescent="0.2">
      <c r="A722" s="346" t="s">
        <v>22</v>
      </c>
      <c r="B722" s="346" t="s">
        <v>37</v>
      </c>
      <c r="C722" s="346">
        <v>472800</v>
      </c>
      <c r="D722" s="346">
        <v>5.2199999999999998E-3</v>
      </c>
      <c r="E722" s="346">
        <v>2468.02</v>
      </c>
    </row>
    <row r="723" spans="1:5" x14ac:dyDescent="0.2">
      <c r="A723" s="346" t="s">
        <v>24</v>
      </c>
      <c r="B723" s="346" t="s">
        <v>37</v>
      </c>
      <c r="C723" s="346">
        <v>2090</v>
      </c>
      <c r="D723" s="346">
        <v>1.2132000000000001</v>
      </c>
      <c r="E723" s="346">
        <v>2535.59</v>
      </c>
    </row>
    <row r="724" spans="1:5" x14ac:dyDescent="0.2">
      <c r="A724" s="346" t="s">
        <v>5</v>
      </c>
      <c r="B724" s="346" t="s">
        <v>1</v>
      </c>
      <c r="C724" s="346">
        <v>8429</v>
      </c>
      <c r="D724" s="346">
        <v>1.1383000000000001</v>
      </c>
      <c r="E724" s="346">
        <v>9594.73</v>
      </c>
    </row>
    <row r="725" spans="1:5" x14ac:dyDescent="0.2">
      <c r="A725" s="346" t="s">
        <v>15</v>
      </c>
      <c r="B725" s="346" t="s">
        <v>15</v>
      </c>
      <c r="C725" s="346">
        <v>3490006</v>
      </c>
      <c r="D725" s="346">
        <v>1.371E-2</v>
      </c>
      <c r="E725" s="346">
        <v>47847.98</v>
      </c>
    </row>
    <row r="726" spans="1:5" x14ac:dyDescent="0.2">
      <c r="A726" s="346" t="s">
        <v>0</v>
      </c>
      <c r="B726" s="346" t="s">
        <v>1</v>
      </c>
      <c r="C726" s="346">
        <v>505356</v>
      </c>
      <c r="D726" s="346">
        <v>1.091E-2</v>
      </c>
      <c r="E726" s="346">
        <v>5513.43</v>
      </c>
    </row>
    <row r="727" spans="1:5" x14ac:dyDescent="0.2">
      <c r="A727" s="346" t="s">
        <v>2</v>
      </c>
      <c r="B727" s="346" t="s">
        <v>1</v>
      </c>
      <c r="C727" s="346">
        <v>3006422</v>
      </c>
      <c r="D727" s="346">
        <v>7.0699999999999999E-3</v>
      </c>
      <c r="E727" s="346">
        <v>21255.4</v>
      </c>
    </row>
    <row r="728" spans="1:5" x14ac:dyDescent="0.2">
      <c r="A728" s="346" t="s">
        <v>22</v>
      </c>
      <c r="B728" s="346" t="s">
        <v>37</v>
      </c>
      <c r="C728" s="346">
        <v>218680</v>
      </c>
      <c r="D728" s="346">
        <v>5.2199999999999998E-3</v>
      </c>
      <c r="E728" s="346">
        <v>1141.51</v>
      </c>
    </row>
    <row r="729" spans="1:5" x14ac:dyDescent="0.2">
      <c r="A729" s="346" t="s">
        <v>24</v>
      </c>
      <c r="B729" s="346" t="s">
        <v>37</v>
      </c>
      <c r="C729" s="346">
        <v>1340</v>
      </c>
      <c r="D729" s="346">
        <v>1.2132000000000001</v>
      </c>
      <c r="E729" s="346">
        <v>1625.69</v>
      </c>
    </row>
    <row r="730" spans="1:5" x14ac:dyDescent="0.2">
      <c r="A730" s="346" t="s">
        <v>13</v>
      </c>
      <c r="B730" s="346" t="s">
        <v>14</v>
      </c>
      <c r="C730" s="346">
        <v>3948</v>
      </c>
      <c r="D730" s="346">
        <v>1.091E-2</v>
      </c>
      <c r="E730" s="346">
        <v>43.07</v>
      </c>
    </row>
    <row r="731" spans="1:5" x14ac:dyDescent="0.2">
      <c r="A731" s="346" t="s">
        <v>5</v>
      </c>
      <c r="B731" s="346" t="s">
        <v>1</v>
      </c>
      <c r="C731" s="346">
        <v>8533</v>
      </c>
      <c r="D731" s="346">
        <v>1.1383000000000001</v>
      </c>
      <c r="E731" s="346">
        <v>9713.11</v>
      </c>
    </row>
    <row r="732" spans="1:5" x14ac:dyDescent="0.2">
      <c r="A732" s="346" t="s">
        <v>22</v>
      </c>
      <c r="B732" s="346" t="s">
        <v>37</v>
      </c>
      <c r="C732" s="346">
        <v>105960</v>
      </c>
      <c r="D732" s="346">
        <v>5.2199999999999998E-3</v>
      </c>
      <c r="E732" s="346">
        <v>553.11</v>
      </c>
    </row>
    <row r="733" spans="1:5" x14ac:dyDescent="0.2">
      <c r="A733" s="346" t="s">
        <v>24</v>
      </c>
      <c r="B733" s="346" t="s">
        <v>37</v>
      </c>
      <c r="C733" s="346">
        <v>500</v>
      </c>
      <c r="D733" s="346">
        <v>1.2132000000000001</v>
      </c>
      <c r="E733" s="346">
        <v>606.6</v>
      </c>
    </row>
    <row r="734" spans="1:5" x14ac:dyDescent="0.2">
      <c r="A734" s="346" t="s">
        <v>13</v>
      </c>
      <c r="B734" s="346" t="s">
        <v>14</v>
      </c>
      <c r="C734" s="346">
        <v>3839</v>
      </c>
      <c r="D734" s="346">
        <v>1.091E-2</v>
      </c>
      <c r="E734" s="346">
        <v>41.88</v>
      </c>
    </row>
    <row r="735" spans="1:5" x14ac:dyDescent="0.2">
      <c r="A735" s="346" t="s">
        <v>15</v>
      </c>
      <c r="B735" s="346" t="s">
        <v>15</v>
      </c>
      <c r="C735" s="346">
        <v>-342389</v>
      </c>
      <c r="D735" s="346">
        <v>1.371E-2</v>
      </c>
      <c r="E735" s="346">
        <v>-4694.1499999999996</v>
      </c>
    </row>
    <row r="736" spans="1:5" x14ac:dyDescent="0.2">
      <c r="A736" s="346" t="s">
        <v>0</v>
      </c>
      <c r="B736" s="346" t="s">
        <v>1</v>
      </c>
      <c r="C736" s="346">
        <v>494782</v>
      </c>
      <c r="D736" s="346">
        <v>1.091E-2</v>
      </c>
      <c r="E736" s="346">
        <v>5398.07</v>
      </c>
    </row>
    <row r="737" spans="1:5" x14ac:dyDescent="0.2">
      <c r="A737" s="346" t="s">
        <v>2</v>
      </c>
      <c r="B737" s="346" t="s">
        <v>1</v>
      </c>
      <c r="C737" s="346">
        <v>2347589</v>
      </c>
      <c r="D737" s="346">
        <v>7.0699999999999999E-3</v>
      </c>
      <c r="E737" s="346">
        <v>16597.45</v>
      </c>
    </row>
    <row r="738" spans="1:5" x14ac:dyDescent="0.2">
      <c r="A738" s="346" t="s">
        <v>13</v>
      </c>
      <c r="B738" s="346" t="s">
        <v>14</v>
      </c>
      <c r="C738" s="346">
        <v>3792</v>
      </c>
      <c r="D738" s="346">
        <v>1.091E-2</v>
      </c>
      <c r="E738" s="346">
        <v>41.37</v>
      </c>
    </row>
    <row r="739" spans="1:5" x14ac:dyDescent="0.2">
      <c r="A739" s="346" t="s">
        <v>0</v>
      </c>
      <c r="B739" s="346" t="s">
        <v>1</v>
      </c>
      <c r="C739" s="346">
        <v>597901</v>
      </c>
      <c r="D739" s="346">
        <v>1.091E-2</v>
      </c>
      <c r="E739" s="346">
        <v>6523.1</v>
      </c>
    </row>
    <row r="740" spans="1:5" x14ac:dyDescent="0.2">
      <c r="A740" s="346" t="s">
        <v>15</v>
      </c>
      <c r="B740" s="346" t="s">
        <v>15</v>
      </c>
      <c r="C740" s="346">
        <v>1779613</v>
      </c>
      <c r="D740" s="346">
        <v>1.371E-2</v>
      </c>
      <c r="E740" s="346">
        <v>24398.49</v>
      </c>
    </row>
    <row r="741" spans="1:5" x14ac:dyDescent="0.2">
      <c r="A741" s="346" t="s">
        <v>2</v>
      </c>
      <c r="B741" s="346" t="s">
        <v>1</v>
      </c>
      <c r="C741" s="346">
        <v>3109298</v>
      </c>
      <c r="D741" s="346">
        <v>7.0699999999999999E-3</v>
      </c>
      <c r="E741" s="346">
        <v>21982.74</v>
      </c>
    </row>
    <row r="742" spans="1:5" x14ac:dyDescent="0.2">
      <c r="A742" s="346" t="s">
        <v>24</v>
      </c>
      <c r="B742" s="346" t="s">
        <v>37</v>
      </c>
      <c r="C742" s="346">
        <v>370</v>
      </c>
      <c r="D742" s="346">
        <v>1.2132000000000001</v>
      </c>
      <c r="E742" s="346">
        <v>448.88</v>
      </c>
    </row>
    <row r="743" spans="1:5" x14ac:dyDescent="0.2">
      <c r="A743" s="346" t="s">
        <v>22</v>
      </c>
      <c r="B743" s="346" t="s">
        <v>37</v>
      </c>
      <c r="C743" s="346">
        <v>104160</v>
      </c>
      <c r="D743" s="346">
        <v>5.2199999999999998E-3</v>
      </c>
      <c r="E743" s="346">
        <v>543.72</v>
      </c>
    </row>
    <row r="744" spans="1:5" x14ac:dyDescent="0.2">
      <c r="A744" s="346" t="s">
        <v>5</v>
      </c>
      <c r="B744" s="346" t="s">
        <v>1</v>
      </c>
      <c r="C744" s="346">
        <v>8851</v>
      </c>
      <c r="D744" s="346">
        <v>1.1383000000000001</v>
      </c>
      <c r="E744" s="346">
        <v>10075.09</v>
      </c>
    </row>
    <row r="745" spans="1:5" x14ac:dyDescent="0.2">
      <c r="A745" s="346" t="s">
        <v>15</v>
      </c>
      <c r="B745" s="346" t="s">
        <v>15</v>
      </c>
      <c r="C745" s="346">
        <v>2146133</v>
      </c>
      <c r="D745" s="346">
        <v>1.371E-2</v>
      </c>
      <c r="E745" s="346">
        <v>29423.48</v>
      </c>
    </row>
    <row r="746" spans="1:5" x14ac:dyDescent="0.2">
      <c r="A746" s="346" t="s">
        <v>13</v>
      </c>
      <c r="B746" s="346" t="s">
        <v>14</v>
      </c>
      <c r="C746" s="346">
        <v>3792</v>
      </c>
      <c r="D746" s="346">
        <v>1.091E-2</v>
      </c>
      <c r="E746" s="346">
        <v>41.37</v>
      </c>
    </row>
    <row r="747" spans="1:5" x14ac:dyDescent="0.2">
      <c r="A747" s="346" t="s">
        <v>2</v>
      </c>
      <c r="B747" s="346" t="s">
        <v>1</v>
      </c>
      <c r="C747" s="346">
        <v>3526743</v>
      </c>
      <c r="D747" s="346">
        <v>7.0699999999999999E-3</v>
      </c>
      <c r="E747" s="346">
        <v>24934.07</v>
      </c>
    </row>
    <row r="748" spans="1:5" x14ac:dyDescent="0.2">
      <c r="A748" s="346" t="s">
        <v>0</v>
      </c>
      <c r="B748" s="346" t="s">
        <v>1</v>
      </c>
      <c r="C748" s="346">
        <v>698989</v>
      </c>
      <c r="D748" s="346">
        <v>1.091E-2</v>
      </c>
      <c r="E748" s="346">
        <v>7625.97</v>
      </c>
    </row>
    <row r="749" spans="1:5" x14ac:dyDescent="0.2">
      <c r="A749" s="346" t="s">
        <v>24</v>
      </c>
      <c r="B749" s="346" t="s">
        <v>37</v>
      </c>
      <c r="C749" s="346">
        <v>650</v>
      </c>
      <c r="D749" s="346">
        <v>1.2132000000000001</v>
      </c>
      <c r="E749" s="346">
        <v>788.58</v>
      </c>
    </row>
    <row r="750" spans="1:5" x14ac:dyDescent="0.2">
      <c r="A750" s="346" t="s">
        <v>22</v>
      </c>
      <c r="B750" s="346" t="s">
        <v>37</v>
      </c>
      <c r="C750" s="346">
        <v>131240</v>
      </c>
      <c r="D750" s="346">
        <v>5.2199999999999998E-3</v>
      </c>
      <c r="E750" s="346">
        <v>685.07</v>
      </c>
    </row>
    <row r="751" spans="1:5" x14ac:dyDescent="0.2">
      <c r="A751" s="346" t="s">
        <v>5</v>
      </c>
      <c r="B751" s="346" t="s">
        <v>1</v>
      </c>
      <c r="C751" s="346">
        <v>9205</v>
      </c>
      <c r="D751" s="346">
        <v>1.1383000000000001</v>
      </c>
      <c r="E751" s="346">
        <v>10478.049999999999</v>
      </c>
    </row>
    <row r="752" spans="1:5" x14ac:dyDescent="0.2">
      <c r="A752" s="346" t="s">
        <v>5</v>
      </c>
      <c r="B752" s="346" t="s">
        <v>1</v>
      </c>
      <c r="C752" s="346">
        <v>8733</v>
      </c>
      <c r="D752" s="346">
        <v>1.1383000000000001</v>
      </c>
      <c r="E752" s="346">
        <v>9940.77</v>
      </c>
    </row>
    <row r="753" spans="1:5" x14ac:dyDescent="0.2">
      <c r="A753" s="346" t="s">
        <v>0</v>
      </c>
      <c r="B753" s="346" t="s">
        <v>1</v>
      </c>
      <c r="C753" s="346">
        <v>615090</v>
      </c>
      <c r="D753" s="346">
        <v>1.091E-2</v>
      </c>
      <c r="E753" s="346">
        <v>6710.63</v>
      </c>
    </row>
    <row r="754" spans="1:5" x14ac:dyDescent="0.2">
      <c r="A754" s="346" t="s">
        <v>2</v>
      </c>
      <c r="B754" s="346" t="s">
        <v>1</v>
      </c>
      <c r="C754" s="346">
        <v>3232811</v>
      </c>
      <c r="D754" s="346">
        <v>7.0699999999999999E-3</v>
      </c>
      <c r="E754" s="346">
        <v>22855.97</v>
      </c>
    </row>
    <row r="755" spans="1:5" x14ac:dyDescent="0.2">
      <c r="A755" s="346" t="s">
        <v>15</v>
      </c>
      <c r="B755" s="346" t="s">
        <v>15</v>
      </c>
      <c r="C755" s="346">
        <v>1934408</v>
      </c>
      <c r="D755" s="346">
        <v>1.371E-2</v>
      </c>
      <c r="E755" s="346">
        <v>26520.73</v>
      </c>
    </row>
    <row r="756" spans="1:5" x14ac:dyDescent="0.2">
      <c r="A756" s="346" t="s">
        <v>22</v>
      </c>
      <c r="B756" s="346" t="s">
        <v>37</v>
      </c>
      <c r="C756" s="346">
        <v>135520</v>
      </c>
      <c r="D756" s="346">
        <v>5.2199999999999998E-3</v>
      </c>
      <c r="E756" s="346">
        <v>707.41</v>
      </c>
    </row>
    <row r="757" spans="1:5" x14ac:dyDescent="0.2">
      <c r="A757" s="346" t="s">
        <v>24</v>
      </c>
      <c r="B757" s="346" t="s">
        <v>37</v>
      </c>
      <c r="C757" s="346">
        <v>590</v>
      </c>
      <c r="D757" s="346">
        <v>1.2132000000000001</v>
      </c>
      <c r="E757" s="346">
        <v>715.79</v>
      </c>
    </row>
    <row r="758" spans="1:5" x14ac:dyDescent="0.2">
      <c r="A758" s="346" t="s">
        <v>13</v>
      </c>
      <c r="B758" s="346" t="s">
        <v>14</v>
      </c>
      <c r="C758" s="346">
        <v>3902</v>
      </c>
      <c r="D758" s="346">
        <v>1.091E-2</v>
      </c>
      <c r="E758" s="346">
        <v>42.57</v>
      </c>
    </row>
    <row r="759" spans="1:5" x14ac:dyDescent="0.2">
      <c r="A759" s="346" t="s">
        <v>13</v>
      </c>
      <c r="B759" s="346" t="s">
        <v>14</v>
      </c>
      <c r="C759" s="346">
        <v>4052</v>
      </c>
      <c r="D759" s="346">
        <v>1.091E-2</v>
      </c>
      <c r="E759" s="346">
        <v>44.21</v>
      </c>
    </row>
    <row r="760" spans="1:5" x14ac:dyDescent="0.2">
      <c r="A760" s="346" t="s">
        <v>24</v>
      </c>
      <c r="B760" s="346" t="s">
        <v>37</v>
      </c>
      <c r="C760" s="346">
        <v>1170</v>
      </c>
      <c r="D760" s="346">
        <v>1.2132000000000001</v>
      </c>
      <c r="E760" s="346">
        <v>1419.44</v>
      </c>
    </row>
    <row r="761" spans="1:5" x14ac:dyDescent="0.2">
      <c r="A761" s="346" t="s">
        <v>22</v>
      </c>
      <c r="B761" s="346" t="s">
        <v>37</v>
      </c>
      <c r="C761" s="346">
        <v>150120</v>
      </c>
      <c r="D761" s="346">
        <v>5.2199999999999998E-3</v>
      </c>
      <c r="E761" s="346">
        <v>783.63</v>
      </c>
    </row>
    <row r="762" spans="1:5" x14ac:dyDescent="0.2">
      <c r="A762" s="346" t="s">
        <v>5</v>
      </c>
      <c r="B762" s="346" t="s">
        <v>1</v>
      </c>
      <c r="C762" s="346">
        <v>8589</v>
      </c>
      <c r="D762" s="346">
        <v>1.1383000000000001</v>
      </c>
      <c r="E762" s="346">
        <v>9776.86</v>
      </c>
    </row>
    <row r="763" spans="1:5" x14ac:dyDescent="0.2">
      <c r="A763" s="346" t="s">
        <v>15</v>
      </c>
      <c r="B763" s="346" t="s">
        <v>15</v>
      </c>
      <c r="C763" s="346">
        <v>1651394</v>
      </c>
      <c r="D763" s="346">
        <v>1.371E-2</v>
      </c>
      <c r="E763" s="346">
        <v>22640.61</v>
      </c>
    </row>
    <row r="764" spans="1:5" x14ac:dyDescent="0.2">
      <c r="A764" s="346" t="s">
        <v>0</v>
      </c>
      <c r="B764" s="346" t="s">
        <v>1</v>
      </c>
      <c r="C764" s="346">
        <v>510061</v>
      </c>
      <c r="D764" s="346">
        <v>1.091E-2</v>
      </c>
      <c r="E764" s="346">
        <v>5564.77</v>
      </c>
    </row>
    <row r="765" spans="1:5" x14ac:dyDescent="0.2">
      <c r="A765" s="346" t="s">
        <v>2</v>
      </c>
      <c r="B765" s="346" t="s">
        <v>1</v>
      </c>
      <c r="C765" s="346">
        <v>2913338</v>
      </c>
      <c r="D765" s="346">
        <v>7.0699999999999999E-3</v>
      </c>
      <c r="E765" s="346">
        <v>20597.3</v>
      </c>
    </row>
    <row r="766" spans="1:5" x14ac:dyDescent="0.2">
      <c r="A766" s="346" t="s">
        <v>13</v>
      </c>
      <c r="B766" s="346" t="s">
        <v>14</v>
      </c>
      <c r="C766" s="346">
        <v>3912</v>
      </c>
      <c r="D766" s="346">
        <v>1.091E-2</v>
      </c>
      <c r="E766" s="346">
        <v>42.68</v>
      </c>
    </row>
    <row r="767" spans="1:5" x14ac:dyDescent="0.2">
      <c r="A767" s="346" t="s">
        <v>24</v>
      </c>
      <c r="B767" s="346" t="s">
        <v>37</v>
      </c>
      <c r="C767" s="346">
        <v>200</v>
      </c>
      <c r="D767" s="346">
        <v>1.2132000000000001</v>
      </c>
      <c r="E767" s="346">
        <v>242.64</v>
      </c>
    </row>
    <row r="768" spans="1:5" x14ac:dyDescent="0.2">
      <c r="A768" s="346" t="s">
        <v>22</v>
      </c>
      <c r="B768" s="346" t="s">
        <v>37</v>
      </c>
      <c r="C768" s="346">
        <v>244280</v>
      </c>
      <c r="D768" s="346">
        <v>5.2199999999999998E-3</v>
      </c>
      <c r="E768" s="346">
        <v>1275.1400000000001</v>
      </c>
    </row>
    <row r="769" spans="1:5" x14ac:dyDescent="0.2">
      <c r="A769" s="346" t="s">
        <v>5</v>
      </c>
      <c r="B769" s="346" t="s">
        <v>1</v>
      </c>
      <c r="C769" s="346">
        <v>8431</v>
      </c>
      <c r="D769" s="346">
        <v>1.1383000000000001</v>
      </c>
      <c r="E769" s="346">
        <v>9597.01</v>
      </c>
    </row>
    <row r="770" spans="1:5" x14ac:dyDescent="0.2">
      <c r="A770" s="346" t="s">
        <v>2</v>
      </c>
      <c r="B770" s="346" t="s">
        <v>1</v>
      </c>
      <c r="C770" s="346">
        <v>2655665</v>
      </c>
      <c r="D770" s="346">
        <v>7.0699999999999999E-3</v>
      </c>
      <c r="E770" s="346">
        <v>18775.55</v>
      </c>
    </row>
    <row r="771" spans="1:5" x14ac:dyDescent="0.2">
      <c r="A771" s="346" t="s">
        <v>0</v>
      </c>
      <c r="B771" s="346" t="s">
        <v>1</v>
      </c>
      <c r="C771" s="346">
        <v>503694</v>
      </c>
      <c r="D771" s="346">
        <v>1.091E-2</v>
      </c>
      <c r="E771" s="346">
        <v>5495.3</v>
      </c>
    </row>
    <row r="772" spans="1:5" x14ac:dyDescent="0.2">
      <c r="A772" s="346" t="s">
        <v>15</v>
      </c>
      <c r="B772" s="346" t="s">
        <v>15</v>
      </c>
      <c r="C772" s="346">
        <v>1730509</v>
      </c>
      <c r="D772" s="346">
        <v>1.371E-2</v>
      </c>
      <c r="E772" s="346">
        <v>23725.279999999999</v>
      </c>
    </row>
    <row r="773" spans="1:5" x14ac:dyDescent="0.2">
      <c r="A773" s="346" t="s">
        <v>0</v>
      </c>
      <c r="B773" s="346" t="s">
        <v>1</v>
      </c>
      <c r="C773" s="346">
        <v>564722</v>
      </c>
      <c r="D773" s="346">
        <v>1.091E-2</v>
      </c>
      <c r="E773" s="346">
        <v>6161.12</v>
      </c>
    </row>
    <row r="774" spans="1:5" x14ac:dyDescent="0.2">
      <c r="A774" s="346" t="s">
        <v>2</v>
      </c>
      <c r="B774" s="346" t="s">
        <v>1</v>
      </c>
      <c r="C774" s="346">
        <v>2759727</v>
      </c>
      <c r="D774" s="346">
        <v>7.0699999999999999E-3</v>
      </c>
      <c r="E774" s="346">
        <v>19511.27</v>
      </c>
    </row>
    <row r="775" spans="1:5" x14ac:dyDescent="0.2">
      <c r="A775" s="346" t="s">
        <v>5</v>
      </c>
      <c r="B775" s="346" t="s">
        <v>1</v>
      </c>
      <c r="C775" s="346">
        <v>8401</v>
      </c>
      <c r="D775" s="346">
        <v>1.1383000000000001</v>
      </c>
      <c r="E775" s="346">
        <v>9562.86</v>
      </c>
    </row>
    <row r="776" spans="1:5" x14ac:dyDescent="0.2">
      <c r="A776" s="346" t="s">
        <v>22</v>
      </c>
      <c r="B776" s="346" t="s">
        <v>37</v>
      </c>
      <c r="C776" s="346">
        <v>2294840</v>
      </c>
      <c r="D776" s="346">
        <v>5.2199999999999998E-3</v>
      </c>
      <c r="E776" s="346">
        <v>11979.06</v>
      </c>
    </row>
    <row r="777" spans="1:5" x14ac:dyDescent="0.2">
      <c r="A777" s="346" t="s">
        <v>24</v>
      </c>
      <c r="B777" s="346" t="s">
        <v>37</v>
      </c>
      <c r="C777" s="346">
        <v>8060</v>
      </c>
      <c r="D777" s="346">
        <v>1.2132000000000001</v>
      </c>
      <c r="E777" s="346">
        <v>9778.39</v>
      </c>
    </row>
    <row r="778" spans="1:5" x14ac:dyDescent="0.2">
      <c r="A778" s="346" t="s">
        <v>13</v>
      </c>
      <c r="B778" s="346" t="s">
        <v>14</v>
      </c>
      <c r="C778" s="346">
        <v>3976</v>
      </c>
      <c r="D778" s="346">
        <v>1.091E-2</v>
      </c>
      <c r="E778" s="346">
        <v>43.38</v>
      </c>
    </row>
    <row r="779" spans="1:5" x14ac:dyDescent="0.2">
      <c r="A779" s="346" t="s">
        <v>15</v>
      </c>
      <c r="B779" s="346" t="s">
        <v>15</v>
      </c>
      <c r="C779" s="346">
        <v>2113966</v>
      </c>
      <c r="D779" s="346">
        <v>1.371E-2</v>
      </c>
      <c r="E779" s="346">
        <v>28982.47</v>
      </c>
    </row>
    <row r="780" spans="1:5" x14ac:dyDescent="0.2">
      <c r="A780" s="346" t="s">
        <v>0</v>
      </c>
      <c r="B780" s="346" t="s">
        <v>1</v>
      </c>
      <c r="C780" s="346">
        <v>621061</v>
      </c>
      <c r="D780" s="346">
        <v>1.091E-2</v>
      </c>
      <c r="E780" s="346">
        <v>6775.78</v>
      </c>
    </row>
    <row r="781" spans="1:5" x14ac:dyDescent="0.2">
      <c r="A781" s="346" t="s">
        <v>2</v>
      </c>
      <c r="B781" s="346" t="s">
        <v>1</v>
      </c>
      <c r="C781" s="346">
        <v>3003371</v>
      </c>
      <c r="D781" s="346">
        <v>7.0699999999999999E-3</v>
      </c>
      <c r="E781" s="346">
        <v>21233.83</v>
      </c>
    </row>
    <row r="782" spans="1:5" x14ac:dyDescent="0.2">
      <c r="A782" s="346" t="s">
        <v>5</v>
      </c>
      <c r="B782" s="346" t="s">
        <v>1</v>
      </c>
      <c r="C782" s="346">
        <v>8512</v>
      </c>
      <c r="D782" s="346">
        <v>1.1383000000000001</v>
      </c>
      <c r="E782" s="346">
        <v>9689.2099999999991</v>
      </c>
    </row>
    <row r="783" spans="1:5" x14ac:dyDescent="0.2">
      <c r="A783" s="346" t="s">
        <v>22</v>
      </c>
      <c r="B783" s="346" t="s">
        <v>37</v>
      </c>
      <c r="C783" s="346">
        <v>2299400</v>
      </c>
      <c r="D783" s="346">
        <v>5.2199999999999998E-3</v>
      </c>
      <c r="E783" s="346">
        <v>12002.87</v>
      </c>
    </row>
    <row r="784" spans="1:5" x14ac:dyDescent="0.2">
      <c r="A784" s="346" t="s">
        <v>24</v>
      </c>
      <c r="B784" s="346" t="s">
        <v>37</v>
      </c>
      <c r="C784" s="346">
        <v>6730</v>
      </c>
      <c r="D784" s="346">
        <v>1.2132000000000001</v>
      </c>
      <c r="E784" s="346">
        <v>8164.84</v>
      </c>
    </row>
    <row r="785" spans="1:5" x14ac:dyDescent="0.2">
      <c r="A785" s="346" t="s">
        <v>13</v>
      </c>
      <c r="B785" s="346" t="s">
        <v>14</v>
      </c>
      <c r="C785" s="346">
        <v>4014</v>
      </c>
      <c r="D785" s="346">
        <v>1.091E-2</v>
      </c>
      <c r="E785" s="346">
        <v>43.79</v>
      </c>
    </row>
    <row r="786" spans="1:5" x14ac:dyDescent="0.2">
      <c r="A786" s="346" t="s">
        <v>15</v>
      </c>
      <c r="B786" s="346" t="s">
        <v>15</v>
      </c>
      <c r="C786" s="346">
        <v>2611690</v>
      </c>
      <c r="D786" s="346">
        <v>1.371E-2</v>
      </c>
      <c r="E786" s="346">
        <v>35806.269999999997</v>
      </c>
    </row>
    <row r="787" spans="1:5" x14ac:dyDescent="0.2">
      <c r="A787" s="346" t="s">
        <v>13</v>
      </c>
      <c r="B787" s="346" t="s">
        <v>14</v>
      </c>
      <c r="C787" s="346">
        <v>17727</v>
      </c>
      <c r="D787" s="346">
        <v>1.091E-2</v>
      </c>
      <c r="E787" s="346">
        <v>193.4</v>
      </c>
    </row>
    <row r="788" spans="1:5" x14ac:dyDescent="0.2">
      <c r="A788" s="346" t="s">
        <v>15</v>
      </c>
      <c r="B788" s="346" t="s">
        <v>15</v>
      </c>
      <c r="C788" s="346">
        <v>2301559</v>
      </c>
      <c r="D788" s="346">
        <v>1.371E-2</v>
      </c>
      <c r="E788" s="346">
        <v>31554.49</v>
      </c>
    </row>
    <row r="789" spans="1:5" x14ac:dyDescent="0.2">
      <c r="A789" s="346" t="s">
        <v>0</v>
      </c>
      <c r="B789" s="346" t="s">
        <v>1</v>
      </c>
      <c r="C789" s="346">
        <v>308682</v>
      </c>
      <c r="D789" s="346">
        <v>1.091E-2</v>
      </c>
      <c r="E789" s="346">
        <v>3367.73</v>
      </c>
    </row>
    <row r="790" spans="1:5" x14ac:dyDescent="0.2">
      <c r="A790" s="346" t="s">
        <v>2</v>
      </c>
      <c r="B790" s="346" t="s">
        <v>1</v>
      </c>
      <c r="C790" s="346">
        <v>1804755</v>
      </c>
      <c r="D790" s="346">
        <v>7.0699999999999999E-3</v>
      </c>
      <c r="E790" s="346">
        <v>12759.65</v>
      </c>
    </row>
    <row r="791" spans="1:5" x14ac:dyDescent="0.2">
      <c r="A791" s="346" t="s">
        <v>5</v>
      </c>
      <c r="B791" s="346" t="s">
        <v>1</v>
      </c>
      <c r="C791" s="346">
        <v>7606.84</v>
      </c>
      <c r="D791" s="346">
        <v>1.1383000000000001</v>
      </c>
      <c r="E791" s="346">
        <v>8658.83</v>
      </c>
    </row>
    <row r="792" spans="1:5" x14ac:dyDescent="0.2">
      <c r="A792" s="346" t="s">
        <v>13</v>
      </c>
      <c r="B792" s="346" t="s">
        <v>14</v>
      </c>
      <c r="C792" s="346">
        <v>17734</v>
      </c>
      <c r="D792" s="346">
        <v>1.091E-2</v>
      </c>
      <c r="E792" s="346">
        <v>193.48</v>
      </c>
    </row>
    <row r="793" spans="1:5" x14ac:dyDescent="0.2">
      <c r="A793" s="346" t="s">
        <v>15</v>
      </c>
      <c r="B793" s="346" t="s">
        <v>15</v>
      </c>
      <c r="C793" s="346">
        <v>2268775</v>
      </c>
      <c r="D793" s="346">
        <v>1.371E-2</v>
      </c>
      <c r="E793" s="346">
        <v>31104.85</v>
      </c>
    </row>
    <row r="794" spans="1:5" x14ac:dyDescent="0.2">
      <c r="A794" s="346" t="s">
        <v>0</v>
      </c>
      <c r="B794" s="346" t="s">
        <v>1</v>
      </c>
      <c r="C794" s="346">
        <v>300040</v>
      </c>
      <c r="D794" s="346">
        <v>1.091E-2</v>
      </c>
      <c r="E794" s="346">
        <v>3273.43</v>
      </c>
    </row>
    <row r="795" spans="1:5" x14ac:dyDescent="0.2">
      <c r="A795" s="346" t="s">
        <v>2</v>
      </c>
      <c r="B795" s="346" t="s">
        <v>1</v>
      </c>
      <c r="C795" s="346">
        <v>1877364</v>
      </c>
      <c r="D795" s="346">
        <v>7.0699999999999999E-3</v>
      </c>
      <c r="E795" s="346">
        <v>13272.97</v>
      </c>
    </row>
    <row r="796" spans="1:5" x14ac:dyDescent="0.2">
      <c r="A796" s="346" t="s">
        <v>5</v>
      </c>
      <c r="B796" s="346" t="s">
        <v>1</v>
      </c>
      <c r="C796" s="346">
        <v>6973.28</v>
      </c>
      <c r="D796" s="346">
        <v>1.1383000000000001</v>
      </c>
      <c r="E796" s="346">
        <v>7937.68</v>
      </c>
    </row>
    <row r="797" spans="1:5" x14ac:dyDescent="0.2">
      <c r="A797" s="346" t="s">
        <v>13</v>
      </c>
      <c r="B797" s="346" t="s">
        <v>14</v>
      </c>
      <c r="C797" s="346">
        <v>17733</v>
      </c>
      <c r="D797" s="346">
        <v>1.091E-2</v>
      </c>
      <c r="E797" s="346">
        <v>193.47</v>
      </c>
    </row>
    <row r="798" spans="1:5" x14ac:dyDescent="0.2">
      <c r="A798" s="346" t="s">
        <v>15</v>
      </c>
      <c r="B798" s="346" t="s">
        <v>15</v>
      </c>
      <c r="C798" s="346">
        <v>2154242</v>
      </c>
      <c r="D798" s="346">
        <v>1.371E-2</v>
      </c>
      <c r="E798" s="346">
        <v>29534.73</v>
      </c>
    </row>
    <row r="799" spans="1:5" x14ac:dyDescent="0.2">
      <c r="A799" s="346" t="s">
        <v>0</v>
      </c>
      <c r="B799" s="346" t="s">
        <v>1</v>
      </c>
      <c r="C799" s="346">
        <v>250388</v>
      </c>
      <c r="D799" s="346">
        <v>1.09097E-2</v>
      </c>
      <c r="E799" s="346">
        <v>2731.67</v>
      </c>
    </row>
    <row r="800" spans="1:5" x14ac:dyDescent="0.2">
      <c r="A800" s="346" t="s">
        <v>2</v>
      </c>
      <c r="B800" s="346" t="s">
        <v>1</v>
      </c>
      <c r="C800" s="346">
        <v>1961805</v>
      </c>
      <c r="D800" s="346">
        <v>7.0699999999999999E-3</v>
      </c>
      <c r="E800" s="346">
        <v>13870</v>
      </c>
    </row>
    <row r="801" spans="1:5" x14ac:dyDescent="0.2">
      <c r="A801" s="346" t="s">
        <v>5</v>
      </c>
      <c r="B801" s="346" t="s">
        <v>1</v>
      </c>
      <c r="C801" s="346">
        <v>7374.01</v>
      </c>
      <c r="D801" s="346">
        <v>1.1383046999999999</v>
      </c>
      <c r="E801" s="346">
        <v>8393.8700000000008</v>
      </c>
    </row>
    <row r="802" spans="1:5" x14ac:dyDescent="0.2">
      <c r="A802" s="346" t="s">
        <v>5</v>
      </c>
      <c r="B802" s="346" t="s">
        <v>1</v>
      </c>
      <c r="C802" s="346">
        <v>7450.97</v>
      </c>
      <c r="D802" s="346">
        <v>1.1382988000000001</v>
      </c>
      <c r="E802" s="346">
        <v>8481.43</v>
      </c>
    </row>
    <row r="803" spans="1:5" x14ac:dyDescent="0.2">
      <c r="A803" s="346" t="s">
        <v>13</v>
      </c>
      <c r="B803" s="346" t="s">
        <v>14</v>
      </c>
      <c r="C803" s="346">
        <v>17719</v>
      </c>
      <c r="D803" s="346">
        <v>1.091E-2</v>
      </c>
      <c r="E803" s="346">
        <v>193.31</v>
      </c>
    </row>
    <row r="804" spans="1:5" x14ac:dyDescent="0.2">
      <c r="A804" s="346" t="s">
        <v>2</v>
      </c>
      <c r="B804" s="346" t="s">
        <v>1</v>
      </c>
      <c r="C804" s="346">
        <v>2008657</v>
      </c>
      <c r="D804" s="346">
        <v>7.0699999999999999E-3</v>
      </c>
      <c r="E804" s="346">
        <v>14201.18</v>
      </c>
    </row>
    <row r="805" spans="1:5" x14ac:dyDescent="0.2">
      <c r="A805" s="346" t="s">
        <v>0</v>
      </c>
      <c r="B805" s="346" t="s">
        <v>1</v>
      </c>
      <c r="C805" s="346">
        <v>225662</v>
      </c>
      <c r="D805" s="346">
        <v>1.09099E-2</v>
      </c>
      <c r="E805" s="346">
        <v>2461.96</v>
      </c>
    </row>
    <row r="806" spans="1:5" x14ac:dyDescent="0.2">
      <c r="A806" s="346" t="s">
        <v>15</v>
      </c>
      <c r="B806" s="346" t="s">
        <v>15</v>
      </c>
      <c r="C806" s="346">
        <v>1905853</v>
      </c>
      <c r="D806" s="346">
        <v>1.3710099999999999E-2</v>
      </c>
      <c r="E806" s="346">
        <v>26129.35</v>
      </c>
    </row>
    <row r="807" spans="1:5" x14ac:dyDescent="0.2">
      <c r="A807" s="346" t="s">
        <v>15</v>
      </c>
      <c r="B807" s="346" t="s">
        <v>15</v>
      </c>
      <c r="C807" s="346">
        <v>1841358</v>
      </c>
      <c r="D807" s="346">
        <v>1.3710099999999999E-2</v>
      </c>
      <c r="E807" s="346">
        <v>25245.25</v>
      </c>
    </row>
    <row r="808" spans="1:5" x14ac:dyDescent="0.2">
      <c r="A808" s="346" t="s">
        <v>2</v>
      </c>
      <c r="B808" s="346" t="s">
        <v>1</v>
      </c>
      <c r="C808" s="346">
        <v>1919423</v>
      </c>
      <c r="D808" s="346">
        <v>7.0699999999999999E-3</v>
      </c>
      <c r="E808" s="346">
        <v>13570.33</v>
      </c>
    </row>
    <row r="809" spans="1:5" x14ac:dyDescent="0.2">
      <c r="A809" s="346" t="s">
        <v>5</v>
      </c>
      <c r="B809" s="346" t="s">
        <v>1</v>
      </c>
      <c r="C809" s="346">
        <v>7466.63</v>
      </c>
      <c r="D809" s="346">
        <v>1.138298</v>
      </c>
      <c r="E809" s="346">
        <v>8499.25</v>
      </c>
    </row>
    <row r="810" spans="1:5" x14ac:dyDescent="0.2">
      <c r="A810" s="346" t="s">
        <v>13</v>
      </c>
      <c r="B810" s="346" t="s">
        <v>14</v>
      </c>
      <c r="C810" s="346">
        <v>17789</v>
      </c>
      <c r="D810" s="346">
        <v>1.091E-2</v>
      </c>
      <c r="E810" s="346">
        <v>194.08</v>
      </c>
    </row>
    <row r="811" spans="1:5" x14ac:dyDescent="0.2">
      <c r="A811" s="346" t="s">
        <v>0</v>
      </c>
      <c r="B811" s="346" t="s">
        <v>1</v>
      </c>
      <c r="C811" s="346">
        <v>217428</v>
      </c>
      <c r="D811" s="346">
        <v>1.09097E-2</v>
      </c>
      <c r="E811" s="346">
        <v>2372.08</v>
      </c>
    </row>
    <row r="812" spans="1:5" x14ac:dyDescent="0.2">
      <c r="A812" s="346" t="s">
        <v>15</v>
      </c>
      <c r="B812" s="346" t="s">
        <v>15</v>
      </c>
      <c r="C812" s="346">
        <v>2342253</v>
      </c>
      <c r="D812" s="346">
        <v>1.3709900000000001E-2</v>
      </c>
      <c r="E812" s="346">
        <v>32112.09</v>
      </c>
    </row>
    <row r="813" spans="1:5" x14ac:dyDescent="0.2">
      <c r="A813" s="346" t="s">
        <v>0</v>
      </c>
      <c r="B813" s="346" t="s">
        <v>1</v>
      </c>
      <c r="C813" s="346">
        <v>252977</v>
      </c>
      <c r="D813" s="346">
        <v>1.0909800000000001E-2</v>
      </c>
      <c r="E813" s="346">
        <v>2759.92</v>
      </c>
    </row>
    <row r="814" spans="1:5" x14ac:dyDescent="0.2">
      <c r="A814" s="346" t="s">
        <v>2</v>
      </c>
      <c r="B814" s="346" t="s">
        <v>1</v>
      </c>
      <c r="C814" s="346">
        <v>2219299</v>
      </c>
      <c r="D814" s="346">
        <v>7.0699999999999999E-3</v>
      </c>
      <c r="E814" s="346">
        <v>15690.42</v>
      </c>
    </row>
    <row r="815" spans="1:5" x14ac:dyDescent="0.2">
      <c r="A815" s="346" t="s">
        <v>5</v>
      </c>
      <c r="B815" s="346" t="s">
        <v>1</v>
      </c>
      <c r="C815" s="346">
        <v>7719.96</v>
      </c>
      <c r="D815" s="346">
        <v>1.1382985999999999</v>
      </c>
      <c r="E815" s="346">
        <v>8787.6200000000008</v>
      </c>
    </row>
    <row r="816" spans="1:5" x14ac:dyDescent="0.2">
      <c r="A816" s="346" t="s">
        <v>13</v>
      </c>
      <c r="B816" s="346" t="s">
        <v>14</v>
      </c>
      <c r="C816" s="346">
        <v>17843</v>
      </c>
      <c r="D816" s="346">
        <v>1.091E-2</v>
      </c>
      <c r="E816" s="346">
        <v>194.67</v>
      </c>
    </row>
    <row r="817" spans="1:5" x14ac:dyDescent="0.2">
      <c r="A817" s="346" t="s">
        <v>2</v>
      </c>
      <c r="B817" s="346" t="s">
        <v>1</v>
      </c>
      <c r="C817" s="346">
        <v>2128600</v>
      </c>
      <c r="D817" s="346">
        <v>7.0699999999999999E-3</v>
      </c>
      <c r="E817" s="346">
        <v>15049.23</v>
      </c>
    </row>
    <row r="818" spans="1:5" x14ac:dyDescent="0.2">
      <c r="A818" s="346" t="s">
        <v>5</v>
      </c>
      <c r="B818" s="346" t="s">
        <v>1</v>
      </c>
      <c r="C818" s="346">
        <v>7688.72</v>
      </c>
      <c r="D818" s="346">
        <v>1.1382973999999999</v>
      </c>
      <c r="E818" s="346">
        <v>8752.0499999999993</v>
      </c>
    </row>
    <row r="819" spans="1:5" x14ac:dyDescent="0.2">
      <c r="A819" s="346" t="s">
        <v>0</v>
      </c>
      <c r="B819" s="346" t="s">
        <v>1</v>
      </c>
      <c r="C819" s="346">
        <v>290057</v>
      </c>
      <c r="D819" s="346">
        <v>1.0910100000000001E-2</v>
      </c>
      <c r="E819" s="346">
        <v>3164.54</v>
      </c>
    </row>
    <row r="820" spans="1:5" x14ac:dyDescent="0.2">
      <c r="A820" s="346" t="s">
        <v>15</v>
      </c>
      <c r="B820" s="346" t="s">
        <v>15</v>
      </c>
      <c r="C820" s="346">
        <v>2657070</v>
      </c>
      <c r="D820" s="346">
        <v>1.371E-2</v>
      </c>
      <c r="E820" s="346">
        <v>36428.400000000001</v>
      </c>
    </row>
    <row r="821" spans="1:5" x14ac:dyDescent="0.2">
      <c r="A821" s="346" t="s">
        <v>13</v>
      </c>
      <c r="B821" s="346" t="s">
        <v>14</v>
      </c>
      <c r="C821" s="346">
        <v>17739</v>
      </c>
      <c r="D821" s="346">
        <v>1.091E-2</v>
      </c>
      <c r="E821" s="346">
        <v>193.53</v>
      </c>
    </row>
    <row r="822" spans="1:5" x14ac:dyDescent="0.2">
      <c r="A822" s="346" t="s">
        <v>15</v>
      </c>
      <c r="B822" s="346" t="s">
        <v>15</v>
      </c>
      <c r="C822" s="346">
        <v>2008451</v>
      </c>
      <c r="D822" s="346">
        <v>1.371E-2</v>
      </c>
      <c r="E822" s="346">
        <v>27535.86</v>
      </c>
    </row>
    <row r="823" spans="1:5" x14ac:dyDescent="0.2">
      <c r="A823" s="346" t="s">
        <v>0</v>
      </c>
      <c r="B823" s="346" t="s">
        <v>1</v>
      </c>
      <c r="C823" s="346">
        <v>237481</v>
      </c>
      <c r="D823" s="346">
        <v>1.0910100000000001E-2</v>
      </c>
      <c r="E823" s="346">
        <v>2590.94</v>
      </c>
    </row>
    <row r="824" spans="1:5" x14ac:dyDescent="0.2">
      <c r="A824" s="346" t="s">
        <v>5</v>
      </c>
      <c r="B824" s="346" t="s">
        <v>1</v>
      </c>
      <c r="C824" s="346">
        <v>7320.93</v>
      </c>
      <c r="D824" s="346">
        <v>1.1382973999999999</v>
      </c>
      <c r="E824" s="346">
        <v>8333.4</v>
      </c>
    </row>
    <row r="825" spans="1:5" x14ac:dyDescent="0.2">
      <c r="A825" s="346" t="s">
        <v>2</v>
      </c>
      <c r="B825" s="346" t="s">
        <v>1</v>
      </c>
      <c r="C825" s="346">
        <v>1974575</v>
      </c>
      <c r="D825" s="346">
        <v>7.0699999999999999E-3</v>
      </c>
      <c r="E825" s="346">
        <v>13960.25</v>
      </c>
    </row>
    <row r="826" spans="1:5" x14ac:dyDescent="0.2">
      <c r="A826" s="346" t="s">
        <v>13</v>
      </c>
      <c r="B826" s="346" t="s">
        <v>14</v>
      </c>
      <c r="C826" s="346">
        <v>17772</v>
      </c>
      <c r="D826" s="346">
        <v>1.091E-2</v>
      </c>
      <c r="E826" s="346">
        <v>193.89</v>
      </c>
    </row>
    <row r="827" spans="1:5" x14ac:dyDescent="0.2">
      <c r="A827" s="346" t="s">
        <v>13</v>
      </c>
      <c r="B827" s="346" t="s">
        <v>14</v>
      </c>
      <c r="C827" s="346">
        <v>17809</v>
      </c>
      <c r="D827" s="346">
        <v>1.091E-2</v>
      </c>
      <c r="E827" s="346">
        <v>194.3</v>
      </c>
    </row>
    <row r="828" spans="1:5" x14ac:dyDescent="0.2">
      <c r="A828" s="346" t="s">
        <v>5</v>
      </c>
      <c r="B828" s="346" t="s">
        <v>1</v>
      </c>
      <c r="C828" s="346">
        <v>7218.37</v>
      </c>
      <c r="D828" s="346">
        <v>1.1382943999999999</v>
      </c>
      <c r="E828" s="346">
        <v>8216.6299999999992</v>
      </c>
    </row>
    <row r="829" spans="1:5" ht="12.75" customHeight="1" x14ac:dyDescent="0.25">
      <c r="A829" s="346" t="s">
        <v>2</v>
      </c>
      <c r="B829" s="346" t="s">
        <v>1</v>
      </c>
      <c r="C829" s="202">
        <v>1948816</v>
      </c>
      <c r="D829" s="347">
        <v>7.0699999999999999E-3</v>
      </c>
      <c r="E829" s="202">
        <v>13778.11</v>
      </c>
    </row>
    <row r="830" spans="1:5" x14ac:dyDescent="0.2">
      <c r="A830" s="346" t="s">
        <v>0</v>
      </c>
      <c r="B830" s="346" t="s">
        <v>1</v>
      </c>
      <c r="C830" s="346">
        <v>214630</v>
      </c>
      <c r="D830" s="346">
        <v>1.09094E-2</v>
      </c>
      <c r="E830" s="346">
        <v>2341.48</v>
      </c>
    </row>
    <row r="831" spans="1:5" x14ac:dyDescent="0.2">
      <c r="A831" s="346" t="s">
        <v>15</v>
      </c>
      <c r="B831" s="346" t="s">
        <v>15</v>
      </c>
      <c r="C831" s="346">
        <v>1833394</v>
      </c>
      <c r="D831" s="346">
        <v>1.3709900000000001E-2</v>
      </c>
      <c r="E831" s="346">
        <v>25135.72</v>
      </c>
    </row>
    <row r="832" spans="1:5" x14ac:dyDescent="0.2">
      <c r="A832" s="346" t="s">
        <v>5</v>
      </c>
      <c r="B832" s="346" t="s">
        <v>1</v>
      </c>
      <c r="C832" s="346">
        <v>7173.3</v>
      </c>
      <c r="D832" s="346">
        <v>1.1382962000000001</v>
      </c>
      <c r="E832" s="346">
        <v>8165.34</v>
      </c>
    </row>
    <row r="833" spans="1:5" x14ac:dyDescent="0.2">
      <c r="A833" s="346" t="s">
        <v>13</v>
      </c>
      <c r="B833" s="346" t="s">
        <v>14</v>
      </c>
      <c r="C833" s="346">
        <v>17739</v>
      </c>
      <c r="D833" s="346">
        <v>1.091E-2</v>
      </c>
      <c r="E833" s="346">
        <v>193.53</v>
      </c>
    </row>
    <row r="834" spans="1:5" x14ac:dyDescent="0.2">
      <c r="A834" s="346" t="s">
        <v>2</v>
      </c>
      <c r="B834" s="346" t="s">
        <v>1</v>
      </c>
      <c r="C834" s="346">
        <v>1777986</v>
      </c>
      <c r="D834" s="346">
        <v>7.0699999999999999E-3</v>
      </c>
      <c r="E834" s="346">
        <v>12570.35</v>
      </c>
    </row>
    <row r="835" spans="1:5" x14ac:dyDescent="0.2">
      <c r="A835" s="346" t="s">
        <v>15</v>
      </c>
      <c r="B835" s="346" t="s">
        <v>15</v>
      </c>
      <c r="C835" s="346">
        <v>1853060</v>
      </c>
      <c r="D835" s="346">
        <v>1.3710099999999999E-2</v>
      </c>
      <c r="E835" s="346">
        <v>25405.55</v>
      </c>
    </row>
    <row r="836" spans="1:5" x14ac:dyDescent="0.2">
      <c r="A836" s="346" t="s">
        <v>0</v>
      </c>
      <c r="B836" s="346" t="s">
        <v>1</v>
      </c>
      <c r="C836" s="346">
        <v>213778</v>
      </c>
      <c r="D836" s="346">
        <v>1.091E-2</v>
      </c>
      <c r="E836" s="346">
        <v>2332.31</v>
      </c>
    </row>
    <row r="837" spans="1:5" x14ac:dyDescent="0.2">
      <c r="A837" s="346" t="s">
        <v>13</v>
      </c>
      <c r="B837" s="346" t="s">
        <v>14</v>
      </c>
      <c r="C837" s="346">
        <v>18237</v>
      </c>
      <c r="D837" s="346">
        <v>1.091E-2</v>
      </c>
      <c r="E837" s="346">
        <v>198.97</v>
      </c>
    </row>
    <row r="838" spans="1:5" x14ac:dyDescent="0.2">
      <c r="A838" s="346" t="s">
        <v>5</v>
      </c>
      <c r="B838" s="346" t="s">
        <v>1</v>
      </c>
      <c r="C838" s="346">
        <v>7121.71</v>
      </c>
      <c r="D838" s="346">
        <v>1.1383011000000001</v>
      </c>
      <c r="E838" s="346">
        <v>8106.65</v>
      </c>
    </row>
    <row r="839" spans="1:5" x14ac:dyDescent="0.2">
      <c r="A839" s="346" t="s">
        <v>2</v>
      </c>
      <c r="B839" s="346" t="s">
        <v>1</v>
      </c>
      <c r="C839" s="346">
        <v>1940657</v>
      </c>
      <c r="D839" s="346">
        <v>7.0699999999999999E-3</v>
      </c>
      <c r="E839" s="346">
        <v>13720.46</v>
      </c>
    </row>
    <row r="840" spans="1:5" x14ac:dyDescent="0.2">
      <c r="A840" s="346" t="s">
        <v>0</v>
      </c>
      <c r="B840" s="346" t="s">
        <v>1</v>
      </c>
      <c r="C840" s="346">
        <v>271172</v>
      </c>
      <c r="D840" s="346">
        <v>1.091E-2</v>
      </c>
      <c r="E840" s="346">
        <v>2958.48</v>
      </c>
    </row>
    <row r="841" spans="1:5" x14ac:dyDescent="0.2">
      <c r="A841" s="346" t="s">
        <v>15</v>
      </c>
      <c r="B841" s="346" t="s">
        <v>15</v>
      </c>
      <c r="C841" s="346">
        <v>2222497</v>
      </c>
      <c r="D841" s="346">
        <v>1.3712800000000001E-2</v>
      </c>
      <c r="E841" s="346">
        <v>30476.74</v>
      </c>
    </row>
    <row r="842" spans="1:5" x14ac:dyDescent="0.2">
      <c r="A842" s="346" t="s">
        <v>5</v>
      </c>
      <c r="B842" s="346" t="s">
        <v>1</v>
      </c>
      <c r="C842" s="346">
        <v>7422</v>
      </c>
      <c r="D842" s="346">
        <v>1.1383011000000001</v>
      </c>
      <c r="E842" s="346">
        <v>8448.4699999999993</v>
      </c>
    </row>
    <row r="843" spans="1:5" x14ac:dyDescent="0.2">
      <c r="A843" s="346" t="s">
        <v>13</v>
      </c>
      <c r="B843" s="346" t="s">
        <v>14</v>
      </c>
      <c r="C843" s="346">
        <v>17895</v>
      </c>
      <c r="D843" s="346">
        <v>1.091E-2</v>
      </c>
      <c r="E843" s="346">
        <v>195.23</v>
      </c>
    </row>
    <row r="844" spans="1:5" x14ac:dyDescent="0.2">
      <c r="A844" s="346" t="s">
        <v>2</v>
      </c>
      <c r="B844" s="346" t="s">
        <v>1</v>
      </c>
      <c r="C844" s="346">
        <v>2092171</v>
      </c>
      <c r="D844" s="346">
        <v>7.0699999999999999E-3</v>
      </c>
      <c r="E844" s="346">
        <v>14791.64</v>
      </c>
    </row>
    <row r="845" spans="1:5" x14ac:dyDescent="0.2">
      <c r="A845" s="346" t="s">
        <v>0</v>
      </c>
      <c r="B845" s="346" t="s">
        <v>1</v>
      </c>
      <c r="C845" s="346">
        <v>317718</v>
      </c>
      <c r="D845" s="346">
        <v>1.09096E-2</v>
      </c>
      <c r="E845" s="346">
        <v>3466.17</v>
      </c>
    </row>
    <row r="846" spans="1:5" x14ac:dyDescent="0.2">
      <c r="A846" s="346" t="s">
        <v>15</v>
      </c>
      <c r="B846" s="346" t="s">
        <v>15</v>
      </c>
      <c r="C846" s="346">
        <v>2653211</v>
      </c>
      <c r="D846" s="346">
        <v>1.3710099999999999E-2</v>
      </c>
      <c r="E846" s="346">
        <v>36375.68</v>
      </c>
    </row>
    <row r="847" spans="1:5" x14ac:dyDescent="0.2">
      <c r="A847" s="346" t="s">
        <v>0</v>
      </c>
      <c r="B847" s="346" t="s">
        <v>1</v>
      </c>
      <c r="C847" s="346">
        <v>6005882</v>
      </c>
      <c r="D847" s="346">
        <v>1.091E-2</v>
      </c>
      <c r="E847" s="346">
        <v>65524.17</v>
      </c>
    </row>
    <row r="848" spans="1:5" x14ac:dyDescent="0.2">
      <c r="A848" s="346" t="s">
        <v>2</v>
      </c>
      <c r="B848" s="346" t="s">
        <v>1</v>
      </c>
      <c r="C848" s="346">
        <v>5697348</v>
      </c>
      <c r="D848" s="346">
        <v>7.0699999999999999E-3</v>
      </c>
      <c r="E848" s="346">
        <v>40280.25</v>
      </c>
    </row>
    <row r="849" spans="1:5" x14ac:dyDescent="0.2">
      <c r="A849" s="346" t="s">
        <v>5</v>
      </c>
      <c r="B849" s="346" t="s">
        <v>1</v>
      </c>
      <c r="C849" s="346">
        <v>1897</v>
      </c>
      <c r="D849" s="346">
        <v>1.1384000000000001</v>
      </c>
      <c r="E849" s="346">
        <v>2159.5500000000002</v>
      </c>
    </row>
    <row r="850" spans="1:5" x14ac:dyDescent="0.2">
      <c r="A850" s="346" t="s">
        <v>20</v>
      </c>
      <c r="B850" s="346" t="s">
        <v>37</v>
      </c>
      <c r="C850" s="346">
        <v>1183926</v>
      </c>
      <c r="D850" s="346">
        <v>7.7000000000000002E-3</v>
      </c>
      <c r="E850" s="346">
        <v>9116.23</v>
      </c>
    </row>
    <row r="851" spans="1:5" x14ac:dyDescent="0.2">
      <c r="A851" s="346" t="s">
        <v>22</v>
      </c>
      <c r="B851" s="346" t="s">
        <v>37</v>
      </c>
      <c r="C851" s="346">
        <v>7949701</v>
      </c>
      <c r="D851" s="346">
        <v>5.2199999999999998E-3</v>
      </c>
      <c r="E851" s="346">
        <v>41497.440000000002</v>
      </c>
    </row>
    <row r="852" spans="1:5" x14ac:dyDescent="0.2">
      <c r="A852" s="346" t="s">
        <v>24</v>
      </c>
      <c r="B852" s="346" t="s">
        <v>37</v>
      </c>
      <c r="C852" s="346">
        <v>29174</v>
      </c>
      <c r="D852" s="346">
        <v>1.2131799999999999</v>
      </c>
      <c r="E852" s="346">
        <v>35393.379999999997</v>
      </c>
    </row>
    <row r="853" spans="1:5" x14ac:dyDescent="0.2">
      <c r="A853" s="346" t="s">
        <v>13</v>
      </c>
      <c r="B853" s="346" t="s">
        <v>14</v>
      </c>
      <c r="C853" s="346">
        <v>129102</v>
      </c>
      <c r="D853" s="346">
        <v>1.091E-2</v>
      </c>
      <c r="E853" s="346">
        <v>1408.5</v>
      </c>
    </row>
    <row r="854" spans="1:5" x14ac:dyDescent="0.2">
      <c r="A854" s="346" t="s">
        <v>15</v>
      </c>
      <c r="B854" s="346" t="s">
        <v>15</v>
      </c>
      <c r="C854" s="346">
        <v>22604494</v>
      </c>
      <c r="D854" s="346">
        <v>1.371E-2</v>
      </c>
      <c r="E854" s="346">
        <v>309907.61</v>
      </c>
    </row>
    <row r="855" spans="1:5" x14ac:dyDescent="0.2">
      <c r="A855" s="346" t="s">
        <v>13</v>
      </c>
      <c r="B855" s="346" t="s">
        <v>14</v>
      </c>
      <c r="C855" s="346">
        <v>129473</v>
      </c>
      <c r="D855" s="346">
        <v>1.091E-2</v>
      </c>
      <c r="E855" s="346">
        <v>1412.55</v>
      </c>
    </row>
    <row r="856" spans="1:5" x14ac:dyDescent="0.2">
      <c r="A856" s="346" t="s">
        <v>24</v>
      </c>
      <c r="B856" s="346" t="s">
        <v>37</v>
      </c>
      <c r="C856" s="346">
        <v>29017</v>
      </c>
      <c r="D856" s="346">
        <v>1.2131974000000001</v>
      </c>
      <c r="E856" s="346">
        <v>35203.35</v>
      </c>
    </row>
    <row r="857" spans="1:5" x14ac:dyDescent="0.2">
      <c r="A857" s="346" t="s">
        <v>22</v>
      </c>
      <c r="B857" s="346" t="s">
        <v>37</v>
      </c>
      <c r="C857" s="346">
        <v>7249546</v>
      </c>
      <c r="D857" s="346">
        <v>5.2199999999999998E-3</v>
      </c>
      <c r="E857" s="346">
        <v>37842.629999999997</v>
      </c>
    </row>
    <row r="858" spans="1:5" x14ac:dyDescent="0.2">
      <c r="A858" s="346" t="s">
        <v>20</v>
      </c>
      <c r="B858" s="346" t="s">
        <v>37</v>
      </c>
      <c r="C858" s="346">
        <v>576844</v>
      </c>
      <c r="D858" s="346">
        <v>7.7000000000000002E-3</v>
      </c>
      <c r="E858" s="346">
        <v>4441.7</v>
      </c>
    </row>
    <row r="859" spans="1:5" x14ac:dyDescent="0.2">
      <c r="A859" s="346" t="s">
        <v>5</v>
      </c>
      <c r="B859" s="346" t="s">
        <v>1</v>
      </c>
      <c r="C859" s="346">
        <v>1878</v>
      </c>
      <c r="D859" s="346">
        <v>1.1380511</v>
      </c>
      <c r="E859" s="346">
        <v>2137.2600000000002</v>
      </c>
    </row>
    <row r="860" spans="1:5" x14ac:dyDescent="0.2">
      <c r="A860" s="346" t="s">
        <v>2</v>
      </c>
      <c r="B860" s="346" t="s">
        <v>1</v>
      </c>
      <c r="C860" s="346">
        <v>5307612</v>
      </c>
      <c r="D860" s="346">
        <v>7.0699999999999999E-3</v>
      </c>
      <c r="E860" s="346">
        <v>37524.82</v>
      </c>
    </row>
    <row r="861" spans="1:5" x14ac:dyDescent="0.2">
      <c r="A861" s="346" t="s">
        <v>15</v>
      </c>
      <c r="B861" s="346" t="s">
        <v>15</v>
      </c>
      <c r="C861" s="346">
        <v>19672465</v>
      </c>
      <c r="D861" s="346">
        <v>1.371E-2</v>
      </c>
      <c r="E861" s="346">
        <v>269709.49</v>
      </c>
    </row>
    <row r="862" spans="1:5" x14ac:dyDescent="0.2">
      <c r="A862" s="346" t="s">
        <v>0</v>
      </c>
      <c r="B862" s="346" t="s">
        <v>1</v>
      </c>
      <c r="C862" s="346">
        <v>5682555</v>
      </c>
      <c r="D862" s="346">
        <v>1.091E-2</v>
      </c>
      <c r="E862" s="346">
        <v>61996.68</v>
      </c>
    </row>
    <row r="863" spans="1:5" ht="12.75" customHeight="1" x14ac:dyDescent="0.25">
      <c r="A863" s="346" t="s">
        <v>0</v>
      </c>
      <c r="B863" s="346" t="s">
        <v>1</v>
      </c>
      <c r="C863" s="202">
        <v>6655288</v>
      </c>
      <c r="D863" s="347">
        <v>1.091E-2</v>
      </c>
      <c r="E863" s="202">
        <v>72609.19</v>
      </c>
    </row>
    <row r="864" spans="1:5" x14ac:dyDescent="0.2">
      <c r="A864" s="346" t="s">
        <v>2</v>
      </c>
      <c r="B864" s="346" t="s">
        <v>1</v>
      </c>
      <c r="C864" s="346">
        <v>5317690</v>
      </c>
      <c r="D864" s="346">
        <v>7.0699999999999999E-3</v>
      </c>
      <c r="E864" s="346">
        <v>37596.07</v>
      </c>
    </row>
    <row r="865" spans="1:5" x14ac:dyDescent="0.2">
      <c r="A865" s="346" t="s">
        <v>5</v>
      </c>
      <c r="B865" s="346" t="s">
        <v>1</v>
      </c>
      <c r="C865" s="346">
        <v>1874</v>
      </c>
      <c r="D865" s="346">
        <v>1.1385752</v>
      </c>
      <c r="E865" s="346">
        <v>2133.69</v>
      </c>
    </row>
    <row r="866" spans="1:5" x14ac:dyDescent="0.2">
      <c r="A866" s="346" t="s">
        <v>20</v>
      </c>
      <c r="B866" s="346" t="s">
        <v>37</v>
      </c>
      <c r="C866" s="346">
        <v>183769</v>
      </c>
      <c r="D866" s="346">
        <v>7.7000000000000002E-3</v>
      </c>
      <c r="E866" s="346">
        <v>1415.02</v>
      </c>
    </row>
    <row r="867" spans="1:5" x14ac:dyDescent="0.2">
      <c r="A867" s="346" t="s">
        <v>22</v>
      </c>
      <c r="B867" s="346" t="s">
        <v>37</v>
      </c>
      <c r="C867" s="346">
        <v>7933519</v>
      </c>
      <c r="D867" s="346">
        <v>5.2199999999999998E-3</v>
      </c>
      <c r="E867" s="346">
        <v>41412.97</v>
      </c>
    </row>
    <row r="868" spans="1:5" x14ac:dyDescent="0.2">
      <c r="A868" s="346" t="s">
        <v>24</v>
      </c>
      <c r="B868" s="346" t="s">
        <v>37</v>
      </c>
      <c r="C868" s="346">
        <v>28831</v>
      </c>
      <c r="D868" s="346">
        <v>1.2132007</v>
      </c>
      <c r="E868" s="346">
        <v>34977.79</v>
      </c>
    </row>
    <row r="869" spans="1:5" x14ac:dyDescent="0.2">
      <c r="A869" s="346" t="s">
        <v>13</v>
      </c>
      <c r="B869" s="346" t="s">
        <v>14</v>
      </c>
      <c r="C869" s="346">
        <v>129660</v>
      </c>
      <c r="D869" s="346">
        <v>1.091E-2</v>
      </c>
      <c r="E869" s="346">
        <v>1414.59</v>
      </c>
    </row>
    <row r="870" spans="1:5" x14ac:dyDescent="0.2">
      <c r="A870" s="346" t="s">
        <v>15</v>
      </c>
      <c r="B870" s="346" t="s">
        <v>15</v>
      </c>
      <c r="C870" s="346">
        <v>19763627</v>
      </c>
      <c r="D870" s="346">
        <v>1.371E-2</v>
      </c>
      <c r="E870" s="346">
        <v>270959.32</v>
      </c>
    </row>
    <row r="871" spans="1:5" x14ac:dyDescent="0.2">
      <c r="A871" s="346" t="s">
        <v>15</v>
      </c>
      <c r="B871" s="346" t="s">
        <v>15</v>
      </c>
      <c r="C871" s="346">
        <v>16682670</v>
      </c>
      <c r="D871" s="346">
        <v>1.371E-2</v>
      </c>
      <c r="E871" s="346">
        <v>228719.41</v>
      </c>
    </row>
    <row r="872" spans="1:5" x14ac:dyDescent="0.2">
      <c r="A872" s="346" t="s">
        <v>0</v>
      </c>
      <c r="B872" s="346" t="s">
        <v>1</v>
      </c>
      <c r="C872" s="346">
        <v>5418659</v>
      </c>
      <c r="D872" s="346">
        <v>1.091E-2</v>
      </c>
      <c r="E872" s="346">
        <v>59117.57</v>
      </c>
    </row>
    <row r="873" spans="1:5" x14ac:dyDescent="0.2">
      <c r="A873" s="346" t="s">
        <v>2</v>
      </c>
      <c r="B873" s="346" t="s">
        <v>1</v>
      </c>
      <c r="C873" s="346">
        <v>5058908</v>
      </c>
      <c r="D873" s="346">
        <v>7.0699999999999999E-3</v>
      </c>
      <c r="E873" s="346">
        <v>35766.480000000003</v>
      </c>
    </row>
    <row r="874" spans="1:5" x14ac:dyDescent="0.2">
      <c r="A874" s="346" t="s">
        <v>5</v>
      </c>
      <c r="B874" s="346" t="s">
        <v>1</v>
      </c>
      <c r="C874" s="346">
        <v>1880</v>
      </c>
      <c r="D874" s="346">
        <v>1.1383776999999999</v>
      </c>
      <c r="E874" s="346">
        <v>2140.15</v>
      </c>
    </row>
    <row r="875" spans="1:5" x14ac:dyDescent="0.2">
      <c r="A875" s="346" t="s">
        <v>20</v>
      </c>
      <c r="B875" s="346" t="s">
        <v>37</v>
      </c>
      <c r="C875" s="346">
        <v>74719</v>
      </c>
      <c r="D875" s="346">
        <v>7.7000000000000002E-3</v>
      </c>
      <c r="E875" s="346">
        <v>575.34</v>
      </c>
    </row>
    <row r="876" spans="1:5" x14ac:dyDescent="0.2">
      <c r="A876" s="346" t="s">
        <v>22</v>
      </c>
      <c r="B876" s="346" t="s">
        <v>37</v>
      </c>
      <c r="C876" s="346">
        <v>7338722</v>
      </c>
      <c r="D876" s="346">
        <v>5.2199999999999998E-3</v>
      </c>
      <c r="E876" s="346">
        <v>38308.129999999997</v>
      </c>
    </row>
    <row r="877" spans="1:5" x14ac:dyDescent="0.2">
      <c r="A877" s="346" t="s">
        <v>13</v>
      </c>
      <c r="B877" s="346" t="s">
        <v>14</v>
      </c>
      <c r="C877" s="346">
        <v>128878</v>
      </c>
      <c r="D877" s="346">
        <v>1.091E-2</v>
      </c>
      <c r="E877" s="346">
        <v>1406.06</v>
      </c>
    </row>
    <row r="878" spans="1:5" x14ac:dyDescent="0.2">
      <c r="A878" s="346" t="s">
        <v>24</v>
      </c>
      <c r="B878" s="346" t="s">
        <v>37</v>
      </c>
      <c r="C878" s="346">
        <v>28168</v>
      </c>
      <c r="D878" s="346">
        <v>1.2131845000000001</v>
      </c>
      <c r="E878" s="346">
        <v>34172.980000000003</v>
      </c>
    </row>
    <row r="879" spans="1:5" x14ac:dyDescent="0.2">
      <c r="A879" s="346" t="s">
        <v>0</v>
      </c>
      <c r="B879" s="346" t="s">
        <v>1</v>
      </c>
      <c r="C879" s="346">
        <v>4961311</v>
      </c>
      <c r="D879" s="346">
        <v>1.091E-2</v>
      </c>
      <c r="E879" s="346">
        <v>54127.9</v>
      </c>
    </row>
    <row r="880" spans="1:5" x14ac:dyDescent="0.2">
      <c r="A880" s="346" t="s">
        <v>15</v>
      </c>
      <c r="B880" s="346" t="s">
        <v>15</v>
      </c>
      <c r="C880" s="346">
        <v>15434884</v>
      </c>
      <c r="D880" s="346">
        <v>1.371E-2</v>
      </c>
      <c r="E880" s="346">
        <v>211612.26</v>
      </c>
    </row>
    <row r="881" spans="1:5" x14ac:dyDescent="0.2">
      <c r="A881" s="346" t="s">
        <v>2</v>
      </c>
      <c r="B881" s="346" t="s">
        <v>1</v>
      </c>
      <c r="C881" s="346">
        <v>5282744</v>
      </c>
      <c r="D881" s="346">
        <v>7.0699999999999999E-3</v>
      </c>
      <c r="E881" s="346">
        <v>37349</v>
      </c>
    </row>
    <row r="882" spans="1:5" x14ac:dyDescent="0.2">
      <c r="A882" s="346" t="s">
        <v>5</v>
      </c>
      <c r="B882" s="346" t="s">
        <v>1</v>
      </c>
      <c r="C882" s="346">
        <v>1918</v>
      </c>
      <c r="D882" s="346">
        <v>1.1381855999999999</v>
      </c>
      <c r="E882" s="346">
        <v>2183.04</v>
      </c>
    </row>
    <row r="883" spans="1:5" x14ac:dyDescent="0.2">
      <c r="A883" s="346" t="s">
        <v>20</v>
      </c>
      <c r="B883" s="346" t="s">
        <v>37</v>
      </c>
      <c r="C883" s="346">
        <v>48395</v>
      </c>
      <c r="D883" s="346">
        <v>7.7000000000000002E-3</v>
      </c>
      <c r="E883" s="346">
        <v>372.64</v>
      </c>
    </row>
    <row r="884" spans="1:5" x14ac:dyDescent="0.2">
      <c r="A884" s="346" t="s">
        <v>22</v>
      </c>
      <c r="B884" s="346" t="s">
        <v>37</v>
      </c>
      <c r="C884" s="346">
        <v>7143904</v>
      </c>
      <c r="D884" s="346">
        <v>5.2199999999999998E-3</v>
      </c>
      <c r="E884" s="346">
        <v>37291.18</v>
      </c>
    </row>
    <row r="885" spans="1:5" x14ac:dyDescent="0.2">
      <c r="A885" s="346" t="s">
        <v>24</v>
      </c>
      <c r="B885" s="346" t="s">
        <v>37</v>
      </c>
      <c r="C885" s="346">
        <v>28423</v>
      </c>
      <c r="D885" s="346">
        <v>1.2132000000000001</v>
      </c>
      <c r="E885" s="346">
        <v>34482.78</v>
      </c>
    </row>
    <row r="886" spans="1:5" x14ac:dyDescent="0.2">
      <c r="A886" s="346" t="s">
        <v>13</v>
      </c>
      <c r="B886" s="346" t="s">
        <v>14</v>
      </c>
      <c r="C886" s="346">
        <v>127007</v>
      </c>
      <c r="D886" s="346">
        <v>1.091E-2</v>
      </c>
      <c r="E886" s="346">
        <v>1385.65</v>
      </c>
    </row>
    <row r="887" spans="1:5" x14ac:dyDescent="0.2">
      <c r="A887" s="346" t="s">
        <v>0</v>
      </c>
      <c r="B887" s="346" t="s">
        <v>1</v>
      </c>
      <c r="C887" s="346">
        <v>5787859</v>
      </c>
      <c r="D887" s="346">
        <v>1.091E-2</v>
      </c>
      <c r="E887" s="346">
        <v>63145.54</v>
      </c>
    </row>
    <row r="888" spans="1:5" x14ac:dyDescent="0.2">
      <c r="A888" s="346" t="s">
        <v>2</v>
      </c>
      <c r="B888" s="346" t="s">
        <v>1</v>
      </c>
      <c r="C888" s="346">
        <v>5874751</v>
      </c>
      <c r="D888" s="346">
        <v>7.0699999999999999E-3</v>
      </c>
      <c r="E888" s="346">
        <v>41534.49</v>
      </c>
    </row>
    <row r="889" spans="1:5" x14ac:dyDescent="0.2">
      <c r="A889" s="346" t="s">
        <v>5</v>
      </c>
      <c r="B889" s="346" t="s">
        <v>1</v>
      </c>
      <c r="C889" s="346">
        <v>1952</v>
      </c>
      <c r="D889" s="346">
        <v>1.1382223</v>
      </c>
      <c r="E889" s="346">
        <v>2221.81</v>
      </c>
    </row>
    <row r="890" spans="1:5" x14ac:dyDescent="0.2">
      <c r="A890" s="346" t="s">
        <v>20</v>
      </c>
      <c r="B890" s="346" t="s">
        <v>37</v>
      </c>
      <c r="C890" s="346">
        <v>48932</v>
      </c>
      <c r="D890" s="346">
        <v>7.7000000000000002E-3</v>
      </c>
      <c r="E890" s="346">
        <v>376.78</v>
      </c>
    </row>
    <row r="891" spans="1:5" x14ac:dyDescent="0.2">
      <c r="A891" s="346" t="s">
        <v>22</v>
      </c>
      <c r="B891" s="346" t="s">
        <v>37</v>
      </c>
      <c r="C891" s="346">
        <v>7020921</v>
      </c>
      <c r="D891" s="346">
        <v>5.2199999999999998E-3</v>
      </c>
      <c r="E891" s="346">
        <v>36649.21</v>
      </c>
    </row>
    <row r="892" spans="1:5" x14ac:dyDescent="0.2">
      <c r="A892" s="346" t="s">
        <v>24</v>
      </c>
      <c r="B892" s="346" t="s">
        <v>37</v>
      </c>
      <c r="C892" s="346">
        <v>28788</v>
      </c>
      <c r="D892" s="346">
        <v>1.2131794</v>
      </c>
      <c r="E892" s="346">
        <v>34925.01</v>
      </c>
    </row>
    <row r="893" spans="1:5" x14ac:dyDescent="0.2">
      <c r="A893" s="346" t="s">
        <v>13</v>
      </c>
      <c r="B893" s="346" t="s">
        <v>14</v>
      </c>
      <c r="C893" s="346">
        <v>128577</v>
      </c>
      <c r="D893" s="346">
        <v>1.091E-2</v>
      </c>
      <c r="E893" s="346">
        <v>1402.78</v>
      </c>
    </row>
    <row r="894" spans="1:5" x14ac:dyDescent="0.2">
      <c r="A894" s="346" t="s">
        <v>15</v>
      </c>
      <c r="B894" s="346" t="s">
        <v>15</v>
      </c>
      <c r="C894" s="346">
        <v>16880845</v>
      </c>
      <c r="D894" s="346">
        <v>1.371E-2</v>
      </c>
      <c r="E894" s="346">
        <v>231436.38</v>
      </c>
    </row>
    <row r="895" spans="1:5" x14ac:dyDescent="0.2">
      <c r="A895" s="346" t="s">
        <v>15</v>
      </c>
      <c r="B895" s="346" t="s">
        <v>15</v>
      </c>
      <c r="C895" s="346">
        <v>19510501</v>
      </c>
      <c r="D895" s="346">
        <v>1.371E-2</v>
      </c>
      <c r="E895" s="346">
        <v>267488.96999999997</v>
      </c>
    </row>
    <row r="896" spans="1:5" x14ac:dyDescent="0.2">
      <c r="A896" s="346" t="s">
        <v>0</v>
      </c>
      <c r="B896" s="346" t="s">
        <v>1</v>
      </c>
      <c r="C896" s="346">
        <v>6300705</v>
      </c>
      <c r="D896" s="346">
        <v>1.091E-2</v>
      </c>
      <c r="E896" s="346">
        <v>68740.69</v>
      </c>
    </row>
    <row r="897" spans="1:5" x14ac:dyDescent="0.2">
      <c r="A897" s="346" t="s">
        <v>2</v>
      </c>
      <c r="B897" s="346" t="s">
        <v>1</v>
      </c>
      <c r="C897" s="346">
        <v>6555941</v>
      </c>
      <c r="D897" s="346">
        <v>7.0699999999999999E-3</v>
      </c>
      <c r="E897" s="346">
        <v>46350.5</v>
      </c>
    </row>
    <row r="898" spans="1:5" x14ac:dyDescent="0.2">
      <c r="A898" s="346" t="s">
        <v>5</v>
      </c>
      <c r="B898" s="346" t="s">
        <v>1</v>
      </c>
      <c r="C898" s="346">
        <v>2024</v>
      </c>
      <c r="D898" s="346">
        <v>1.1381817999999999</v>
      </c>
      <c r="E898" s="346">
        <v>2303.6799999999998</v>
      </c>
    </row>
    <row r="899" spans="1:5" x14ac:dyDescent="0.2">
      <c r="A899" s="346" t="s">
        <v>20</v>
      </c>
      <c r="B899" s="346" t="s">
        <v>37</v>
      </c>
      <c r="C899" s="346">
        <v>52688</v>
      </c>
      <c r="D899" s="346">
        <v>7.7000000000000002E-3</v>
      </c>
      <c r="E899" s="346">
        <v>405.7</v>
      </c>
    </row>
    <row r="900" spans="1:5" x14ac:dyDescent="0.2">
      <c r="A900" s="346" t="s">
        <v>22</v>
      </c>
      <c r="B900" s="346" t="s">
        <v>37</v>
      </c>
      <c r="C900" s="346">
        <v>7254726</v>
      </c>
      <c r="D900" s="346">
        <v>5.2199999999999998E-3</v>
      </c>
      <c r="E900" s="346">
        <v>37869.67</v>
      </c>
    </row>
    <row r="901" spans="1:5" x14ac:dyDescent="0.2">
      <c r="A901" s="346" t="s">
        <v>13</v>
      </c>
      <c r="B901" s="346" t="s">
        <v>14</v>
      </c>
      <c r="C901" s="346">
        <v>128445</v>
      </c>
      <c r="D901" s="346">
        <v>1.091E-2</v>
      </c>
      <c r="E901" s="346">
        <v>1401.33</v>
      </c>
    </row>
    <row r="902" spans="1:5" x14ac:dyDescent="0.2">
      <c r="A902" s="346" t="s">
        <v>24</v>
      </c>
      <c r="B902" s="346" t="s">
        <v>37</v>
      </c>
      <c r="C902" s="346">
        <v>28979</v>
      </c>
      <c r="D902" s="346">
        <v>1.2131896</v>
      </c>
      <c r="E902" s="346">
        <v>35157.019999999997</v>
      </c>
    </row>
    <row r="903" spans="1:5" x14ac:dyDescent="0.2">
      <c r="A903" s="346" t="s">
        <v>13</v>
      </c>
      <c r="B903" s="346" t="s">
        <v>14</v>
      </c>
      <c r="C903" s="346">
        <v>128320</v>
      </c>
      <c r="D903" s="346">
        <v>1.091E-2</v>
      </c>
      <c r="E903" s="346">
        <v>1399.97</v>
      </c>
    </row>
    <row r="904" spans="1:5" x14ac:dyDescent="0.2">
      <c r="A904" s="346" t="s">
        <v>24</v>
      </c>
      <c r="B904" s="346" t="s">
        <v>37</v>
      </c>
      <c r="C904" s="346">
        <v>28148</v>
      </c>
      <c r="D904" s="346">
        <v>1.2132198000000001</v>
      </c>
      <c r="E904" s="346">
        <v>34149.71</v>
      </c>
    </row>
    <row r="905" spans="1:5" x14ac:dyDescent="0.2">
      <c r="A905" s="346" t="s">
        <v>22</v>
      </c>
      <c r="B905" s="346" t="s">
        <v>37</v>
      </c>
      <c r="C905" s="346">
        <v>7115952</v>
      </c>
      <c r="D905" s="346">
        <v>5.2199999999999998E-3</v>
      </c>
      <c r="E905" s="346">
        <v>37145.269999999997</v>
      </c>
    </row>
    <row r="906" spans="1:5" x14ac:dyDescent="0.2">
      <c r="A906" s="346" t="s">
        <v>20</v>
      </c>
      <c r="B906" s="346" t="s">
        <v>37</v>
      </c>
      <c r="C906" s="346">
        <v>49944</v>
      </c>
      <c r="D906" s="346">
        <v>7.7000000000000002E-3</v>
      </c>
      <c r="E906" s="346">
        <v>384.57</v>
      </c>
    </row>
    <row r="907" spans="1:5" x14ac:dyDescent="0.2">
      <c r="A907" s="346" t="s">
        <v>5</v>
      </c>
      <c r="B907" s="346" t="s">
        <v>1</v>
      </c>
      <c r="C907" s="346">
        <v>1934</v>
      </c>
      <c r="D907" s="346">
        <v>1.1384333</v>
      </c>
      <c r="E907" s="346">
        <v>2201.73</v>
      </c>
    </row>
    <row r="908" spans="1:5" x14ac:dyDescent="0.2">
      <c r="A908" s="346" t="s">
        <v>2</v>
      </c>
      <c r="B908" s="346" t="s">
        <v>1</v>
      </c>
      <c r="C908" s="346">
        <v>6087979</v>
      </c>
      <c r="D908" s="346">
        <v>7.0699999999999999E-3</v>
      </c>
      <c r="E908" s="346">
        <v>43042.01</v>
      </c>
    </row>
    <row r="909" spans="1:5" x14ac:dyDescent="0.2">
      <c r="A909" s="346" t="s">
        <v>0</v>
      </c>
      <c r="B909" s="346" t="s">
        <v>1</v>
      </c>
      <c r="C909" s="346">
        <v>5618857</v>
      </c>
      <c r="D909" s="346">
        <v>1.091E-2</v>
      </c>
      <c r="E909" s="346">
        <v>61301.73</v>
      </c>
    </row>
    <row r="910" spans="1:5" x14ac:dyDescent="0.2">
      <c r="A910" s="346" t="s">
        <v>15</v>
      </c>
      <c r="B910" s="346" t="s">
        <v>15</v>
      </c>
      <c r="C910" s="346">
        <v>17040057</v>
      </c>
      <c r="D910" s="346">
        <v>1.371E-2</v>
      </c>
      <c r="E910" s="346">
        <v>233619.18</v>
      </c>
    </row>
    <row r="911" spans="1:5" x14ac:dyDescent="0.2">
      <c r="A911" s="346" t="s">
        <v>24</v>
      </c>
      <c r="B911" s="346" t="s">
        <v>37</v>
      </c>
      <c r="C911" s="346">
        <v>28137</v>
      </c>
      <c r="D911" s="346">
        <v>1.2132086</v>
      </c>
      <c r="E911" s="346">
        <v>34136.050000000003</v>
      </c>
    </row>
    <row r="912" spans="1:5" x14ac:dyDescent="0.2">
      <c r="A912" s="346" t="s">
        <v>22</v>
      </c>
      <c r="B912" s="346" t="s">
        <v>37</v>
      </c>
      <c r="C912" s="346">
        <v>6967575</v>
      </c>
      <c r="D912" s="346">
        <v>5.2199999999999998E-3</v>
      </c>
      <c r="E912" s="346">
        <v>36370.74</v>
      </c>
    </row>
    <row r="913" spans="1:5" x14ac:dyDescent="0.2">
      <c r="A913" s="346" t="s">
        <v>20</v>
      </c>
      <c r="B913" s="346" t="s">
        <v>37</v>
      </c>
      <c r="C913" s="346">
        <v>53548</v>
      </c>
      <c r="D913" s="346">
        <v>7.7000000000000002E-3</v>
      </c>
      <c r="E913" s="346">
        <v>412.32</v>
      </c>
    </row>
    <row r="914" spans="1:5" x14ac:dyDescent="0.2">
      <c r="A914" s="346" t="s">
        <v>5</v>
      </c>
      <c r="B914" s="346" t="s">
        <v>1</v>
      </c>
      <c r="C914" s="346">
        <v>1908</v>
      </c>
      <c r="D914" s="346">
        <v>1.1382075</v>
      </c>
      <c r="E914" s="346">
        <v>2171.6999999999998</v>
      </c>
    </row>
    <row r="915" spans="1:5" x14ac:dyDescent="0.2">
      <c r="A915" s="346" t="s">
        <v>2</v>
      </c>
      <c r="B915" s="346" t="s">
        <v>1</v>
      </c>
      <c r="C915" s="346">
        <v>5638581</v>
      </c>
      <c r="D915" s="346">
        <v>7.0699999999999999E-3</v>
      </c>
      <c r="E915" s="346">
        <v>39864.769999999997</v>
      </c>
    </row>
    <row r="916" spans="1:5" x14ac:dyDescent="0.2">
      <c r="A916" s="346" t="s">
        <v>0</v>
      </c>
      <c r="B916" s="346" t="s">
        <v>1</v>
      </c>
      <c r="C916" s="346">
        <v>4906575</v>
      </c>
      <c r="D916" s="346">
        <v>1.091E-2</v>
      </c>
      <c r="E916" s="346">
        <v>53530.73</v>
      </c>
    </row>
    <row r="917" spans="1:5" x14ac:dyDescent="0.2">
      <c r="A917" s="346" t="s">
        <v>15</v>
      </c>
      <c r="B917" s="346" t="s">
        <v>15</v>
      </c>
      <c r="C917" s="346">
        <v>15413683</v>
      </c>
      <c r="D917" s="346">
        <v>1.371E-2</v>
      </c>
      <c r="E917" s="346">
        <v>211321.60000000001</v>
      </c>
    </row>
    <row r="918" spans="1:5" x14ac:dyDescent="0.2">
      <c r="A918" s="346" t="s">
        <v>13</v>
      </c>
      <c r="B918" s="346" t="s">
        <v>14</v>
      </c>
      <c r="C918" s="346">
        <v>128336</v>
      </c>
      <c r="D918" s="346">
        <v>1.091E-2</v>
      </c>
      <c r="E918" s="346">
        <v>1400.15</v>
      </c>
    </row>
    <row r="919" spans="1:5" x14ac:dyDescent="0.2">
      <c r="A919" s="346" t="s">
        <v>2</v>
      </c>
      <c r="B919" s="346" t="s">
        <v>1</v>
      </c>
      <c r="C919" s="346">
        <v>5335815</v>
      </c>
      <c r="D919" s="346">
        <v>7.0699999999999999E-3</v>
      </c>
      <c r="E919" s="346">
        <v>37724.21</v>
      </c>
    </row>
    <row r="920" spans="1:5" x14ac:dyDescent="0.2">
      <c r="A920" s="346" t="s">
        <v>5</v>
      </c>
      <c r="B920" s="346" t="s">
        <v>1</v>
      </c>
      <c r="C920" s="346">
        <v>1840</v>
      </c>
      <c r="D920" s="346">
        <v>1.1381848000000001</v>
      </c>
      <c r="E920" s="346">
        <v>2094.2600000000002</v>
      </c>
    </row>
    <row r="921" spans="1:5" x14ac:dyDescent="0.2">
      <c r="A921" s="346" t="s">
        <v>20</v>
      </c>
      <c r="B921" s="346" t="s">
        <v>37</v>
      </c>
      <c r="C921" s="346">
        <v>84778</v>
      </c>
      <c r="D921" s="346">
        <v>7.7000000000000002E-3</v>
      </c>
      <c r="E921" s="346">
        <v>652.79</v>
      </c>
    </row>
    <row r="922" spans="1:5" x14ac:dyDescent="0.2">
      <c r="A922" s="346" t="s">
        <v>22</v>
      </c>
      <c r="B922" s="346" t="s">
        <v>37</v>
      </c>
      <c r="C922" s="346">
        <v>7252079</v>
      </c>
      <c r="D922" s="346">
        <v>5.2199999999999998E-3</v>
      </c>
      <c r="E922" s="346">
        <v>37855.85</v>
      </c>
    </row>
    <row r="923" spans="1:5" x14ac:dyDescent="0.2">
      <c r="A923" s="346" t="s">
        <v>24</v>
      </c>
      <c r="B923" s="346" t="s">
        <v>37</v>
      </c>
      <c r="C923" s="346">
        <v>27998</v>
      </c>
      <c r="D923" s="346">
        <v>1.2131984</v>
      </c>
      <c r="E923" s="346">
        <v>33967.129999999997</v>
      </c>
    </row>
    <row r="924" spans="1:5" x14ac:dyDescent="0.2">
      <c r="A924" s="346" t="s">
        <v>13</v>
      </c>
      <c r="B924" s="346" t="s">
        <v>14</v>
      </c>
      <c r="C924" s="346">
        <v>128910</v>
      </c>
      <c r="D924" s="346">
        <v>1.091E-2</v>
      </c>
      <c r="E924" s="346">
        <v>1406.41</v>
      </c>
    </row>
    <row r="925" spans="1:5" x14ac:dyDescent="0.2">
      <c r="A925" s="346" t="s">
        <v>15</v>
      </c>
      <c r="B925" s="346" t="s">
        <v>15</v>
      </c>
      <c r="C925" s="346">
        <v>17024109</v>
      </c>
      <c r="D925" s="346">
        <v>1.371E-2</v>
      </c>
      <c r="E925" s="346">
        <v>233400.53</v>
      </c>
    </row>
    <row r="926" spans="1:5" x14ac:dyDescent="0.2">
      <c r="A926" s="346" t="s">
        <v>0</v>
      </c>
      <c r="B926" s="346" t="s">
        <v>1</v>
      </c>
      <c r="C926" s="346">
        <v>4706608</v>
      </c>
      <c r="D926" s="346">
        <v>1.091E-2</v>
      </c>
      <c r="E926" s="346">
        <v>51349.09</v>
      </c>
    </row>
    <row r="927" spans="1:5" x14ac:dyDescent="0.2">
      <c r="A927" s="346" t="s">
        <v>24</v>
      </c>
      <c r="B927" s="346" t="s">
        <v>37</v>
      </c>
      <c r="C927" s="346">
        <v>27767</v>
      </c>
      <c r="D927" s="346">
        <v>1.2132023999999999</v>
      </c>
      <c r="E927" s="346">
        <v>33686.99</v>
      </c>
    </row>
    <row r="928" spans="1:5" x14ac:dyDescent="0.2">
      <c r="A928" s="346" t="s">
        <v>15</v>
      </c>
      <c r="B928" s="346" t="s">
        <v>15</v>
      </c>
      <c r="C928" s="346">
        <v>19887772</v>
      </c>
      <c r="D928" s="346">
        <v>1.371E-2</v>
      </c>
      <c r="E928" s="346">
        <v>272661.34999999998</v>
      </c>
    </row>
    <row r="929" spans="1:5" x14ac:dyDescent="0.2">
      <c r="A929" s="346" t="s">
        <v>0</v>
      </c>
      <c r="B929" s="346" t="s">
        <v>1</v>
      </c>
      <c r="C929" s="346">
        <v>5145183</v>
      </c>
      <c r="D929" s="346">
        <v>1.091E-2</v>
      </c>
      <c r="E929" s="346">
        <v>56133.95</v>
      </c>
    </row>
    <row r="930" spans="1:5" x14ac:dyDescent="0.2">
      <c r="A930" s="346" t="s">
        <v>2</v>
      </c>
      <c r="B930" s="346" t="s">
        <v>1</v>
      </c>
      <c r="C930" s="346">
        <v>5440835</v>
      </c>
      <c r="D930" s="346">
        <v>7.0699999999999999E-3</v>
      </c>
      <c r="E930" s="346">
        <v>38466.699999999997</v>
      </c>
    </row>
    <row r="931" spans="1:5" x14ac:dyDescent="0.2">
      <c r="A931" s="346" t="s">
        <v>5</v>
      </c>
      <c r="B931" s="346" t="s">
        <v>1</v>
      </c>
      <c r="C931" s="346">
        <v>1853</v>
      </c>
      <c r="D931" s="346">
        <v>1.1383918</v>
      </c>
      <c r="E931" s="346">
        <v>2109.44</v>
      </c>
    </row>
    <row r="932" spans="1:5" x14ac:dyDescent="0.2">
      <c r="A932" s="346" t="s">
        <v>20</v>
      </c>
      <c r="B932" s="346" t="s">
        <v>37</v>
      </c>
      <c r="C932" s="346">
        <v>1384071</v>
      </c>
      <c r="D932" s="346">
        <v>7.7000000000000002E-3</v>
      </c>
      <c r="E932" s="346">
        <v>10657.35</v>
      </c>
    </row>
    <row r="933" spans="1:5" x14ac:dyDescent="0.2">
      <c r="A933" s="346" t="s">
        <v>22</v>
      </c>
      <c r="B933" s="346" t="s">
        <v>37</v>
      </c>
      <c r="C933" s="346">
        <v>7156969</v>
      </c>
      <c r="D933" s="346">
        <v>5.2199999999999998E-3</v>
      </c>
      <c r="E933" s="346">
        <v>37359.379999999997</v>
      </c>
    </row>
    <row r="934" spans="1:5" x14ac:dyDescent="0.2">
      <c r="A934" s="346" t="s">
        <v>13</v>
      </c>
      <c r="B934" s="346" t="s">
        <v>14</v>
      </c>
      <c r="C934" s="346">
        <v>128082</v>
      </c>
      <c r="D934" s="346">
        <v>1.091E-2</v>
      </c>
      <c r="E934" s="346">
        <v>1397.38</v>
      </c>
    </row>
    <row r="935" spans="1:5" x14ac:dyDescent="0.2">
      <c r="A935" s="346" t="s">
        <v>24</v>
      </c>
      <c r="B935" s="346" t="s">
        <v>37</v>
      </c>
      <c r="C935" s="346">
        <v>28612</v>
      </c>
      <c r="D935" s="346">
        <v>1.2131818999999999</v>
      </c>
      <c r="E935" s="346">
        <v>34711.56</v>
      </c>
    </row>
    <row r="936" spans="1:5" x14ac:dyDescent="0.2">
      <c r="A936" s="346" t="s">
        <v>13</v>
      </c>
      <c r="B936" s="346" t="s">
        <v>14</v>
      </c>
      <c r="C936" s="346">
        <v>127635</v>
      </c>
      <c r="D936" s="346">
        <v>1.091E-2</v>
      </c>
      <c r="E936" s="346">
        <v>1392.5</v>
      </c>
    </row>
    <row r="937" spans="1:5" x14ac:dyDescent="0.2">
      <c r="A937" s="346" t="s">
        <v>20</v>
      </c>
      <c r="B937" s="346" t="s">
        <v>37</v>
      </c>
      <c r="C937" s="346">
        <v>2128055</v>
      </c>
      <c r="D937" s="346">
        <v>7.7000000000000002E-3</v>
      </c>
      <c r="E937" s="346">
        <v>16386.02</v>
      </c>
    </row>
    <row r="938" spans="1:5" x14ac:dyDescent="0.2">
      <c r="A938" s="346" t="s">
        <v>15</v>
      </c>
      <c r="B938" s="346" t="s">
        <v>15</v>
      </c>
      <c r="C938" s="346">
        <v>21824691</v>
      </c>
      <c r="D938" s="346">
        <v>1.371E-2</v>
      </c>
      <c r="E938" s="346">
        <v>299216.51</v>
      </c>
    </row>
    <row r="939" spans="1:5" x14ac:dyDescent="0.2">
      <c r="A939" s="346" t="s">
        <v>5</v>
      </c>
      <c r="B939" s="346" t="s">
        <v>1</v>
      </c>
      <c r="C939" s="346">
        <v>1852</v>
      </c>
      <c r="D939" s="346">
        <v>1.1383477</v>
      </c>
      <c r="E939" s="346">
        <v>2108.2199999999998</v>
      </c>
    </row>
    <row r="940" spans="1:5" x14ac:dyDescent="0.2">
      <c r="A940" s="346" t="s">
        <v>2</v>
      </c>
      <c r="B940" s="346" t="s">
        <v>1</v>
      </c>
      <c r="C940" s="346">
        <v>5365543</v>
      </c>
      <c r="D940" s="346">
        <v>7.0699999999999999E-3</v>
      </c>
      <c r="E940" s="346">
        <v>37934.39</v>
      </c>
    </row>
    <row r="941" spans="1:5" x14ac:dyDescent="0.2">
      <c r="A941" s="346" t="s">
        <v>22</v>
      </c>
      <c r="B941" s="346" t="s">
        <v>37</v>
      </c>
      <c r="C941" s="346">
        <v>7383456</v>
      </c>
      <c r="D941" s="346">
        <v>5.2199999999999998E-3</v>
      </c>
      <c r="E941" s="346">
        <v>38541.64</v>
      </c>
    </row>
    <row r="942" spans="1:5" x14ac:dyDescent="0.2">
      <c r="A942" s="346" t="s">
        <v>0</v>
      </c>
      <c r="B942" s="346" t="s">
        <v>1</v>
      </c>
      <c r="C942" s="346">
        <v>5438719</v>
      </c>
      <c r="D942" s="346">
        <v>1.091E-2</v>
      </c>
      <c r="E942" s="346">
        <v>59336.42</v>
      </c>
    </row>
    <row r="943" spans="1:5" x14ac:dyDescent="0.2">
      <c r="A943" s="346" t="s">
        <v>22</v>
      </c>
      <c r="B943" s="346" t="s">
        <v>37</v>
      </c>
      <c r="C943" s="346">
        <v>2523180</v>
      </c>
      <c r="D943" s="346">
        <v>5.2199999999999998E-3</v>
      </c>
      <c r="E943" s="346">
        <v>13171</v>
      </c>
    </row>
    <row r="944" spans="1:5" x14ac:dyDescent="0.2">
      <c r="A944" s="346" t="s">
        <v>5</v>
      </c>
      <c r="B944" s="346" t="s">
        <v>1</v>
      </c>
      <c r="C944" s="346">
        <v>4195.4480000000003</v>
      </c>
      <c r="D944" s="346">
        <v>1.1383000000000001</v>
      </c>
      <c r="E944" s="346">
        <v>4775.68</v>
      </c>
    </row>
    <row r="945" spans="1:5" x14ac:dyDescent="0.2">
      <c r="A945" s="346" t="s">
        <v>2</v>
      </c>
      <c r="B945" s="346" t="s">
        <v>1</v>
      </c>
      <c r="C945" s="346">
        <v>1414777.6</v>
      </c>
      <c r="D945" s="346">
        <v>7.0699999999999999E-3</v>
      </c>
      <c r="E945" s="346">
        <v>10002.48</v>
      </c>
    </row>
    <row r="946" spans="1:5" x14ac:dyDescent="0.2">
      <c r="A946" s="346" t="s">
        <v>24</v>
      </c>
      <c r="B946" s="346" t="s">
        <v>37</v>
      </c>
      <c r="C946" s="346">
        <v>11411</v>
      </c>
      <c r="D946" s="346">
        <v>1.2132000000000001</v>
      </c>
      <c r="E946" s="346">
        <v>13843.83</v>
      </c>
    </row>
    <row r="947" spans="1:5" x14ac:dyDescent="0.2">
      <c r="A947" s="346" t="s">
        <v>13</v>
      </c>
      <c r="B947" s="346" t="s">
        <v>14</v>
      </c>
      <c r="C947" s="346">
        <v>27113</v>
      </c>
      <c r="D947" s="346">
        <v>1.091E-2</v>
      </c>
      <c r="E947" s="346">
        <v>295.8</v>
      </c>
    </row>
    <row r="948" spans="1:5" x14ac:dyDescent="0.2">
      <c r="A948" s="346" t="s">
        <v>15</v>
      </c>
      <c r="B948" s="346" t="s">
        <v>15</v>
      </c>
      <c r="C948" s="346">
        <v>2496787</v>
      </c>
      <c r="D948" s="346">
        <v>1.371E-2</v>
      </c>
      <c r="E948" s="346">
        <v>34230.949999999997</v>
      </c>
    </row>
    <row r="949" spans="1:5" x14ac:dyDescent="0.2">
      <c r="A949" s="346" t="s">
        <v>0</v>
      </c>
      <c r="B949" s="346" t="s">
        <v>1</v>
      </c>
      <c r="C949" s="346">
        <v>629765</v>
      </c>
      <c r="D949" s="346">
        <v>1.091E-2</v>
      </c>
      <c r="E949" s="346">
        <v>6870.74</v>
      </c>
    </row>
    <row r="950" spans="1:5" x14ac:dyDescent="0.2">
      <c r="A950" s="346" t="s">
        <v>0</v>
      </c>
      <c r="B950" s="346" t="s">
        <v>1</v>
      </c>
      <c r="C950" s="346">
        <v>496377</v>
      </c>
      <c r="D950" s="346">
        <v>1.091E-2</v>
      </c>
      <c r="E950" s="346">
        <v>5415.47</v>
      </c>
    </row>
    <row r="951" spans="1:5" x14ac:dyDescent="0.2">
      <c r="A951" s="346" t="s">
        <v>2</v>
      </c>
      <c r="B951" s="346" t="s">
        <v>1</v>
      </c>
      <c r="C951" s="346">
        <v>1202802.1000000001</v>
      </c>
      <c r="D951" s="346">
        <v>7.0699999999999999E-3</v>
      </c>
      <c r="E951" s="346">
        <v>8503.81</v>
      </c>
    </row>
    <row r="952" spans="1:5" x14ac:dyDescent="0.2">
      <c r="A952" s="346" t="s">
        <v>5</v>
      </c>
      <c r="B952" s="346" t="s">
        <v>1</v>
      </c>
      <c r="C952" s="346">
        <v>4050.5817999999999</v>
      </c>
      <c r="D952" s="346">
        <v>1.1383000000000001</v>
      </c>
      <c r="E952" s="346">
        <v>4610.78</v>
      </c>
    </row>
    <row r="953" spans="1:5" x14ac:dyDescent="0.2">
      <c r="A953" s="346" t="s">
        <v>22</v>
      </c>
      <c r="B953" s="346" t="s">
        <v>37</v>
      </c>
      <c r="C953" s="346">
        <v>1802880</v>
      </c>
      <c r="D953" s="346">
        <v>5.2199999999999998E-3</v>
      </c>
      <c r="E953" s="346">
        <v>9411.0300000000007</v>
      </c>
    </row>
    <row r="954" spans="1:5" x14ac:dyDescent="0.2">
      <c r="A954" s="346" t="s">
        <v>24</v>
      </c>
      <c r="B954" s="346" t="s">
        <v>37</v>
      </c>
      <c r="C954" s="346">
        <v>8866</v>
      </c>
      <c r="D954" s="346">
        <v>1.2132000000000001</v>
      </c>
      <c r="E954" s="346">
        <v>10756.23</v>
      </c>
    </row>
    <row r="955" spans="1:5" x14ac:dyDescent="0.2">
      <c r="A955" s="346" t="s">
        <v>13</v>
      </c>
      <c r="B955" s="346" t="s">
        <v>14</v>
      </c>
      <c r="C955" s="346">
        <v>27077</v>
      </c>
      <c r="D955" s="346">
        <v>1.091E-2</v>
      </c>
      <c r="E955" s="346">
        <v>295.41000000000003</v>
      </c>
    </row>
    <row r="956" spans="1:5" x14ac:dyDescent="0.2">
      <c r="A956" s="346" t="s">
        <v>15</v>
      </c>
      <c r="B956" s="346" t="s">
        <v>15</v>
      </c>
      <c r="C956" s="346">
        <v>2008465</v>
      </c>
      <c r="D956" s="346">
        <v>1.371E-2</v>
      </c>
      <c r="E956" s="346">
        <v>27536.06</v>
      </c>
    </row>
    <row r="957" spans="1:5" x14ac:dyDescent="0.2">
      <c r="A957" s="346" t="s">
        <v>22</v>
      </c>
      <c r="B957" s="346" t="s">
        <v>37</v>
      </c>
      <c r="C957" s="346">
        <v>1657020</v>
      </c>
      <c r="D957" s="346">
        <v>5.2199999999999998E-3</v>
      </c>
      <c r="E957" s="346">
        <v>8649.64</v>
      </c>
    </row>
    <row r="958" spans="1:5" x14ac:dyDescent="0.2">
      <c r="A958" s="346" t="s">
        <v>24</v>
      </c>
      <c r="B958" s="346" t="s">
        <v>37</v>
      </c>
      <c r="C958" s="346">
        <v>6009</v>
      </c>
      <c r="D958" s="346">
        <v>1.2132000000000001</v>
      </c>
      <c r="E958" s="346">
        <v>7290.12</v>
      </c>
    </row>
    <row r="959" spans="1:5" x14ac:dyDescent="0.2">
      <c r="A959" s="346" t="s">
        <v>13</v>
      </c>
      <c r="B959" s="346" t="s">
        <v>14</v>
      </c>
      <c r="C959" s="346">
        <v>27113</v>
      </c>
      <c r="D959" s="346">
        <v>1.091E-2</v>
      </c>
      <c r="E959" s="346">
        <v>295.8</v>
      </c>
    </row>
    <row r="960" spans="1:5" x14ac:dyDescent="0.2">
      <c r="A960" s="346" t="s">
        <v>5</v>
      </c>
      <c r="B960" s="346" t="s">
        <v>1</v>
      </c>
      <c r="C960" s="346">
        <v>3825.0140999999999</v>
      </c>
      <c r="D960" s="346">
        <v>1.1383000000000001</v>
      </c>
      <c r="E960" s="346">
        <v>4354.01</v>
      </c>
    </row>
    <row r="961" spans="1:5" x14ac:dyDescent="0.2">
      <c r="A961" s="346" t="s">
        <v>15</v>
      </c>
      <c r="B961" s="346" t="s">
        <v>15</v>
      </c>
      <c r="C961" s="346">
        <v>1819670</v>
      </c>
      <c r="D961" s="346">
        <v>1.371E-2</v>
      </c>
      <c r="E961" s="346">
        <v>24947.68</v>
      </c>
    </row>
    <row r="962" spans="1:5" x14ac:dyDescent="0.2">
      <c r="A962" s="346" t="s">
        <v>0</v>
      </c>
      <c r="B962" s="346" t="s">
        <v>1</v>
      </c>
      <c r="C962" s="346">
        <v>504293</v>
      </c>
      <c r="D962" s="346">
        <v>1.091E-2</v>
      </c>
      <c r="E962" s="346">
        <v>5501.84</v>
      </c>
    </row>
    <row r="963" spans="1:5" x14ac:dyDescent="0.2">
      <c r="A963" s="346" t="s">
        <v>2</v>
      </c>
      <c r="B963" s="346" t="s">
        <v>1</v>
      </c>
      <c r="C963" s="346">
        <v>1197345.3999999999</v>
      </c>
      <c r="D963" s="346">
        <v>7.0699999999999999E-3</v>
      </c>
      <c r="E963" s="346">
        <v>8465.23</v>
      </c>
    </row>
    <row r="964" spans="1:5" x14ac:dyDescent="0.2">
      <c r="A964" s="346" t="s">
        <v>13</v>
      </c>
      <c r="B964" s="346" t="s">
        <v>14</v>
      </c>
      <c r="C964" s="346">
        <v>27077</v>
      </c>
      <c r="D964" s="346">
        <v>1.091E-2</v>
      </c>
      <c r="E964" s="346">
        <v>295.41000000000003</v>
      </c>
    </row>
    <row r="965" spans="1:5" x14ac:dyDescent="0.2">
      <c r="A965" s="346" t="s">
        <v>24</v>
      </c>
      <c r="B965" s="346" t="s">
        <v>37</v>
      </c>
      <c r="C965" s="346">
        <v>4714</v>
      </c>
      <c r="D965" s="346">
        <v>1.2132000000000001</v>
      </c>
      <c r="E965" s="346">
        <v>5719.02</v>
      </c>
    </row>
    <row r="966" spans="1:5" x14ac:dyDescent="0.2">
      <c r="A966" s="346" t="s">
        <v>22</v>
      </c>
      <c r="B966" s="346" t="s">
        <v>37</v>
      </c>
      <c r="C966" s="346">
        <v>1316700</v>
      </c>
      <c r="D966" s="346">
        <v>5.2199999999999998E-3</v>
      </c>
      <c r="E966" s="346">
        <v>6873.17</v>
      </c>
    </row>
    <row r="967" spans="1:5" x14ac:dyDescent="0.2">
      <c r="A967" s="346" t="s">
        <v>5</v>
      </c>
      <c r="B967" s="346" t="s">
        <v>1</v>
      </c>
      <c r="C967" s="346">
        <v>3506.2294999999999</v>
      </c>
      <c r="D967" s="346">
        <v>1.1383000000000001</v>
      </c>
      <c r="E967" s="346">
        <v>3991.14</v>
      </c>
    </row>
    <row r="968" spans="1:5" x14ac:dyDescent="0.2">
      <c r="A968" s="346" t="s">
        <v>2</v>
      </c>
      <c r="B968" s="346" t="s">
        <v>1</v>
      </c>
      <c r="C968" s="346">
        <v>962598.8</v>
      </c>
      <c r="D968" s="346">
        <v>7.0699999999999999E-3</v>
      </c>
      <c r="E968" s="346">
        <v>6805.57</v>
      </c>
    </row>
    <row r="969" spans="1:5" x14ac:dyDescent="0.2">
      <c r="A969" s="346" t="s">
        <v>0</v>
      </c>
      <c r="B969" s="346" t="s">
        <v>1</v>
      </c>
      <c r="C969" s="346">
        <v>414505</v>
      </c>
      <c r="D969" s="346">
        <v>1.091E-2</v>
      </c>
      <c r="E969" s="346">
        <v>4522.25</v>
      </c>
    </row>
    <row r="970" spans="1:5" x14ac:dyDescent="0.2">
      <c r="A970" s="346" t="s">
        <v>15</v>
      </c>
      <c r="B970" s="346" t="s">
        <v>15</v>
      </c>
      <c r="C970" s="346">
        <v>1268215</v>
      </c>
      <c r="D970" s="346">
        <v>1.371E-2</v>
      </c>
      <c r="E970" s="346">
        <v>17387.23</v>
      </c>
    </row>
    <row r="971" spans="1:5" x14ac:dyDescent="0.2">
      <c r="A971" s="346" t="s">
        <v>15</v>
      </c>
      <c r="B971" s="346" t="s">
        <v>15</v>
      </c>
      <c r="C971" s="346">
        <v>959359</v>
      </c>
      <c r="D971" s="346">
        <v>1.371E-2</v>
      </c>
      <c r="E971" s="346">
        <v>13152.81</v>
      </c>
    </row>
    <row r="972" spans="1:5" x14ac:dyDescent="0.2">
      <c r="A972" s="346" t="s">
        <v>2</v>
      </c>
      <c r="B972" s="346" t="s">
        <v>1</v>
      </c>
      <c r="C972" s="346">
        <v>940043</v>
      </c>
      <c r="D972" s="346">
        <v>7.0699999999999999E-3</v>
      </c>
      <c r="E972" s="346">
        <v>6646.1</v>
      </c>
    </row>
    <row r="973" spans="1:5" x14ac:dyDescent="0.2">
      <c r="A973" s="346" t="s">
        <v>0</v>
      </c>
      <c r="B973" s="346" t="s">
        <v>1</v>
      </c>
      <c r="C973" s="346">
        <v>370213</v>
      </c>
      <c r="D973" s="346">
        <v>1.091E-2</v>
      </c>
      <c r="E973" s="346">
        <v>4039.02</v>
      </c>
    </row>
    <row r="974" spans="1:5" x14ac:dyDescent="0.2">
      <c r="A974" s="346" t="s">
        <v>5</v>
      </c>
      <c r="B974" s="346" t="s">
        <v>1</v>
      </c>
      <c r="C974" s="346">
        <v>3232.4059000000002</v>
      </c>
      <c r="D974" s="346">
        <v>1.1382976</v>
      </c>
      <c r="E974" s="346">
        <v>3679.44</v>
      </c>
    </row>
    <row r="975" spans="1:5" x14ac:dyDescent="0.2">
      <c r="A975" s="346" t="s">
        <v>22</v>
      </c>
      <c r="B975" s="346" t="s">
        <v>37</v>
      </c>
      <c r="C975" s="346">
        <v>1331220</v>
      </c>
      <c r="D975" s="346">
        <v>5.2199999999999998E-3</v>
      </c>
      <c r="E975" s="346">
        <v>6948.96</v>
      </c>
    </row>
    <row r="976" spans="1:5" x14ac:dyDescent="0.2">
      <c r="A976" s="346" t="s">
        <v>24</v>
      </c>
      <c r="B976" s="346" t="s">
        <v>37</v>
      </c>
      <c r="C976" s="346">
        <v>4166</v>
      </c>
      <c r="D976" s="346">
        <v>1.2132000000000001</v>
      </c>
      <c r="E976" s="346">
        <v>5054.1899999999996</v>
      </c>
    </row>
    <row r="977" spans="1:5" x14ac:dyDescent="0.2">
      <c r="A977" s="346" t="s">
        <v>13</v>
      </c>
      <c r="B977" s="346" t="s">
        <v>14</v>
      </c>
      <c r="C977" s="346">
        <v>27077</v>
      </c>
      <c r="D977" s="346">
        <v>1.091E-2</v>
      </c>
      <c r="E977" s="346">
        <v>295.41000000000003</v>
      </c>
    </row>
    <row r="978" spans="1:5" x14ac:dyDescent="0.2">
      <c r="A978" s="346" t="s">
        <v>15</v>
      </c>
      <c r="B978" s="346" t="s">
        <v>15</v>
      </c>
      <c r="C978" s="346">
        <v>885333</v>
      </c>
      <c r="D978" s="346">
        <v>1.371E-2</v>
      </c>
      <c r="E978" s="346">
        <v>12137.91</v>
      </c>
    </row>
    <row r="979" spans="1:5" x14ac:dyDescent="0.2">
      <c r="A979" s="346" t="s">
        <v>0</v>
      </c>
      <c r="B979" s="346" t="s">
        <v>1</v>
      </c>
      <c r="C979" s="346">
        <v>382792</v>
      </c>
      <c r="D979" s="346">
        <v>1.091E-2</v>
      </c>
      <c r="E979" s="346">
        <v>4176.26</v>
      </c>
    </row>
    <row r="980" spans="1:5" x14ac:dyDescent="0.2">
      <c r="A980" s="346" t="s">
        <v>2</v>
      </c>
      <c r="B980" s="346" t="s">
        <v>1</v>
      </c>
      <c r="C980" s="346">
        <v>933408.4</v>
      </c>
      <c r="D980" s="346">
        <v>7.0699999999999999E-3</v>
      </c>
      <c r="E980" s="346">
        <v>6599.19</v>
      </c>
    </row>
    <row r="981" spans="1:5" x14ac:dyDescent="0.2">
      <c r="A981" s="346" t="s">
        <v>22</v>
      </c>
      <c r="B981" s="346" t="s">
        <v>37</v>
      </c>
      <c r="C981" s="346">
        <v>1002900</v>
      </c>
      <c r="D981" s="346">
        <v>5.2199999999999998E-3</v>
      </c>
      <c r="E981" s="346">
        <v>5235.13</v>
      </c>
    </row>
    <row r="982" spans="1:5" x14ac:dyDescent="0.2">
      <c r="A982" s="346" t="s">
        <v>24</v>
      </c>
      <c r="B982" s="346" t="s">
        <v>37</v>
      </c>
      <c r="C982" s="346">
        <v>4111</v>
      </c>
      <c r="D982" s="346">
        <v>1.2131987</v>
      </c>
      <c r="E982" s="346">
        <v>4987.46</v>
      </c>
    </row>
    <row r="983" spans="1:5" x14ac:dyDescent="0.2">
      <c r="A983" s="346" t="s">
        <v>13</v>
      </c>
      <c r="B983" s="346" t="s">
        <v>14</v>
      </c>
      <c r="C983" s="346">
        <v>27077</v>
      </c>
      <c r="D983" s="346">
        <v>1.091E-2</v>
      </c>
      <c r="E983" s="346">
        <v>295.41000000000003</v>
      </c>
    </row>
    <row r="984" spans="1:5" x14ac:dyDescent="0.2">
      <c r="A984" s="346" t="s">
        <v>5</v>
      </c>
      <c r="B984" s="346" t="s">
        <v>1</v>
      </c>
      <c r="C984" s="346">
        <v>3330.3845999999999</v>
      </c>
      <c r="D984" s="346">
        <v>1.1382976</v>
      </c>
      <c r="E984" s="346">
        <v>3790.97</v>
      </c>
    </row>
    <row r="985" spans="1:5" x14ac:dyDescent="0.2">
      <c r="A985" s="346" t="s">
        <v>5</v>
      </c>
      <c r="B985" s="346" t="s">
        <v>1</v>
      </c>
      <c r="C985" s="346">
        <v>3530.2556</v>
      </c>
      <c r="D985" s="346">
        <v>1.1383000000000001</v>
      </c>
      <c r="E985" s="346">
        <v>4018.49</v>
      </c>
    </row>
    <row r="986" spans="1:5" x14ac:dyDescent="0.2">
      <c r="A986" s="346" t="s">
        <v>0</v>
      </c>
      <c r="B986" s="346" t="s">
        <v>1</v>
      </c>
      <c r="C986" s="346">
        <v>479874</v>
      </c>
      <c r="D986" s="346">
        <v>1.091E-2</v>
      </c>
      <c r="E986" s="346">
        <v>5235.43</v>
      </c>
    </row>
    <row r="987" spans="1:5" x14ac:dyDescent="0.2">
      <c r="A987" s="346" t="s">
        <v>2</v>
      </c>
      <c r="B987" s="346" t="s">
        <v>1</v>
      </c>
      <c r="C987" s="346">
        <v>1084332.3999999999</v>
      </c>
      <c r="D987" s="346">
        <v>7.0699999999999999E-3</v>
      </c>
      <c r="E987" s="346">
        <v>7666.23</v>
      </c>
    </row>
    <row r="988" spans="1:5" x14ac:dyDescent="0.2">
      <c r="A988" s="346" t="s">
        <v>5</v>
      </c>
      <c r="B988" s="346" t="s">
        <v>1</v>
      </c>
      <c r="C988" s="346">
        <v>3555.864</v>
      </c>
      <c r="D988" s="346">
        <v>1.1383000000000001</v>
      </c>
      <c r="E988" s="346">
        <v>4047.64</v>
      </c>
    </row>
    <row r="989" spans="1:5" x14ac:dyDescent="0.2">
      <c r="A989" s="346" t="s">
        <v>22</v>
      </c>
      <c r="B989" s="346" t="s">
        <v>37</v>
      </c>
      <c r="C989" s="346">
        <v>1080300</v>
      </c>
      <c r="D989" s="346">
        <v>5.2199999999999998E-3</v>
      </c>
      <c r="E989" s="346">
        <v>5639.17</v>
      </c>
    </row>
    <row r="990" spans="1:5" x14ac:dyDescent="0.2">
      <c r="A990" s="346" t="s">
        <v>24</v>
      </c>
      <c r="B990" s="346" t="s">
        <v>37</v>
      </c>
      <c r="C990" s="346">
        <v>3876</v>
      </c>
      <c r="D990" s="346">
        <v>1.2131987</v>
      </c>
      <c r="E990" s="346">
        <v>4702.3599999999997</v>
      </c>
    </row>
    <row r="991" spans="1:5" x14ac:dyDescent="0.2">
      <c r="A991" s="346" t="s">
        <v>13</v>
      </c>
      <c r="B991" s="346" t="s">
        <v>14</v>
      </c>
      <c r="C991" s="346">
        <v>27077</v>
      </c>
      <c r="D991" s="346">
        <v>1.091E-2</v>
      </c>
      <c r="E991" s="346">
        <v>295.41000000000003</v>
      </c>
    </row>
    <row r="992" spans="1:5" x14ac:dyDescent="0.2">
      <c r="A992" s="346" t="s">
        <v>13</v>
      </c>
      <c r="B992" s="346" t="s">
        <v>14</v>
      </c>
      <c r="C992" s="346">
        <v>27077</v>
      </c>
      <c r="D992" s="346">
        <v>1.091E-2</v>
      </c>
      <c r="E992" s="346">
        <v>295.41000000000003</v>
      </c>
    </row>
    <row r="993" spans="1:5" x14ac:dyDescent="0.2">
      <c r="A993" s="346" t="s">
        <v>24</v>
      </c>
      <c r="B993" s="346" t="s">
        <v>37</v>
      </c>
      <c r="C993" s="346">
        <v>3703</v>
      </c>
      <c r="D993" s="346">
        <v>1.2131987</v>
      </c>
      <c r="E993" s="346">
        <v>4492.47</v>
      </c>
    </row>
    <row r="994" spans="1:5" x14ac:dyDescent="0.2">
      <c r="A994" s="346" t="s">
        <v>22</v>
      </c>
      <c r="B994" s="346" t="s">
        <v>37</v>
      </c>
      <c r="C994" s="346">
        <v>1204969</v>
      </c>
      <c r="D994" s="346">
        <v>5.2199999999999998E-3</v>
      </c>
      <c r="E994" s="346">
        <v>6289.94</v>
      </c>
    </row>
    <row r="995" spans="1:5" x14ac:dyDescent="0.2">
      <c r="A995" s="346" t="s">
        <v>15</v>
      </c>
      <c r="B995" s="346" t="s">
        <v>15</v>
      </c>
      <c r="C995" s="346">
        <v>1143184</v>
      </c>
      <c r="D995" s="346">
        <v>1.371E-2</v>
      </c>
      <c r="E995" s="346">
        <v>15673.05</v>
      </c>
    </row>
    <row r="996" spans="1:5" x14ac:dyDescent="0.2">
      <c r="A996" s="346" t="s">
        <v>2</v>
      </c>
      <c r="B996" s="346" t="s">
        <v>1</v>
      </c>
      <c r="C996" s="346">
        <v>1155440</v>
      </c>
      <c r="D996" s="346">
        <v>7.0699999999999999E-3</v>
      </c>
      <c r="E996" s="346">
        <v>8168.96</v>
      </c>
    </row>
    <row r="997" spans="1:5" x14ac:dyDescent="0.2">
      <c r="A997" s="346" t="s">
        <v>0</v>
      </c>
      <c r="B997" s="346" t="s">
        <v>1</v>
      </c>
      <c r="C997" s="346">
        <v>497282</v>
      </c>
      <c r="D997" s="346">
        <v>1.091E-2</v>
      </c>
      <c r="E997" s="346">
        <v>5425.33</v>
      </c>
    </row>
    <row r="998" spans="1:5" x14ac:dyDescent="0.2">
      <c r="A998" s="346" t="s">
        <v>15</v>
      </c>
      <c r="B998" s="346" t="s">
        <v>15</v>
      </c>
      <c r="C998" s="346">
        <v>1137066</v>
      </c>
      <c r="D998" s="346">
        <v>1.371E-2</v>
      </c>
      <c r="E998" s="346">
        <v>15589.18</v>
      </c>
    </row>
    <row r="999" spans="1:5" x14ac:dyDescent="0.2">
      <c r="A999" s="346" t="s">
        <v>15</v>
      </c>
      <c r="B999" s="346" t="s">
        <v>15</v>
      </c>
      <c r="C999" s="346">
        <v>915198</v>
      </c>
      <c r="D999" s="346">
        <v>1.371E-2</v>
      </c>
      <c r="E999" s="346">
        <v>12547.37</v>
      </c>
    </row>
    <row r="1000" spans="1:5" x14ac:dyDescent="0.2">
      <c r="A1000" s="346" t="s">
        <v>0</v>
      </c>
      <c r="B1000" s="346" t="s">
        <v>1</v>
      </c>
      <c r="C1000" s="346">
        <v>396693</v>
      </c>
      <c r="D1000" s="346">
        <v>1.091E-2</v>
      </c>
      <c r="E1000" s="346">
        <v>4327.92</v>
      </c>
    </row>
    <row r="1001" spans="1:5" x14ac:dyDescent="0.2">
      <c r="A1001" s="346" t="s">
        <v>2</v>
      </c>
      <c r="B1001" s="346" t="s">
        <v>1</v>
      </c>
      <c r="C1001" s="346">
        <v>941768</v>
      </c>
      <c r="D1001" s="346">
        <v>7.0699999999999999E-3</v>
      </c>
      <c r="E1001" s="346">
        <v>6658.3</v>
      </c>
    </row>
    <row r="1002" spans="1:5" x14ac:dyDescent="0.2">
      <c r="A1002" s="346" t="s">
        <v>5</v>
      </c>
      <c r="B1002" s="346" t="s">
        <v>1</v>
      </c>
      <c r="C1002" s="346">
        <v>3291</v>
      </c>
      <c r="D1002" s="346">
        <v>1.1382923</v>
      </c>
      <c r="E1002" s="346">
        <v>3746.12</v>
      </c>
    </row>
    <row r="1003" spans="1:5" x14ac:dyDescent="0.2">
      <c r="A1003" s="346" t="s">
        <v>22</v>
      </c>
      <c r="B1003" s="346" t="s">
        <v>37</v>
      </c>
      <c r="C1003" s="346">
        <v>1358184</v>
      </c>
      <c r="D1003" s="346">
        <v>5.2199999999999998E-3</v>
      </c>
      <c r="E1003" s="346">
        <v>7089.72</v>
      </c>
    </row>
    <row r="1004" spans="1:5" x14ac:dyDescent="0.2">
      <c r="A1004" s="346" t="s">
        <v>24</v>
      </c>
      <c r="B1004" s="346" t="s">
        <v>37</v>
      </c>
      <c r="C1004" s="346">
        <v>3920</v>
      </c>
      <c r="D1004" s="346">
        <v>1.2131987</v>
      </c>
      <c r="E1004" s="346">
        <v>4755.74</v>
      </c>
    </row>
    <row r="1005" spans="1:5" x14ac:dyDescent="0.2">
      <c r="A1005" s="346" t="s">
        <v>13</v>
      </c>
      <c r="B1005" s="346" t="s">
        <v>14</v>
      </c>
      <c r="C1005" s="346">
        <v>27077</v>
      </c>
      <c r="D1005" s="346">
        <v>1.091E-2</v>
      </c>
      <c r="E1005" s="346">
        <v>295.41000000000003</v>
      </c>
    </row>
    <row r="1006" spans="1:5" x14ac:dyDescent="0.2">
      <c r="A1006" s="346" t="s">
        <v>24</v>
      </c>
      <c r="B1006" s="346" t="s">
        <v>37</v>
      </c>
      <c r="C1006" s="346">
        <v>11431</v>
      </c>
      <c r="D1006" s="346">
        <v>1.2132000999999999</v>
      </c>
      <c r="E1006" s="346">
        <v>13868.09</v>
      </c>
    </row>
    <row r="1007" spans="1:5" x14ac:dyDescent="0.2">
      <c r="A1007" s="346" t="s">
        <v>22</v>
      </c>
      <c r="B1007" s="346" t="s">
        <v>37</v>
      </c>
      <c r="C1007" s="346">
        <v>2734020</v>
      </c>
      <c r="D1007" s="346">
        <v>5.2199999999999998E-3</v>
      </c>
      <c r="E1007" s="346">
        <v>14271.6</v>
      </c>
    </row>
    <row r="1008" spans="1:5" x14ac:dyDescent="0.2">
      <c r="A1008" s="346" t="s">
        <v>5</v>
      </c>
      <c r="B1008" s="346" t="s">
        <v>1</v>
      </c>
      <c r="C1008" s="346">
        <v>3715</v>
      </c>
      <c r="D1008" s="346">
        <v>1.1383365000000001</v>
      </c>
      <c r="E1008" s="346">
        <v>4228.92</v>
      </c>
    </row>
    <row r="1009" spans="1:5" x14ac:dyDescent="0.2">
      <c r="A1009" s="346" t="s">
        <v>2</v>
      </c>
      <c r="B1009" s="346" t="s">
        <v>1</v>
      </c>
      <c r="C1009" s="346">
        <v>1189949</v>
      </c>
      <c r="D1009" s="346">
        <v>7.0699999999999999E-3</v>
      </c>
      <c r="E1009" s="346">
        <v>8412.91</v>
      </c>
    </row>
    <row r="1010" spans="1:5" x14ac:dyDescent="0.2">
      <c r="A1010" s="346" t="s">
        <v>0</v>
      </c>
      <c r="B1010" s="346" t="s">
        <v>1</v>
      </c>
      <c r="C1010" s="346">
        <v>531832</v>
      </c>
      <c r="D1010" s="346">
        <v>1.091E-2</v>
      </c>
      <c r="E1010" s="346">
        <v>5802.27</v>
      </c>
    </row>
    <row r="1011" spans="1:5" x14ac:dyDescent="0.2">
      <c r="A1011" s="346" t="s">
        <v>15</v>
      </c>
      <c r="B1011" s="346" t="s">
        <v>15</v>
      </c>
      <c r="C1011" s="346">
        <v>1902569</v>
      </c>
      <c r="D1011" s="346">
        <v>1.3710099999999999E-2</v>
      </c>
      <c r="E1011" s="346">
        <v>26084.49</v>
      </c>
    </row>
    <row r="1012" spans="1:5" x14ac:dyDescent="0.2">
      <c r="A1012" s="346" t="s">
        <v>13</v>
      </c>
      <c r="B1012" s="346" t="s">
        <v>14</v>
      </c>
      <c r="C1012" s="346">
        <v>27077</v>
      </c>
      <c r="D1012" s="346">
        <v>1.091E-2</v>
      </c>
      <c r="E1012" s="346">
        <v>295.41000000000003</v>
      </c>
    </row>
    <row r="1013" spans="1:5" x14ac:dyDescent="0.2">
      <c r="A1013" s="346" t="s">
        <v>24</v>
      </c>
      <c r="B1013" s="346" t="s">
        <v>37</v>
      </c>
      <c r="C1013" s="346">
        <v>10495</v>
      </c>
      <c r="D1013" s="346">
        <v>1.2131996</v>
      </c>
      <c r="E1013" s="346">
        <v>12732.53</v>
      </c>
    </row>
    <row r="1014" spans="1:5" x14ac:dyDescent="0.2">
      <c r="A1014" s="346" t="s">
        <v>22</v>
      </c>
      <c r="B1014" s="346" t="s">
        <v>37</v>
      </c>
      <c r="C1014" s="346">
        <v>2360586</v>
      </c>
      <c r="D1014" s="346">
        <v>5.2199999999999998E-3</v>
      </c>
      <c r="E1014" s="346">
        <v>12322.25</v>
      </c>
    </row>
    <row r="1015" spans="1:5" x14ac:dyDescent="0.2">
      <c r="A1015" s="346" t="s">
        <v>5</v>
      </c>
      <c r="B1015" s="346" t="s">
        <v>1</v>
      </c>
      <c r="C1015" s="346">
        <v>3301</v>
      </c>
      <c r="D1015" s="346">
        <v>1.1384186999999999</v>
      </c>
      <c r="E1015" s="346">
        <v>3757.92</v>
      </c>
    </row>
    <row r="1016" spans="1:5" x14ac:dyDescent="0.2">
      <c r="A1016" s="346" t="s">
        <v>2</v>
      </c>
      <c r="B1016" s="346" t="s">
        <v>1</v>
      </c>
      <c r="C1016" s="346">
        <v>887345</v>
      </c>
      <c r="D1016" s="346">
        <v>7.0699999999999999E-3</v>
      </c>
      <c r="E1016" s="346">
        <v>6273.56</v>
      </c>
    </row>
    <row r="1017" spans="1:5" x14ac:dyDescent="0.2">
      <c r="A1017" s="346" t="s">
        <v>0</v>
      </c>
      <c r="B1017" s="346" t="s">
        <v>1</v>
      </c>
      <c r="C1017" s="346">
        <v>397161</v>
      </c>
      <c r="D1017" s="346">
        <v>1.0910100000000001E-2</v>
      </c>
      <c r="E1017" s="346">
        <v>4333.05</v>
      </c>
    </row>
    <row r="1018" spans="1:5" x14ac:dyDescent="0.2">
      <c r="A1018" s="346" t="s">
        <v>15</v>
      </c>
      <c r="B1018" s="346" t="s">
        <v>15</v>
      </c>
      <c r="C1018" s="346">
        <v>1247433</v>
      </c>
      <c r="D1018" s="346">
        <v>1.3710099999999999E-2</v>
      </c>
      <c r="E1018" s="346">
        <v>17102.490000000002</v>
      </c>
    </row>
    <row r="1019" spans="1:5" x14ac:dyDescent="0.2">
      <c r="A1019" s="346" t="s">
        <v>13</v>
      </c>
      <c r="B1019" s="346" t="s">
        <v>14</v>
      </c>
      <c r="C1019" s="346">
        <v>27077</v>
      </c>
      <c r="D1019" s="346">
        <v>1.091E-2</v>
      </c>
      <c r="E1019" s="346">
        <v>295.41000000000003</v>
      </c>
    </row>
    <row r="1020" spans="1:5" x14ac:dyDescent="0.2">
      <c r="A1020" s="346" t="s">
        <v>24</v>
      </c>
      <c r="B1020" s="346" t="s">
        <v>37</v>
      </c>
      <c r="C1020" s="346">
        <v>4029</v>
      </c>
      <c r="D1020" s="346">
        <v>1.2131987</v>
      </c>
      <c r="E1020" s="346">
        <v>4887.9799999999996</v>
      </c>
    </row>
    <row r="1021" spans="1:5" x14ac:dyDescent="0.2">
      <c r="A1021" s="346" t="s">
        <v>22</v>
      </c>
      <c r="B1021" s="346" t="s">
        <v>37</v>
      </c>
      <c r="C1021" s="346">
        <v>1481520</v>
      </c>
      <c r="D1021" s="346">
        <v>5.2199999999999998E-3</v>
      </c>
      <c r="E1021" s="346">
        <v>7733.53</v>
      </c>
    </row>
    <row r="1022" spans="1:5" x14ac:dyDescent="0.2">
      <c r="A1022" s="346" t="s">
        <v>5</v>
      </c>
      <c r="B1022" s="346" t="s">
        <v>1</v>
      </c>
      <c r="C1022" s="346">
        <v>3425</v>
      </c>
      <c r="D1022" s="346">
        <v>1.1383007000000001</v>
      </c>
      <c r="E1022" s="346">
        <v>3898.68</v>
      </c>
    </row>
    <row r="1023" spans="1:5" x14ac:dyDescent="0.2">
      <c r="A1023" s="346" t="s">
        <v>2</v>
      </c>
      <c r="B1023" s="346" t="s">
        <v>1</v>
      </c>
      <c r="C1023" s="346">
        <v>945356</v>
      </c>
      <c r="D1023" s="346">
        <v>7.0698999999999996E-3</v>
      </c>
      <c r="E1023" s="346">
        <v>6683.61</v>
      </c>
    </row>
    <row r="1024" spans="1:5" x14ac:dyDescent="0.2">
      <c r="A1024" s="346" t="s">
        <v>0</v>
      </c>
      <c r="B1024" s="346" t="s">
        <v>1</v>
      </c>
      <c r="C1024" s="346">
        <v>388679</v>
      </c>
      <c r="D1024" s="346">
        <v>1.09096E-2</v>
      </c>
      <c r="E1024" s="346">
        <v>4240.34</v>
      </c>
    </row>
    <row r="1025" spans="1:5" x14ac:dyDescent="0.2">
      <c r="A1025" s="346" t="s">
        <v>15</v>
      </c>
      <c r="B1025" s="346" t="s">
        <v>15</v>
      </c>
      <c r="C1025" s="346">
        <v>1005429</v>
      </c>
      <c r="D1025" s="346">
        <v>1.371E-2</v>
      </c>
      <c r="E1025" s="346">
        <v>13784.42</v>
      </c>
    </row>
    <row r="1026" spans="1:5" x14ac:dyDescent="0.2">
      <c r="A1026" s="346" t="s">
        <v>13</v>
      </c>
      <c r="B1026" s="346" t="s">
        <v>14</v>
      </c>
      <c r="C1026" s="346">
        <v>27077</v>
      </c>
      <c r="D1026" s="346">
        <v>1.091E-2</v>
      </c>
      <c r="E1026" s="346">
        <v>295.41000000000003</v>
      </c>
    </row>
    <row r="1027" spans="1:5" x14ac:dyDescent="0.2">
      <c r="A1027" s="346" t="s">
        <v>13</v>
      </c>
      <c r="B1027" s="346" t="s">
        <v>14</v>
      </c>
      <c r="C1027" s="346">
        <v>12677</v>
      </c>
      <c r="D1027" s="346">
        <v>1.09E-2</v>
      </c>
      <c r="E1027" s="346">
        <v>138.18</v>
      </c>
    </row>
    <row r="1028" spans="1:5" x14ac:dyDescent="0.2">
      <c r="A1028" s="346" t="s">
        <v>15</v>
      </c>
      <c r="B1028" s="346" t="s">
        <v>15</v>
      </c>
      <c r="C1028" s="346">
        <v>6260974</v>
      </c>
      <c r="D1028" s="346">
        <v>1.413E-2</v>
      </c>
      <c r="E1028" s="346">
        <v>88467.56</v>
      </c>
    </row>
    <row r="1029" spans="1:5" x14ac:dyDescent="0.2">
      <c r="A1029" s="346" t="s">
        <v>5</v>
      </c>
      <c r="B1029" s="346" t="s">
        <v>1</v>
      </c>
      <c r="C1029" s="346">
        <v>900.654</v>
      </c>
      <c r="D1029" s="346">
        <v>1.1383099999999999</v>
      </c>
      <c r="E1029" s="346">
        <v>1025.22</v>
      </c>
    </row>
    <row r="1030" spans="1:5" ht="12.75" customHeight="1" x14ac:dyDescent="0.25">
      <c r="A1030" s="346" t="s">
        <v>2</v>
      </c>
      <c r="B1030" s="346" t="s">
        <v>1</v>
      </c>
      <c r="C1030" s="202">
        <v>299967</v>
      </c>
      <c r="D1030" s="347">
        <v>7.0000000000000001E-3</v>
      </c>
      <c r="E1030" s="202">
        <v>2099.77</v>
      </c>
    </row>
    <row r="1031" spans="1:5" x14ac:dyDescent="0.2">
      <c r="A1031" s="346" t="s">
        <v>0</v>
      </c>
      <c r="B1031" s="346" t="s">
        <v>1</v>
      </c>
      <c r="C1031" s="346">
        <v>499369</v>
      </c>
      <c r="D1031" s="346">
        <v>1.091E-2</v>
      </c>
      <c r="E1031" s="346">
        <v>5448.11</v>
      </c>
    </row>
    <row r="1032" spans="1:5" x14ac:dyDescent="0.2">
      <c r="A1032" s="346" t="s">
        <v>13</v>
      </c>
      <c r="B1032" s="346" t="s">
        <v>14</v>
      </c>
      <c r="C1032" s="346">
        <v>12738</v>
      </c>
      <c r="D1032" s="346">
        <v>1.091E-2</v>
      </c>
      <c r="E1032" s="346">
        <v>138.97</v>
      </c>
    </row>
    <row r="1033" spans="1:5" x14ac:dyDescent="0.2">
      <c r="A1033" s="346" t="s">
        <v>2</v>
      </c>
      <c r="B1033" s="346" t="s">
        <v>1</v>
      </c>
      <c r="C1033" s="346">
        <v>313872</v>
      </c>
      <c r="D1033" s="346">
        <v>7.0699999999999999E-3</v>
      </c>
      <c r="E1033" s="346">
        <v>2219.0700000000002</v>
      </c>
    </row>
    <row r="1034" spans="1:5" x14ac:dyDescent="0.2">
      <c r="A1034" s="346" t="s">
        <v>0</v>
      </c>
      <c r="B1034" s="346" t="s">
        <v>1</v>
      </c>
      <c r="C1034" s="346">
        <v>438223</v>
      </c>
      <c r="D1034" s="346">
        <v>1.091E-2</v>
      </c>
      <c r="E1034" s="346">
        <v>4781.01</v>
      </c>
    </row>
    <row r="1035" spans="1:5" x14ac:dyDescent="0.2">
      <c r="A1035" s="346" t="s">
        <v>15</v>
      </c>
      <c r="B1035" s="346" t="s">
        <v>15</v>
      </c>
      <c r="C1035" s="346">
        <v>5227798</v>
      </c>
      <c r="D1035" s="346">
        <v>1.371E-2</v>
      </c>
      <c r="E1035" s="346">
        <v>71673.11</v>
      </c>
    </row>
    <row r="1036" spans="1:5" x14ac:dyDescent="0.2">
      <c r="A1036" s="346" t="s">
        <v>5</v>
      </c>
      <c r="B1036" s="346" t="s">
        <v>1</v>
      </c>
      <c r="C1036" s="346">
        <v>1004.776</v>
      </c>
      <c r="D1036" s="346">
        <v>1.1382836000000001</v>
      </c>
      <c r="E1036" s="346">
        <v>1143.72</v>
      </c>
    </row>
    <row r="1037" spans="1:5" x14ac:dyDescent="0.2">
      <c r="A1037" s="346" t="s">
        <v>0</v>
      </c>
      <c r="B1037" s="346" t="s">
        <v>1</v>
      </c>
      <c r="C1037" s="346">
        <v>431010</v>
      </c>
      <c r="D1037" s="346">
        <v>1.091E-2</v>
      </c>
      <c r="E1037" s="346">
        <v>4702.32</v>
      </c>
    </row>
    <row r="1038" spans="1:5" x14ac:dyDescent="0.2">
      <c r="A1038" s="346" t="s">
        <v>2</v>
      </c>
      <c r="B1038" s="346" t="s">
        <v>1</v>
      </c>
      <c r="C1038" s="346">
        <v>358292</v>
      </c>
      <c r="D1038" s="346">
        <v>7.0699999999999999E-3</v>
      </c>
      <c r="E1038" s="346">
        <v>2533.13</v>
      </c>
    </row>
    <row r="1039" spans="1:5" x14ac:dyDescent="0.2">
      <c r="A1039" s="346" t="s">
        <v>5</v>
      </c>
      <c r="B1039" s="346" t="s">
        <v>1</v>
      </c>
      <c r="C1039" s="346">
        <v>1060.0540000000001</v>
      </c>
      <c r="D1039" s="346">
        <v>1.1383000000000001</v>
      </c>
      <c r="E1039" s="346">
        <v>1206.6600000000001</v>
      </c>
    </row>
    <row r="1040" spans="1:5" x14ac:dyDescent="0.2">
      <c r="A1040" s="346" t="s">
        <v>13</v>
      </c>
      <c r="B1040" s="346" t="s">
        <v>14</v>
      </c>
      <c r="C1040" s="346">
        <v>12701</v>
      </c>
      <c r="D1040" s="346">
        <v>1.091E-2</v>
      </c>
      <c r="E1040" s="346">
        <v>138.57</v>
      </c>
    </row>
    <row r="1041" spans="1:5" x14ac:dyDescent="0.2">
      <c r="A1041" s="346" t="s">
        <v>15</v>
      </c>
      <c r="B1041" s="346" t="s">
        <v>15</v>
      </c>
      <c r="C1041" s="346">
        <v>6020787</v>
      </c>
      <c r="D1041" s="346">
        <v>1.371E-2</v>
      </c>
      <c r="E1041" s="346">
        <v>82544.990000000005</v>
      </c>
    </row>
    <row r="1042" spans="1:5" x14ac:dyDescent="0.2">
      <c r="A1042" s="346" t="s">
        <v>13</v>
      </c>
      <c r="B1042" s="346" t="s">
        <v>14</v>
      </c>
      <c r="C1042" s="346">
        <v>12638</v>
      </c>
      <c r="D1042" s="346">
        <v>1.091E-2</v>
      </c>
      <c r="E1042" s="346">
        <v>137.88</v>
      </c>
    </row>
    <row r="1043" spans="1:5" x14ac:dyDescent="0.2">
      <c r="A1043" s="346" t="s">
        <v>5</v>
      </c>
      <c r="B1043" s="346" t="s">
        <v>1</v>
      </c>
      <c r="C1043" s="346">
        <v>851.70899999999995</v>
      </c>
      <c r="D1043" s="346">
        <v>1.1383000000000001</v>
      </c>
      <c r="E1043" s="346">
        <v>969.5</v>
      </c>
    </row>
    <row r="1044" spans="1:5" x14ac:dyDescent="0.2">
      <c r="A1044" s="346" t="s">
        <v>2</v>
      </c>
      <c r="B1044" s="346" t="s">
        <v>1</v>
      </c>
      <c r="C1044" s="346">
        <v>290783</v>
      </c>
      <c r="D1044" s="346">
        <v>7.0699999999999999E-3</v>
      </c>
      <c r="E1044" s="346">
        <v>2055.84</v>
      </c>
    </row>
    <row r="1045" spans="1:5" x14ac:dyDescent="0.2">
      <c r="A1045" s="346" t="s">
        <v>0</v>
      </c>
      <c r="B1045" s="346" t="s">
        <v>1</v>
      </c>
      <c r="C1045" s="346">
        <v>480517</v>
      </c>
      <c r="D1045" s="346">
        <v>1.091E-2</v>
      </c>
      <c r="E1045" s="346">
        <v>5242.4399999999996</v>
      </c>
    </row>
    <row r="1046" spans="1:5" x14ac:dyDescent="0.2">
      <c r="A1046" s="346" t="s">
        <v>15</v>
      </c>
      <c r="B1046" s="346" t="s">
        <v>15</v>
      </c>
      <c r="C1046" s="346">
        <v>5191606</v>
      </c>
      <c r="D1046" s="346">
        <v>1.371E-2</v>
      </c>
      <c r="E1046" s="346">
        <v>71176.92</v>
      </c>
    </row>
    <row r="1047" spans="1:5" x14ac:dyDescent="0.2">
      <c r="A1047" s="346" t="s">
        <v>13</v>
      </c>
      <c r="B1047" s="346" t="s">
        <v>14</v>
      </c>
      <c r="C1047" s="346">
        <v>12635</v>
      </c>
      <c r="D1047" s="346">
        <v>1.091E-2</v>
      </c>
      <c r="E1047" s="346">
        <v>137.85</v>
      </c>
    </row>
    <row r="1048" spans="1:5" x14ac:dyDescent="0.2">
      <c r="A1048" s="346" t="s">
        <v>5</v>
      </c>
      <c r="B1048" s="346" t="s">
        <v>1</v>
      </c>
      <c r="C1048" s="346">
        <v>957.11199999999997</v>
      </c>
      <c r="D1048" s="346">
        <v>1.1383098</v>
      </c>
      <c r="E1048" s="346">
        <v>1089.49</v>
      </c>
    </row>
    <row r="1049" spans="1:5" x14ac:dyDescent="0.2">
      <c r="A1049" s="346" t="s">
        <v>2</v>
      </c>
      <c r="B1049" s="346" t="s">
        <v>1</v>
      </c>
      <c r="C1049" s="346">
        <v>295039</v>
      </c>
      <c r="D1049" s="346">
        <v>7.0699999999999999E-3</v>
      </c>
      <c r="E1049" s="346">
        <v>2085.9299999999998</v>
      </c>
    </row>
    <row r="1050" spans="1:5" x14ac:dyDescent="0.2">
      <c r="A1050" s="346" t="s">
        <v>0</v>
      </c>
      <c r="B1050" s="346" t="s">
        <v>1</v>
      </c>
      <c r="C1050" s="346">
        <v>428892</v>
      </c>
      <c r="D1050" s="346">
        <v>1.091E-2</v>
      </c>
      <c r="E1050" s="346">
        <v>4679.21</v>
      </c>
    </row>
    <row r="1051" spans="1:5" x14ac:dyDescent="0.2">
      <c r="A1051" s="346" t="s">
        <v>15</v>
      </c>
      <c r="B1051" s="346" t="s">
        <v>15</v>
      </c>
      <c r="C1051" s="346">
        <v>4776483</v>
      </c>
      <c r="D1051" s="346">
        <v>1.371E-2</v>
      </c>
      <c r="E1051" s="346">
        <v>65485.58</v>
      </c>
    </row>
    <row r="1052" spans="1:5" x14ac:dyDescent="0.2">
      <c r="A1052" s="346" t="s">
        <v>0</v>
      </c>
      <c r="B1052" s="346" t="s">
        <v>1</v>
      </c>
      <c r="C1052" s="346">
        <v>398152</v>
      </c>
      <c r="D1052" s="346">
        <v>1.091E-2</v>
      </c>
      <c r="E1052" s="346">
        <v>4343.84</v>
      </c>
    </row>
    <row r="1053" spans="1:5" x14ac:dyDescent="0.2">
      <c r="A1053" s="346" t="s">
        <v>2</v>
      </c>
      <c r="B1053" s="346" t="s">
        <v>1</v>
      </c>
      <c r="C1053" s="346">
        <v>327552</v>
      </c>
      <c r="D1053" s="346">
        <v>7.0699999999999999E-3</v>
      </c>
      <c r="E1053" s="346">
        <v>2315.8000000000002</v>
      </c>
    </row>
    <row r="1054" spans="1:5" x14ac:dyDescent="0.2">
      <c r="A1054" s="346" t="s">
        <v>5</v>
      </c>
      <c r="B1054" s="346" t="s">
        <v>1</v>
      </c>
      <c r="C1054" s="346">
        <v>974.46600000000001</v>
      </c>
      <c r="D1054" s="346">
        <v>1.1382952</v>
      </c>
      <c r="E1054" s="346">
        <v>1109.23</v>
      </c>
    </row>
    <row r="1055" spans="1:5" x14ac:dyDescent="0.2">
      <c r="A1055" s="346" t="s">
        <v>13</v>
      </c>
      <c r="B1055" s="346" t="s">
        <v>14</v>
      </c>
      <c r="C1055" s="346">
        <v>12825</v>
      </c>
      <c r="D1055" s="346">
        <v>1.091E-2</v>
      </c>
      <c r="E1055" s="346">
        <v>139.91999999999999</v>
      </c>
    </row>
    <row r="1056" spans="1:5" x14ac:dyDescent="0.2">
      <c r="A1056" s="346" t="s">
        <v>15</v>
      </c>
      <c r="B1056" s="346" t="s">
        <v>15</v>
      </c>
      <c r="C1056" s="346">
        <v>4485570</v>
      </c>
      <c r="D1056" s="346">
        <v>1.371E-2</v>
      </c>
      <c r="E1056" s="346">
        <v>61497.17</v>
      </c>
    </row>
    <row r="1057" spans="1:5" x14ac:dyDescent="0.2">
      <c r="A1057" s="346" t="s">
        <v>0</v>
      </c>
      <c r="B1057" s="346" t="s">
        <v>1</v>
      </c>
      <c r="C1057" s="346">
        <v>404399</v>
      </c>
      <c r="D1057" s="346">
        <v>1.091E-2</v>
      </c>
      <c r="E1057" s="346">
        <v>4411.99</v>
      </c>
    </row>
    <row r="1058" spans="1:5" x14ac:dyDescent="0.2">
      <c r="A1058" s="346" t="s">
        <v>2</v>
      </c>
      <c r="B1058" s="346" t="s">
        <v>1</v>
      </c>
      <c r="C1058" s="346">
        <v>328876</v>
      </c>
      <c r="D1058" s="346">
        <v>7.0699999999999999E-3</v>
      </c>
      <c r="E1058" s="346">
        <v>2325.15</v>
      </c>
    </row>
    <row r="1059" spans="1:5" x14ac:dyDescent="0.2">
      <c r="A1059" s="346" t="s">
        <v>5</v>
      </c>
      <c r="B1059" s="346" t="s">
        <v>1</v>
      </c>
      <c r="C1059" s="346">
        <v>988.68399999999997</v>
      </c>
      <c r="D1059" s="346">
        <v>1.138301</v>
      </c>
      <c r="E1059" s="346">
        <v>1125.42</v>
      </c>
    </row>
    <row r="1060" spans="1:5" x14ac:dyDescent="0.2">
      <c r="A1060" s="346" t="s">
        <v>13</v>
      </c>
      <c r="B1060" s="346" t="s">
        <v>14</v>
      </c>
      <c r="C1060" s="346">
        <v>12993</v>
      </c>
      <c r="D1060" s="346">
        <v>1.091E-2</v>
      </c>
      <c r="E1060" s="346">
        <v>141.75</v>
      </c>
    </row>
    <row r="1061" spans="1:5" x14ac:dyDescent="0.2">
      <c r="A1061" s="346" t="s">
        <v>15</v>
      </c>
      <c r="B1061" s="346" t="s">
        <v>15</v>
      </c>
      <c r="C1061" s="346">
        <v>4604465</v>
      </c>
      <c r="D1061" s="346">
        <v>1.371E-2</v>
      </c>
      <c r="E1061" s="346">
        <v>63127.22</v>
      </c>
    </row>
    <row r="1062" spans="1:5" x14ac:dyDescent="0.2">
      <c r="A1062" s="346" t="s">
        <v>2</v>
      </c>
      <c r="B1062" s="346" t="s">
        <v>1</v>
      </c>
      <c r="C1062" s="346">
        <v>327643</v>
      </c>
      <c r="D1062" s="346">
        <v>7.0699999999999999E-3</v>
      </c>
      <c r="E1062" s="346">
        <v>2316.4299999999998</v>
      </c>
    </row>
    <row r="1063" spans="1:5" x14ac:dyDescent="0.2">
      <c r="A1063" s="346" t="s">
        <v>5</v>
      </c>
      <c r="B1063" s="346" t="s">
        <v>1</v>
      </c>
      <c r="C1063" s="346">
        <v>976.99400000000003</v>
      </c>
      <c r="D1063" s="346">
        <v>1.138301</v>
      </c>
      <c r="E1063" s="346">
        <v>1112.1099999999999</v>
      </c>
    </row>
    <row r="1064" spans="1:5" ht="12.75" customHeight="1" x14ac:dyDescent="0.25">
      <c r="A1064" s="346" t="s">
        <v>15</v>
      </c>
      <c r="B1064" s="346" t="s">
        <v>15</v>
      </c>
      <c r="C1064" s="202">
        <v>5264143</v>
      </c>
      <c r="D1064" s="347">
        <v>1.371E-2</v>
      </c>
      <c r="E1064" s="202">
        <v>72171.399999999994</v>
      </c>
    </row>
    <row r="1065" spans="1:5" x14ac:dyDescent="0.2">
      <c r="A1065" s="346" t="s">
        <v>13</v>
      </c>
      <c r="B1065" s="346" t="s">
        <v>14</v>
      </c>
      <c r="C1065" s="346">
        <v>12913</v>
      </c>
      <c r="D1065" s="346">
        <v>1.091E-2</v>
      </c>
      <c r="E1065" s="346">
        <v>140.88</v>
      </c>
    </row>
    <row r="1066" spans="1:5" x14ac:dyDescent="0.2">
      <c r="A1066" s="346" t="s">
        <v>0</v>
      </c>
      <c r="B1066" s="346" t="s">
        <v>1</v>
      </c>
      <c r="C1066" s="346">
        <v>431369</v>
      </c>
      <c r="D1066" s="346">
        <v>1.091E-2</v>
      </c>
      <c r="E1066" s="346">
        <v>4706.2299999999996</v>
      </c>
    </row>
    <row r="1067" spans="1:5" x14ac:dyDescent="0.2">
      <c r="A1067" s="346" t="s">
        <v>13</v>
      </c>
      <c r="B1067" s="346" t="s">
        <v>14</v>
      </c>
      <c r="C1067" s="346">
        <v>12738</v>
      </c>
      <c r="D1067" s="346">
        <v>1.091E-2</v>
      </c>
      <c r="E1067" s="346">
        <v>138.97</v>
      </c>
    </row>
    <row r="1068" spans="1:5" x14ac:dyDescent="0.2">
      <c r="A1068" s="346" t="s">
        <v>5</v>
      </c>
      <c r="B1068" s="346" t="s">
        <v>1</v>
      </c>
      <c r="C1068" s="346">
        <v>981.93499999999995</v>
      </c>
      <c r="D1068" s="346">
        <v>1.138301</v>
      </c>
      <c r="E1068" s="346">
        <v>1117.74</v>
      </c>
    </row>
    <row r="1069" spans="1:5" x14ac:dyDescent="0.2">
      <c r="A1069" s="346" t="s">
        <v>2</v>
      </c>
      <c r="B1069" s="346" t="s">
        <v>1</v>
      </c>
      <c r="C1069" s="346">
        <v>322957</v>
      </c>
      <c r="D1069" s="346">
        <v>7.0699999999999999E-3</v>
      </c>
      <c r="E1069" s="346">
        <v>2283.31</v>
      </c>
    </row>
    <row r="1070" spans="1:5" x14ac:dyDescent="0.2">
      <c r="A1070" s="346" t="s">
        <v>0</v>
      </c>
      <c r="B1070" s="346" t="s">
        <v>1</v>
      </c>
      <c r="C1070" s="346">
        <v>401183</v>
      </c>
      <c r="D1070" s="346">
        <v>1.091E-2</v>
      </c>
      <c r="E1070" s="346">
        <v>4376.8999999999996</v>
      </c>
    </row>
    <row r="1071" spans="1:5" x14ac:dyDescent="0.2">
      <c r="A1071" s="346" t="s">
        <v>15</v>
      </c>
      <c r="B1071" s="346" t="s">
        <v>15</v>
      </c>
      <c r="C1071" s="346">
        <v>4697032</v>
      </c>
      <c r="D1071" s="346">
        <v>1.371E-2</v>
      </c>
      <c r="E1071" s="346">
        <v>64396.3</v>
      </c>
    </row>
    <row r="1072" spans="1:5" x14ac:dyDescent="0.2">
      <c r="A1072" s="346" t="s">
        <v>13</v>
      </c>
      <c r="B1072" s="346" t="s">
        <v>14</v>
      </c>
      <c r="C1072" s="346">
        <v>12651</v>
      </c>
      <c r="D1072" s="346">
        <v>1.091E-2</v>
      </c>
      <c r="E1072" s="346">
        <v>138.02000000000001</v>
      </c>
    </row>
    <row r="1073" spans="1:5" x14ac:dyDescent="0.2">
      <c r="A1073" s="346" t="s">
        <v>2</v>
      </c>
      <c r="B1073" s="346" t="s">
        <v>1</v>
      </c>
      <c r="C1073" s="346">
        <v>333733</v>
      </c>
      <c r="D1073" s="346">
        <v>7.0699999999999999E-3</v>
      </c>
      <c r="E1073" s="346">
        <v>2359.5</v>
      </c>
    </row>
    <row r="1074" spans="1:5" x14ac:dyDescent="0.2">
      <c r="A1074" s="346" t="s">
        <v>0</v>
      </c>
      <c r="B1074" s="346" t="s">
        <v>1</v>
      </c>
      <c r="C1074" s="346">
        <v>403284</v>
      </c>
      <c r="D1074" s="346">
        <v>1.091E-2</v>
      </c>
      <c r="E1074" s="346">
        <v>4399.83</v>
      </c>
    </row>
    <row r="1075" spans="1:5" x14ac:dyDescent="0.2">
      <c r="A1075" s="346" t="s">
        <v>15</v>
      </c>
      <c r="B1075" s="346" t="s">
        <v>15</v>
      </c>
      <c r="C1075" s="346">
        <v>4647722</v>
      </c>
      <c r="D1075" s="346">
        <v>1.371E-2</v>
      </c>
      <c r="E1075" s="346">
        <v>63720.27</v>
      </c>
    </row>
    <row r="1076" spans="1:5" x14ac:dyDescent="0.2">
      <c r="A1076" s="346" t="s">
        <v>5</v>
      </c>
      <c r="B1076" s="346" t="s">
        <v>1</v>
      </c>
      <c r="C1076" s="346">
        <v>965.88499999999999</v>
      </c>
      <c r="D1076" s="346">
        <v>1.138301</v>
      </c>
      <c r="E1076" s="346">
        <v>1099.47</v>
      </c>
    </row>
    <row r="1077" spans="1:5" x14ac:dyDescent="0.2">
      <c r="A1077" s="346" t="s">
        <v>13</v>
      </c>
      <c r="B1077" s="346" t="s">
        <v>14</v>
      </c>
      <c r="C1077" s="346">
        <v>12682</v>
      </c>
      <c r="D1077" s="346">
        <v>1.091E-2</v>
      </c>
      <c r="E1077" s="346">
        <v>138.36000000000001</v>
      </c>
    </row>
    <row r="1078" spans="1:5" x14ac:dyDescent="0.2">
      <c r="A1078" s="346" t="s">
        <v>5</v>
      </c>
      <c r="B1078" s="346" t="s">
        <v>1</v>
      </c>
      <c r="C1078" s="346">
        <v>982.93</v>
      </c>
      <c r="D1078" s="346">
        <v>1.138301</v>
      </c>
      <c r="E1078" s="346">
        <v>1118.8699999999999</v>
      </c>
    </row>
    <row r="1079" spans="1:5" x14ac:dyDescent="0.2">
      <c r="A1079" s="346" t="s">
        <v>2</v>
      </c>
      <c r="B1079" s="346" t="s">
        <v>1</v>
      </c>
      <c r="C1079" s="346">
        <v>306930</v>
      </c>
      <c r="D1079" s="346">
        <v>7.0699999999999999E-3</v>
      </c>
      <c r="E1079" s="346">
        <v>2170.0100000000002</v>
      </c>
    </row>
    <row r="1080" spans="1:5" x14ac:dyDescent="0.2">
      <c r="A1080" s="346" t="s">
        <v>0</v>
      </c>
      <c r="B1080" s="346" t="s">
        <v>1</v>
      </c>
      <c r="C1080" s="346">
        <v>379460</v>
      </c>
      <c r="D1080" s="346">
        <v>1.091E-2</v>
      </c>
      <c r="E1080" s="346">
        <v>4139.91</v>
      </c>
    </row>
    <row r="1081" spans="1:5" x14ac:dyDescent="0.2">
      <c r="A1081" s="346" t="s">
        <v>15</v>
      </c>
      <c r="B1081" s="346" t="s">
        <v>15</v>
      </c>
      <c r="C1081" s="346">
        <v>4743370</v>
      </c>
      <c r="D1081" s="346">
        <v>1.371E-2</v>
      </c>
      <c r="E1081" s="346">
        <v>65031.6</v>
      </c>
    </row>
    <row r="1082" spans="1:5" x14ac:dyDescent="0.2">
      <c r="A1082" s="346" t="s">
        <v>13</v>
      </c>
      <c r="B1082" s="346" t="s">
        <v>14</v>
      </c>
      <c r="C1082" s="346">
        <v>12248</v>
      </c>
      <c r="D1082" s="346">
        <v>1.091E-2</v>
      </c>
      <c r="E1082" s="346">
        <v>133.63</v>
      </c>
    </row>
    <row r="1083" spans="1:5" x14ac:dyDescent="0.2">
      <c r="A1083" s="346" t="s">
        <v>5</v>
      </c>
      <c r="B1083" s="346" t="s">
        <v>1</v>
      </c>
      <c r="C1083" s="346">
        <v>959.649</v>
      </c>
      <c r="D1083" s="346">
        <v>1.1382912000000001</v>
      </c>
      <c r="E1083" s="346">
        <v>1092.3599999999999</v>
      </c>
    </row>
    <row r="1084" spans="1:5" x14ac:dyDescent="0.2">
      <c r="A1084" s="346" t="s">
        <v>2</v>
      </c>
      <c r="B1084" s="346" t="s">
        <v>1</v>
      </c>
      <c r="C1084" s="346">
        <v>328492</v>
      </c>
      <c r="D1084" s="346">
        <v>7.0699999999999999E-3</v>
      </c>
      <c r="E1084" s="346">
        <v>2322.44</v>
      </c>
    </row>
    <row r="1085" spans="1:5" x14ac:dyDescent="0.2">
      <c r="A1085" s="346" t="s">
        <v>0</v>
      </c>
      <c r="B1085" s="346" t="s">
        <v>1</v>
      </c>
      <c r="C1085" s="346">
        <v>420861</v>
      </c>
      <c r="D1085" s="346">
        <v>1.091E-2</v>
      </c>
      <c r="E1085" s="346">
        <v>4591.59</v>
      </c>
    </row>
    <row r="1086" spans="1:5" x14ac:dyDescent="0.2">
      <c r="A1086" s="346" t="s">
        <v>15</v>
      </c>
      <c r="B1086" s="346" t="s">
        <v>15</v>
      </c>
      <c r="C1086" s="346">
        <v>5550276</v>
      </c>
      <c r="D1086" s="346">
        <v>1.371E-2</v>
      </c>
      <c r="E1086" s="346">
        <v>76094.28</v>
      </c>
    </row>
    <row r="1087" spans="1:5" x14ac:dyDescent="0.2">
      <c r="A1087" s="346"/>
      <c r="B1087" s="346"/>
      <c r="C1087" s="346"/>
      <c r="D1087" s="346"/>
      <c r="E1087" s="346">
        <f>SUM(E5:E1086)</f>
        <v>51757037.779999956</v>
      </c>
    </row>
    <row r="1088" spans="1:5" x14ac:dyDescent="0.2">
      <c r="A1088" s="346"/>
      <c r="B1088" s="346"/>
      <c r="C1088" s="346"/>
      <c r="D1088" s="346"/>
      <c r="E1088" s="346"/>
    </row>
    <row r="1089" spans="1:5" x14ac:dyDescent="0.2">
      <c r="A1089" s="346"/>
      <c r="B1089" s="346"/>
      <c r="C1089" s="346"/>
      <c r="D1089" s="346"/>
      <c r="E1089" s="346"/>
    </row>
    <row r="1090" spans="1:5" x14ac:dyDescent="0.2">
      <c r="A1090" s="346"/>
      <c r="B1090" s="346"/>
      <c r="C1090" s="346"/>
      <c r="D1090" s="346"/>
      <c r="E1090" s="346"/>
    </row>
    <row r="1091" spans="1:5" x14ac:dyDescent="0.2">
      <c r="A1091" s="346"/>
      <c r="B1091" s="346"/>
      <c r="C1091" s="346"/>
      <c r="D1091" s="346"/>
      <c r="E1091" s="346"/>
    </row>
    <row r="1092" spans="1:5" x14ac:dyDescent="0.2">
      <c r="A1092" s="346"/>
      <c r="B1092" s="346"/>
      <c r="C1092" s="346"/>
      <c r="D1092" s="346"/>
      <c r="E1092" s="346"/>
    </row>
    <row r="1093" spans="1:5" x14ac:dyDescent="0.2">
      <c r="A1093" s="346"/>
      <c r="B1093" s="346"/>
      <c r="C1093" s="346"/>
      <c r="D1093" s="346"/>
      <c r="E1093" s="346"/>
    </row>
    <row r="1094" spans="1:5" x14ac:dyDescent="0.2">
      <c r="A1094" s="346"/>
      <c r="B1094" s="346"/>
      <c r="C1094" s="346"/>
      <c r="D1094" s="346"/>
      <c r="E1094" s="346"/>
    </row>
    <row r="1095" spans="1:5" x14ac:dyDescent="0.2">
      <c r="A1095" s="346"/>
      <c r="B1095" s="346"/>
      <c r="C1095" s="346"/>
      <c r="D1095" s="346"/>
      <c r="E1095" s="346"/>
    </row>
    <row r="1096" spans="1:5" x14ac:dyDescent="0.2">
      <c r="A1096" s="346"/>
      <c r="B1096" s="346"/>
      <c r="C1096" s="346"/>
      <c r="D1096" s="346"/>
      <c r="E1096" s="346"/>
    </row>
    <row r="1097" spans="1:5" x14ac:dyDescent="0.2">
      <c r="A1097" s="346"/>
      <c r="B1097" s="346"/>
      <c r="C1097" s="346"/>
      <c r="D1097" s="346"/>
      <c r="E1097" s="346"/>
    </row>
    <row r="1098" spans="1:5" x14ac:dyDescent="0.2">
      <c r="A1098" s="346"/>
      <c r="B1098" s="346"/>
      <c r="C1098" s="346"/>
      <c r="D1098" s="346"/>
      <c r="E1098" s="346"/>
    </row>
    <row r="1099" spans="1:5" x14ac:dyDescent="0.2">
      <c r="A1099" s="346"/>
      <c r="B1099" s="346"/>
      <c r="C1099" s="346"/>
      <c r="D1099" s="346"/>
      <c r="E1099" s="346"/>
    </row>
    <row r="1100" spans="1:5" x14ac:dyDescent="0.2">
      <c r="A1100" s="346"/>
      <c r="B1100" s="346"/>
      <c r="C1100" s="346"/>
      <c r="D1100" s="346"/>
      <c r="E1100" s="346"/>
    </row>
    <row r="1101" spans="1:5" x14ac:dyDescent="0.2">
      <c r="A1101" s="346"/>
      <c r="B1101" s="346"/>
      <c r="C1101" s="346"/>
      <c r="D1101" s="346"/>
      <c r="E1101" s="346"/>
    </row>
    <row r="1102" spans="1:5" x14ac:dyDescent="0.2">
      <c r="A1102" s="346"/>
      <c r="B1102" s="346"/>
      <c r="C1102" s="346"/>
      <c r="D1102" s="346"/>
      <c r="E1102" s="346"/>
    </row>
    <row r="1103" spans="1:5" x14ac:dyDescent="0.2">
      <c r="A1103" s="346"/>
      <c r="B1103" s="346"/>
      <c r="C1103" s="346"/>
      <c r="D1103" s="346"/>
      <c r="E1103" s="346"/>
    </row>
    <row r="1104" spans="1:5" x14ac:dyDescent="0.2">
      <c r="A1104" s="346"/>
      <c r="B1104" s="346"/>
      <c r="C1104" s="346"/>
      <c r="D1104" s="346"/>
      <c r="E1104" s="346"/>
    </row>
    <row r="1105" spans="1:5" x14ac:dyDescent="0.2">
      <c r="A1105" s="346"/>
      <c r="B1105" s="346"/>
      <c r="C1105" s="346"/>
      <c r="D1105" s="346"/>
      <c r="E1105" s="346"/>
    </row>
    <row r="1106" spans="1:5" x14ac:dyDescent="0.2">
      <c r="A1106" s="346"/>
      <c r="B1106" s="346"/>
      <c r="C1106" s="346"/>
      <c r="D1106" s="346"/>
      <c r="E1106" s="346"/>
    </row>
    <row r="1107" spans="1:5" x14ac:dyDescent="0.2">
      <c r="A1107" s="346"/>
      <c r="B1107" s="346"/>
      <c r="C1107" s="346"/>
      <c r="D1107" s="346"/>
      <c r="E1107" s="346"/>
    </row>
    <row r="1108" spans="1:5" x14ac:dyDescent="0.2">
      <c r="A1108" s="346"/>
      <c r="B1108" s="346"/>
      <c r="C1108" s="346"/>
      <c r="D1108" s="346"/>
      <c r="E1108" s="346"/>
    </row>
    <row r="1109" spans="1:5" x14ac:dyDescent="0.2">
      <c r="A1109" s="346"/>
      <c r="B1109" s="346"/>
      <c r="C1109" s="346"/>
      <c r="D1109" s="346"/>
      <c r="E1109" s="346"/>
    </row>
    <row r="1110" spans="1:5" x14ac:dyDescent="0.2">
      <c r="A1110" s="346"/>
      <c r="B1110" s="346"/>
      <c r="C1110" s="346"/>
      <c r="D1110" s="346"/>
      <c r="E1110" s="346"/>
    </row>
    <row r="1111" spans="1:5" x14ac:dyDescent="0.2">
      <c r="A1111" s="346"/>
      <c r="B1111" s="346"/>
      <c r="C1111" s="346"/>
      <c r="D1111" s="346"/>
      <c r="E1111" s="346"/>
    </row>
    <row r="1112" spans="1:5" x14ac:dyDescent="0.2">
      <c r="A1112" s="346"/>
      <c r="B1112" s="346"/>
      <c r="C1112" s="346"/>
      <c r="D1112" s="346"/>
      <c r="E1112" s="346"/>
    </row>
    <row r="1113" spans="1:5" x14ac:dyDescent="0.2">
      <c r="A1113" s="346"/>
      <c r="B1113" s="346"/>
      <c r="C1113" s="346"/>
      <c r="D1113" s="346"/>
      <c r="E1113" s="346"/>
    </row>
    <row r="1114" spans="1:5" x14ac:dyDescent="0.2">
      <c r="A1114" s="346"/>
      <c r="B1114" s="346"/>
      <c r="C1114" s="346"/>
      <c r="D1114" s="346"/>
      <c r="E1114" s="346"/>
    </row>
    <row r="1115" spans="1:5" x14ac:dyDescent="0.2">
      <c r="A1115" s="346"/>
      <c r="B1115" s="346"/>
      <c r="C1115" s="346"/>
      <c r="D1115" s="346"/>
      <c r="E1115" s="346"/>
    </row>
    <row r="1116" spans="1:5" x14ac:dyDescent="0.2">
      <c r="A1116" s="346"/>
      <c r="B1116" s="346"/>
      <c r="C1116" s="346"/>
      <c r="D1116" s="346"/>
      <c r="E1116" s="346"/>
    </row>
    <row r="1117" spans="1:5" x14ac:dyDescent="0.2">
      <c r="A1117" s="346"/>
      <c r="B1117" s="346"/>
      <c r="C1117" s="346"/>
      <c r="D1117" s="346"/>
      <c r="E1117" s="346"/>
    </row>
    <row r="1118" spans="1:5" x14ac:dyDescent="0.2">
      <c r="A1118" s="346"/>
      <c r="B1118" s="346"/>
      <c r="C1118" s="346"/>
      <c r="D1118" s="346"/>
      <c r="E1118" s="346"/>
    </row>
    <row r="1119" spans="1:5" x14ac:dyDescent="0.2">
      <c r="A1119" s="346"/>
      <c r="B1119" s="346"/>
      <c r="C1119" s="346"/>
      <c r="D1119" s="346"/>
      <c r="E1119" s="346"/>
    </row>
    <row r="1120" spans="1:5" x14ac:dyDescent="0.2">
      <c r="A1120" s="346"/>
      <c r="B1120" s="346"/>
      <c r="C1120" s="346"/>
      <c r="D1120" s="346"/>
      <c r="E1120" s="346"/>
    </row>
    <row r="1121" spans="1:5" x14ac:dyDescent="0.2">
      <c r="A1121" s="346"/>
      <c r="B1121" s="346"/>
      <c r="C1121" s="346"/>
      <c r="D1121" s="346"/>
      <c r="E1121" s="346"/>
    </row>
    <row r="1122" spans="1:5" x14ac:dyDescent="0.2">
      <c r="A1122" s="346"/>
      <c r="B1122" s="346"/>
      <c r="C1122" s="346"/>
      <c r="D1122" s="346"/>
      <c r="E1122" s="346"/>
    </row>
    <row r="1123" spans="1:5" x14ac:dyDescent="0.2">
      <c r="A1123" s="346"/>
      <c r="B1123" s="346"/>
      <c r="C1123" s="346"/>
      <c r="D1123" s="346"/>
      <c r="E1123" s="346"/>
    </row>
    <row r="1124" spans="1:5" x14ac:dyDescent="0.2">
      <c r="A1124" s="346"/>
      <c r="B1124" s="346"/>
      <c r="C1124" s="346"/>
      <c r="D1124" s="346"/>
      <c r="E1124" s="346"/>
    </row>
    <row r="1125" spans="1:5" x14ac:dyDescent="0.2">
      <c r="A1125" s="346"/>
      <c r="B1125" s="346"/>
      <c r="C1125" s="346"/>
      <c r="D1125" s="346"/>
      <c r="E1125" s="346"/>
    </row>
    <row r="1126" spans="1:5" x14ac:dyDescent="0.2">
      <c r="A1126" s="346"/>
      <c r="B1126" s="346"/>
      <c r="C1126" s="346"/>
      <c r="D1126" s="346"/>
      <c r="E1126" s="346"/>
    </row>
    <row r="1127" spans="1:5" x14ac:dyDescent="0.2">
      <c r="A1127" s="346"/>
      <c r="B1127" s="346"/>
      <c r="C1127" s="346"/>
      <c r="D1127" s="346"/>
      <c r="E1127" s="346"/>
    </row>
    <row r="1128" spans="1:5" x14ac:dyDescent="0.2">
      <c r="A1128" s="346"/>
      <c r="B1128" s="346"/>
      <c r="C1128" s="346"/>
      <c r="D1128" s="346"/>
      <c r="E1128" s="346"/>
    </row>
    <row r="1129" spans="1:5" x14ac:dyDescent="0.2">
      <c r="A1129" s="346"/>
      <c r="B1129" s="346"/>
      <c r="C1129" s="346"/>
      <c r="D1129" s="346"/>
      <c r="E1129" s="346"/>
    </row>
    <row r="1130" spans="1:5" x14ac:dyDescent="0.2">
      <c r="A1130" s="346"/>
      <c r="B1130" s="346"/>
      <c r="C1130" s="346"/>
      <c r="D1130" s="346"/>
      <c r="E1130" s="346"/>
    </row>
    <row r="1131" spans="1:5" x14ac:dyDescent="0.2">
      <c r="A1131" s="346"/>
      <c r="B1131" s="346"/>
      <c r="C1131" s="346"/>
      <c r="D1131" s="346"/>
      <c r="E1131" s="346"/>
    </row>
    <row r="1132" spans="1:5" x14ac:dyDescent="0.2">
      <c r="A1132" s="346"/>
      <c r="B1132" s="346"/>
      <c r="C1132" s="346"/>
      <c r="D1132" s="346"/>
      <c r="E1132" s="346"/>
    </row>
    <row r="1133" spans="1:5" x14ac:dyDescent="0.2">
      <c r="A1133" s="346"/>
      <c r="B1133" s="346"/>
      <c r="C1133" s="346"/>
      <c r="D1133" s="346"/>
      <c r="E1133" s="346"/>
    </row>
    <row r="1134" spans="1:5" x14ac:dyDescent="0.2">
      <c r="A1134" s="346"/>
      <c r="B1134" s="346"/>
      <c r="C1134" s="346"/>
      <c r="D1134" s="346"/>
      <c r="E1134" s="346"/>
    </row>
    <row r="1135" spans="1:5" x14ac:dyDescent="0.2">
      <c r="A1135" s="346"/>
      <c r="B1135" s="346"/>
      <c r="C1135" s="346"/>
      <c r="D1135" s="346"/>
      <c r="E1135" s="346"/>
    </row>
    <row r="1136" spans="1:5" x14ac:dyDescent="0.2">
      <c r="A1136" s="346"/>
      <c r="B1136" s="346"/>
      <c r="C1136" s="346"/>
      <c r="D1136" s="346"/>
      <c r="E1136" s="346"/>
    </row>
    <row r="1137" spans="1:5" x14ac:dyDescent="0.2">
      <c r="A1137" s="346"/>
      <c r="B1137" s="346"/>
      <c r="C1137" s="346"/>
      <c r="D1137" s="346"/>
      <c r="E1137" s="346"/>
    </row>
    <row r="1138" spans="1:5" x14ac:dyDescent="0.2">
      <c r="A1138" s="346"/>
      <c r="B1138" s="346"/>
      <c r="C1138" s="346"/>
      <c r="D1138" s="346"/>
      <c r="E1138" s="346"/>
    </row>
    <row r="1139" spans="1:5" x14ac:dyDescent="0.2">
      <c r="A1139" s="346"/>
      <c r="B1139" s="346"/>
      <c r="C1139" s="346"/>
      <c r="D1139" s="346"/>
      <c r="E1139" s="346"/>
    </row>
    <row r="1140" spans="1:5" x14ac:dyDescent="0.2">
      <c r="A1140" s="346"/>
      <c r="B1140" s="346"/>
      <c r="C1140" s="346"/>
      <c r="D1140" s="346"/>
      <c r="E1140" s="346"/>
    </row>
    <row r="1141" spans="1:5" x14ac:dyDescent="0.2">
      <c r="A1141" s="346"/>
      <c r="B1141" s="346"/>
      <c r="C1141" s="346"/>
      <c r="D1141" s="346"/>
      <c r="E1141" s="346"/>
    </row>
    <row r="1142" spans="1:5" x14ac:dyDescent="0.2">
      <c r="A1142" s="346"/>
      <c r="B1142" s="346"/>
      <c r="C1142" s="346"/>
      <c r="D1142" s="346"/>
      <c r="E1142" s="346"/>
    </row>
    <row r="1143" spans="1:5" x14ac:dyDescent="0.2">
      <c r="A1143" s="346"/>
      <c r="B1143" s="346"/>
      <c r="C1143" s="346"/>
      <c r="D1143" s="346"/>
      <c r="E1143" s="346"/>
    </row>
    <row r="1144" spans="1:5" x14ac:dyDescent="0.2">
      <c r="A1144" s="346"/>
      <c r="B1144" s="346"/>
      <c r="C1144" s="346"/>
      <c r="D1144" s="346"/>
      <c r="E1144" s="346"/>
    </row>
    <row r="1145" spans="1:5" x14ac:dyDescent="0.2">
      <c r="A1145" s="346"/>
      <c r="B1145" s="346"/>
      <c r="C1145" s="346"/>
      <c r="D1145" s="346"/>
      <c r="E1145" s="346"/>
    </row>
    <row r="1146" spans="1:5" x14ac:dyDescent="0.2">
      <c r="A1146" s="346"/>
      <c r="B1146" s="346"/>
      <c r="C1146" s="346"/>
      <c r="D1146" s="346"/>
      <c r="E1146" s="346"/>
    </row>
    <row r="1147" spans="1:5" x14ac:dyDescent="0.2">
      <c r="A1147" s="346"/>
      <c r="B1147" s="346"/>
      <c r="C1147" s="346"/>
      <c r="D1147" s="346"/>
      <c r="E1147" s="346"/>
    </row>
    <row r="1148" spans="1:5" x14ac:dyDescent="0.2">
      <c r="A1148" s="346"/>
      <c r="B1148" s="346"/>
      <c r="C1148" s="346"/>
      <c r="D1148" s="346"/>
      <c r="E1148" s="346"/>
    </row>
    <row r="1149" spans="1:5" x14ac:dyDescent="0.2">
      <c r="A1149" s="346"/>
      <c r="B1149" s="346"/>
      <c r="C1149" s="346"/>
      <c r="D1149" s="346"/>
      <c r="E1149" s="346"/>
    </row>
    <row r="1150" spans="1:5" x14ac:dyDescent="0.2">
      <c r="A1150" s="346"/>
      <c r="B1150" s="346"/>
      <c r="C1150" s="346"/>
      <c r="D1150" s="346"/>
      <c r="E1150" s="346"/>
    </row>
    <row r="1151" spans="1:5" x14ac:dyDescent="0.2">
      <c r="A1151" s="346"/>
      <c r="B1151" s="346"/>
      <c r="C1151" s="346"/>
      <c r="D1151" s="346"/>
      <c r="E1151" s="346"/>
    </row>
    <row r="1152" spans="1:5" x14ac:dyDescent="0.2">
      <c r="A1152" s="346"/>
      <c r="B1152" s="346"/>
      <c r="C1152" s="346"/>
      <c r="D1152" s="346"/>
      <c r="E1152" s="346"/>
    </row>
    <row r="1153" spans="1:5" x14ac:dyDescent="0.2">
      <c r="A1153" s="346"/>
      <c r="B1153" s="346"/>
      <c r="C1153" s="346"/>
      <c r="D1153" s="346"/>
      <c r="E1153" s="346"/>
    </row>
    <row r="1154" spans="1:5" x14ac:dyDescent="0.2">
      <c r="A1154" s="346"/>
      <c r="B1154" s="346"/>
      <c r="C1154" s="346"/>
      <c r="D1154" s="346"/>
      <c r="E1154" s="346"/>
    </row>
    <row r="1155" spans="1:5" x14ac:dyDescent="0.2">
      <c r="A1155" s="346"/>
      <c r="B1155" s="346"/>
      <c r="C1155" s="346"/>
      <c r="D1155" s="346"/>
      <c r="E1155" s="346"/>
    </row>
    <row r="1156" spans="1:5" x14ac:dyDescent="0.2">
      <c r="A1156" s="346"/>
      <c r="B1156" s="346"/>
      <c r="C1156" s="346"/>
      <c r="D1156" s="346"/>
      <c r="E1156" s="346"/>
    </row>
    <row r="1157" spans="1:5" x14ac:dyDescent="0.2">
      <c r="A1157" s="346"/>
      <c r="B1157" s="346"/>
      <c r="C1157" s="346"/>
      <c r="D1157" s="346"/>
      <c r="E1157" s="346"/>
    </row>
    <row r="1158" spans="1:5" x14ac:dyDescent="0.2">
      <c r="A1158" s="346"/>
      <c r="B1158" s="346"/>
      <c r="C1158" s="346"/>
      <c r="D1158" s="346"/>
      <c r="E1158" s="346"/>
    </row>
    <row r="1159" spans="1:5" x14ac:dyDescent="0.2">
      <c r="A1159" s="346"/>
      <c r="B1159" s="346"/>
      <c r="C1159" s="346"/>
      <c r="D1159" s="346"/>
      <c r="E1159" s="346"/>
    </row>
    <row r="1160" spans="1:5" x14ac:dyDescent="0.2">
      <c r="A1160" s="346"/>
      <c r="B1160" s="346"/>
      <c r="C1160" s="346"/>
      <c r="D1160" s="346"/>
      <c r="E1160" s="346"/>
    </row>
    <row r="1161" spans="1:5" x14ac:dyDescent="0.2">
      <c r="A1161" s="346"/>
      <c r="B1161" s="346"/>
      <c r="C1161" s="346"/>
      <c r="D1161" s="346"/>
      <c r="E1161" s="346"/>
    </row>
    <row r="1162" spans="1:5" x14ac:dyDescent="0.2">
      <c r="A1162" s="346"/>
      <c r="B1162" s="346"/>
      <c r="C1162" s="346"/>
      <c r="D1162" s="346"/>
      <c r="E1162" s="346"/>
    </row>
    <row r="1163" spans="1:5" x14ac:dyDescent="0.2">
      <c r="A1163" s="346"/>
      <c r="B1163" s="346"/>
      <c r="C1163" s="346"/>
      <c r="D1163" s="346"/>
      <c r="E1163" s="346"/>
    </row>
  </sheetData>
  <sortState xmlns:xlrd2="http://schemas.microsoft.com/office/spreadsheetml/2017/richdata2" ref="A5:E1163">
    <sortCondition ref="A5:A1163"/>
  </sortState>
  <mergeCells count="4">
    <mergeCell ref="K6:M6"/>
    <mergeCell ref="I6:J6"/>
    <mergeCell ref="I19:J19"/>
    <mergeCell ref="K19:M19"/>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F4192-82B6-4523-A936-AE097FF93419}">
  <dimension ref="A5:W32"/>
  <sheetViews>
    <sheetView workbookViewId="0">
      <selection activeCell="K29" sqref="K29"/>
    </sheetView>
  </sheetViews>
  <sheetFormatPr defaultRowHeight="12.75" x14ac:dyDescent="0.2"/>
  <cols>
    <col min="1" max="1" width="15.85546875" customWidth="1"/>
    <col min="3" max="3" width="13.42578125" customWidth="1"/>
    <col min="4" max="4" width="11.7109375" customWidth="1"/>
    <col min="5" max="5" width="15" customWidth="1"/>
    <col min="6" max="6" width="13.42578125" customWidth="1"/>
    <col min="9" max="9" width="11.7109375" bestFit="1" customWidth="1"/>
    <col min="10" max="10" width="12.7109375" customWidth="1"/>
    <col min="11" max="11" width="14" customWidth="1"/>
    <col min="12" max="12" width="11.7109375" customWidth="1"/>
    <col min="13" max="13" width="13.42578125" customWidth="1"/>
    <col min="14" max="14" width="11.7109375" customWidth="1"/>
    <col min="16" max="16" width="12.140625" customWidth="1"/>
    <col min="20" max="20" width="14" bestFit="1" customWidth="1"/>
    <col min="21" max="21" width="12.5703125" customWidth="1"/>
    <col min="22" max="22" width="13.85546875" bestFit="1" customWidth="1"/>
  </cols>
  <sheetData>
    <row r="5" spans="1:17" x14ac:dyDescent="0.2">
      <c r="C5" s="966" t="s">
        <v>38</v>
      </c>
      <c r="D5" s="966"/>
      <c r="E5" s="966"/>
      <c r="F5" s="966"/>
      <c r="I5" s="967" t="s">
        <v>39</v>
      </c>
      <c r="J5" s="967"/>
      <c r="K5" s="967"/>
      <c r="L5" s="967"/>
      <c r="M5" s="344"/>
      <c r="N5" s="344"/>
    </row>
    <row r="6" spans="1:17" s="319" customFormat="1" ht="38.25" x14ac:dyDescent="0.2">
      <c r="A6" s="319" t="s">
        <v>6</v>
      </c>
      <c r="B6" s="319" t="s">
        <v>40</v>
      </c>
      <c r="C6" s="319" t="s">
        <v>11</v>
      </c>
      <c r="D6" s="319" t="s">
        <v>41</v>
      </c>
      <c r="E6" s="319" t="s">
        <v>10</v>
      </c>
      <c r="F6" s="319" t="s">
        <v>42</v>
      </c>
      <c r="I6" s="319" t="s">
        <v>43</v>
      </c>
      <c r="J6" s="319" t="s">
        <v>44</v>
      </c>
      <c r="K6" s="319" t="s">
        <v>10</v>
      </c>
      <c r="L6" s="319" t="s">
        <v>9</v>
      </c>
      <c r="P6" s="315" t="s">
        <v>45</v>
      </c>
      <c r="Q6" s="319" t="s">
        <v>46</v>
      </c>
    </row>
    <row r="7" spans="1:17" x14ac:dyDescent="0.2">
      <c r="A7" s="405" t="s">
        <v>16</v>
      </c>
      <c r="B7" s="405" t="s">
        <v>47</v>
      </c>
      <c r="C7" s="338">
        <f>'Util Rev and Load Data'!C40</f>
        <v>344120371.27504444</v>
      </c>
      <c r="D7" s="332">
        <f>C7/C$16</f>
        <v>0.49641665021647458</v>
      </c>
      <c r="E7" s="314">
        <f>'Util Rev and Load Data'!C86</f>
        <v>2163164825</v>
      </c>
      <c r="F7" s="332" t="e">
        <f>E7/E16</f>
        <v>#DIV/0!</v>
      </c>
      <c r="I7" s="343">
        <f>'EEC Calculation'!B50</f>
        <v>45965402.139255516</v>
      </c>
      <c r="J7" s="313">
        <f>I$7*D7</f>
        <v>22817990.955822397</v>
      </c>
      <c r="K7" s="314">
        <f>'EEC Calculation'!C78</f>
        <v>2163164825</v>
      </c>
      <c r="L7" s="345">
        <f>J7/K7</f>
        <v>1.0548429177523445E-2</v>
      </c>
      <c r="M7" s="345"/>
      <c r="N7" s="345"/>
      <c r="P7" s="345">
        <f>'EEC Rates Report'!C8</f>
        <v>1.087464646988274E-2</v>
      </c>
      <c r="Q7" s="332">
        <f>L7/P7-1</f>
        <v>-2.999796759027995E-2</v>
      </c>
    </row>
    <row r="8" spans="1:17" x14ac:dyDescent="0.2">
      <c r="A8" s="405" t="s">
        <v>48</v>
      </c>
      <c r="K8" s="314"/>
      <c r="L8" s="345"/>
      <c r="M8" s="345"/>
      <c r="N8" s="345"/>
      <c r="P8" s="345"/>
    </row>
    <row r="9" spans="1:17" x14ac:dyDescent="0.2">
      <c r="A9" s="948" t="s">
        <v>49</v>
      </c>
      <c r="B9" s="405" t="s">
        <v>47</v>
      </c>
      <c r="C9" s="338">
        <f>'Util Rev and Load Data'!G40+'Util Rev and Load Data'!H40</f>
        <v>75045922.048721075</v>
      </c>
      <c r="D9" s="332">
        <f>C9/C$16</f>
        <v>0.10825876160076794</v>
      </c>
      <c r="E9" s="314">
        <f>'Util Rev and Load Data'!I86</f>
        <v>436959017</v>
      </c>
      <c r="F9" s="332" t="e">
        <f>E9/E$16</f>
        <v>#DIV/0!</v>
      </c>
      <c r="J9" s="313">
        <f>I$7*D9</f>
        <v>4976157.5120770922</v>
      </c>
      <c r="K9" s="314">
        <f>'EEC Calculation'!C108</f>
        <v>436959017</v>
      </c>
      <c r="L9" s="345">
        <f t="shared" ref="L9:L15" si="0">J9/K9</f>
        <v>1.1388156139313843E-2</v>
      </c>
      <c r="M9" s="345"/>
      <c r="N9" s="345"/>
      <c r="P9" s="345">
        <f>'EEC Rates Report'!C9</f>
        <v>9.7371259117171906E-3</v>
      </c>
      <c r="Q9" s="332">
        <f t="shared" ref="Q9:Q15" si="1">L9/P9-1</f>
        <v>0.1695603243262862</v>
      </c>
    </row>
    <row r="10" spans="1:17" x14ac:dyDescent="0.2">
      <c r="A10" s="948" t="s">
        <v>50</v>
      </c>
      <c r="B10" s="405" t="s">
        <v>47</v>
      </c>
      <c r="C10" s="338">
        <f>'Util Rev and Load Data'!K40</f>
        <v>126962619.9233041</v>
      </c>
      <c r="D10" s="332">
        <f>C10/C$16</f>
        <v>0.18315207045577403</v>
      </c>
      <c r="E10" s="314">
        <f>'Util Rev and Load Data'!K86</f>
        <v>1328761214.1200054</v>
      </c>
      <c r="F10" s="332" t="e">
        <f>E10/E$16</f>
        <v>#DIV/0!</v>
      </c>
      <c r="J10" s="313">
        <f>I$7*D10</f>
        <v>8418658.5711369123</v>
      </c>
      <c r="K10" s="314">
        <f>'EEC Calculation'!B113</f>
        <v>1328761214.1200054</v>
      </c>
      <c r="L10" s="345">
        <f t="shared" si="0"/>
        <v>6.3357196776038585E-3</v>
      </c>
      <c r="M10" s="345"/>
      <c r="N10" s="345"/>
      <c r="P10" s="345">
        <f>'EEC Rates Report'!C13</f>
        <v>6.2050954098569547E-3</v>
      </c>
      <c r="Q10" s="332">
        <f t="shared" si="1"/>
        <v>2.1051129615090813E-2</v>
      </c>
    </row>
    <row r="11" spans="1:17" x14ac:dyDescent="0.2">
      <c r="A11" s="948" t="s">
        <v>50</v>
      </c>
      <c r="B11" s="405" t="s">
        <v>51</v>
      </c>
      <c r="C11" s="338">
        <f>'Util Rev and Load Data'!L40</f>
        <v>64119020.733800009</v>
      </c>
      <c r="D11" s="332">
        <f>C11/C$16</f>
        <v>9.2495975666587835E-2</v>
      </c>
      <c r="E11" s="314">
        <f>'Util Rev and Load Data'!L86</f>
        <v>4003586.9160000002</v>
      </c>
      <c r="F11" s="332" t="e">
        <f>E11/E$16</f>
        <v>#DIV/0!</v>
      </c>
      <c r="J11" s="313">
        <f>I$7*D11</f>
        <v>4251614.7177775027</v>
      </c>
      <c r="K11" s="314">
        <f>'EEC Calculation'!B116</f>
        <v>4003586.9160000002</v>
      </c>
      <c r="L11" s="345">
        <f t="shared" si="0"/>
        <v>1.0619513968302474</v>
      </c>
      <c r="M11" s="345"/>
      <c r="N11" s="345"/>
      <c r="P11" s="345">
        <f>'EEC Rates Report'!C14</f>
        <v>1.1722550893561516</v>
      </c>
      <c r="Q11" s="332">
        <f t="shared" si="1"/>
        <v>-9.4095298478496958E-2</v>
      </c>
    </row>
    <row r="12" spans="1:17" x14ac:dyDescent="0.2">
      <c r="A12" s="405" t="s">
        <v>52</v>
      </c>
      <c r="E12" s="314"/>
      <c r="K12" s="314"/>
      <c r="L12" s="345"/>
      <c r="M12" s="345"/>
      <c r="N12" s="345"/>
      <c r="P12" s="345"/>
      <c r="Q12" s="332"/>
    </row>
    <row r="13" spans="1:17" x14ac:dyDescent="0.2">
      <c r="A13" s="948" t="s">
        <v>49</v>
      </c>
      <c r="B13" s="405" t="s">
        <v>47</v>
      </c>
      <c r="C13" s="338">
        <f>'Util Rev and Load Data'!S40</f>
        <v>784030</v>
      </c>
      <c r="D13" s="332">
        <f>C13/C$16</f>
        <v>1.13101571065708E-3</v>
      </c>
      <c r="E13" s="314">
        <f>'Util Rev and Load Data'!S86</f>
        <v>5557123</v>
      </c>
      <c r="F13" s="332" t="e">
        <f>E13/E$16</f>
        <v>#DIV/0!</v>
      </c>
      <c r="J13" s="313">
        <f>I$7*D13</f>
        <v>51987.591966168548</v>
      </c>
      <c r="K13" s="314">
        <f>'EEC Calculation'!C125</f>
        <v>5557123</v>
      </c>
      <c r="L13" s="345">
        <f t="shared" si="0"/>
        <v>9.3551270983508097E-3</v>
      </c>
      <c r="M13" s="345"/>
      <c r="N13" s="345"/>
      <c r="P13" s="345">
        <f>'EEC Rates Report'!C10</f>
        <v>7.2798137388989659E-3</v>
      </c>
      <c r="Q13" s="332">
        <f t="shared" si="1"/>
        <v>0.28507781021410095</v>
      </c>
    </row>
    <row r="14" spans="1:17" x14ac:dyDescent="0.2">
      <c r="A14" s="948" t="s">
        <v>50</v>
      </c>
      <c r="B14" s="405" t="s">
        <v>47</v>
      </c>
      <c r="C14" s="338">
        <f>'Util Rev and Load Data'!V40</f>
        <v>58191599.259999998</v>
      </c>
      <c r="D14" s="332">
        <f>C14/C$16</f>
        <v>8.3945273766719258E-2</v>
      </c>
      <c r="E14" s="314">
        <f>'Util Rev and Load Data'!V86</f>
        <v>699115184</v>
      </c>
      <c r="F14" s="332" t="e">
        <f>E14/E$16</f>
        <v>#DIV/0!</v>
      </c>
      <c r="J14" s="313">
        <f>I$7*D14</f>
        <v>3858578.2663771473</v>
      </c>
      <c r="K14" s="314">
        <f>'EEC Calculation'!B130</f>
        <v>699115184</v>
      </c>
      <c r="L14" s="345">
        <f t="shared" si="0"/>
        <v>5.5192311005179762E-3</v>
      </c>
      <c r="M14" s="345"/>
      <c r="N14" s="345"/>
      <c r="P14" s="345">
        <f>'EEC Rates Report'!C16</f>
        <v>4.8941202329454321E-3</v>
      </c>
      <c r="Q14" s="332">
        <f t="shared" si="1"/>
        <v>0.12772691266645353</v>
      </c>
    </row>
    <row r="15" spans="1:17" s="309" customFormat="1" x14ac:dyDescent="0.2">
      <c r="A15" s="341" t="s">
        <v>50</v>
      </c>
      <c r="B15" s="309" t="s">
        <v>51</v>
      </c>
      <c r="C15" s="342">
        <f>'Util Rev and Load Data'!W40</f>
        <v>23985198.240000002</v>
      </c>
      <c r="D15" s="327">
        <f>C15/C$16</f>
        <v>3.46002525830192E-2</v>
      </c>
      <c r="E15" s="326">
        <f>'Util Rev and Load Data'!W86</f>
        <v>1527046.4739999999</v>
      </c>
      <c r="F15" s="327" t="e">
        <f>E15/E$16</f>
        <v>#DIV/0!</v>
      </c>
      <c r="J15" s="317">
        <f>I$7*D15</f>
        <v>1590414.524098292</v>
      </c>
      <c r="K15" s="326">
        <f>'EEC Calculation'!B133</f>
        <v>1527046.4739999999</v>
      </c>
      <c r="L15" s="371">
        <f t="shared" si="0"/>
        <v>1.041497132652619</v>
      </c>
      <c r="M15" s="371"/>
      <c r="N15" s="371"/>
      <c r="P15" s="345">
        <f>'EEC Rates Report'!C17</f>
        <v>1.0922225241864583</v>
      </c>
      <c r="Q15" s="332">
        <f t="shared" si="1"/>
        <v>-4.644235987682277E-2</v>
      </c>
    </row>
    <row r="16" spans="1:17" s="179" customFormat="1" x14ac:dyDescent="0.2">
      <c r="A16" s="339" t="s">
        <v>53</v>
      </c>
      <c r="C16" s="340">
        <f>SUM(C7:C15)</f>
        <v>693208761.48086965</v>
      </c>
      <c r="D16" s="334">
        <f>SUM(D7:D15)</f>
        <v>0.99999999999999989</v>
      </c>
      <c r="E16" s="340"/>
      <c r="F16" s="334" t="e">
        <f>SUM(F7:F15)</f>
        <v>#DIV/0!</v>
      </c>
      <c r="J16" s="318">
        <f>SUM(J7:J15)</f>
        <v>45965402.139255509</v>
      </c>
      <c r="K16" s="336"/>
      <c r="P16"/>
    </row>
    <row r="19" spans="1:23" x14ac:dyDescent="0.2">
      <c r="C19" s="966" t="s">
        <v>54</v>
      </c>
      <c r="D19" s="966"/>
      <c r="E19" s="966"/>
      <c r="F19" s="966"/>
      <c r="I19" s="967" t="s">
        <v>39</v>
      </c>
      <c r="J19" s="967"/>
      <c r="K19" s="967"/>
      <c r="L19" s="967"/>
      <c r="M19" s="344"/>
      <c r="N19" s="344"/>
    </row>
    <row r="20" spans="1:23" ht="25.5" x14ac:dyDescent="0.2">
      <c r="A20" s="319" t="s">
        <v>6</v>
      </c>
      <c r="B20" s="319" t="s">
        <v>40</v>
      </c>
      <c r="C20" s="319" t="s">
        <v>11</v>
      </c>
      <c r="D20" s="319" t="s">
        <v>41</v>
      </c>
      <c r="E20" s="319" t="s">
        <v>10</v>
      </c>
      <c r="G20" s="319"/>
      <c r="H20" s="319"/>
      <c r="I20" s="319" t="s">
        <v>43</v>
      </c>
      <c r="J20" s="319" t="s">
        <v>44</v>
      </c>
      <c r="K20" s="319" t="s">
        <v>10</v>
      </c>
      <c r="L20" s="319" t="s">
        <v>9</v>
      </c>
      <c r="M20" s="319" t="s">
        <v>55</v>
      </c>
      <c r="N20" s="319"/>
      <c r="O20" s="319"/>
      <c r="P20" s="349" t="s">
        <v>45</v>
      </c>
      <c r="Q20" s="319" t="s">
        <v>46</v>
      </c>
      <c r="T20" s="349" t="s">
        <v>56</v>
      </c>
      <c r="U20" s="319" t="s">
        <v>57</v>
      </c>
    </row>
    <row r="21" spans="1:23" x14ac:dyDescent="0.2">
      <c r="A21" s="405" t="s">
        <v>16</v>
      </c>
      <c r="B21" s="405" t="s">
        <v>47</v>
      </c>
      <c r="C21" s="338">
        <f>'2019 Detailed True-up'!J8</f>
        <v>26737262.47169999</v>
      </c>
      <c r="D21" s="332">
        <f>C21/C$30</f>
        <v>0.52180992167283946</v>
      </c>
      <c r="E21" s="314">
        <f>E7</f>
        <v>2163164825</v>
      </c>
      <c r="F21" s="174">
        <f>C21*M21</f>
        <v>25400399.34811499</v>
      </c>
      <c r="G21" s="332">
        <f>F21/F$30</f>
        <v>0.51992470959924464</v>
      </c>
      <c r="H21" s="332"/>
      <c r="I21" s="343">
        <f>I7</f>
        <v>45965402.139255516</v>
      </c>
      <c r="J21" s="313">
        <f>I$21*G21</f>
        <v>23898548.358864922</v>
      </c>
      <c r="K21" s="314">
        <f>K7</f>
        <v>2163164825</v>
      </c>
      <c r="L21" s="345">
        <f>J21/K21</f>
        <v>1.1047955330387237E-2</v>
      </c>
      <c r="M21" s="332">
        <f>1-2.5*2%</f>
        <v>0.95</v>
      </c>
      <c r="N21" s="345"/>
      <c r="P21" s="345">
        <f>P7</f>
        <v>1.087464646988274E-2</v>
      </c>
      <c r="Q21" s="332">
        <f>L21/P21-1</f>
        <v>1.593696503003339E-2</v>
      </c>
      <c r="S21" s="345">
        <f>L21-P21</f>
        <v>1.7330886050449627E-4</v>
      </c>
      <c r="T21" s="372">
        <f>-S21*K21</f>
        <v>-374895.63090415811</v>
      </c>
      <c r="U21" s="372"/>
      <c r="V21" s="345">
        <f>(J21+T21)/K21</f>
        <v>1.087464646988274E-2</v>
      </c>
      <c r="W21" s="332">
        <f>V21/P21-1</f>
        <v>0</v>
      </c>
    </row>
    <row r="22" spans="1:23" x14ac:dyDescent="0.2">
      <c r="A22" s="405" t="s">
        <v>48</v>
      </c>
      <c r="K22" s="314"/>
      <c r="L22" s="345"/>
      <c r="M22" s="332"/>
      <c r="N22" s="345"/>
      <c r="P22" s="345"/>
      <c r="W22" s="332"/>
    </row>
    <row r="23" spans="1:23" x14ac:dyDescent="0.2">
      <c r="A23" s="948" t="s">
        <v>49</v>
      </c>
      <c r="B23" s="405" t="s">
        <v>47</v>
      </c>
      <c r="C23" s="338">
        <f>'2019 Detailed True-up'!J9+'2019 Detailed True-up'!J15</f>
        <v>3516924.5298000001</v>
      </c>
      <c r="D23" s="332">
        <f>C23/C$30</f>
        <v>6.8637023530986177E-2</v>
      </c>
      <c r="E23" s="314">
        <f>E9</f>
        <v>436959017</v>
      </c>
      <c r="F23" s="174">
        <f>C23*M23</f>
        <v>3319976.7561312001</v>
      </c>
      <c r="G23" s="332">
        <f t="shared" ref="G23:G29" si="2">F23/F$30</f>
        <v>6.7957118592934893E-2</v>
      </c>
      <c r="H23" s="332"/>
      <c r="J23" s="313">
        <f t="shared" ref="J23:J29" si="3">I$21*G23</f>
        <v>3123676.2843493302</v>
      </c>
      <c r="K23" s="314">
        <f>K9</f>
        <v>436959017</v>
      </c>
      <c r="L23" s="345">
        <f>J23/K23</f>
        <v>7.1486710717067782E-3</v>
      </c>
      <c r="M23" s="332">
        <f>1-0.028*2</f>
        <v>0.94399999999999995</v>
      </c>
      <c r="N23" s="345"/>
      <c r="P23" s="345">
        <f>P9</f>
        <v>9.7371259117171906E-3</v>
      </c>
      <c r="Q23" s="332">
        <f>L23/P23-1</f>
        <v>-0.26583355945881215</v>
      </c>
      <c r="S23" s="332">
        <f>J23/SUM(J$23:J$29)</f>
        <v>0.14155512677231505</v>
      </c>
      <c r="T23" s="174">
        <f>-T$21*S23</f>
        <v>53068.398559025132</v>
      </c>
      <c r="U23" s="174"/>
      <c r="V23" s="345">
        <f>(T23+J23)/K23</f>
        <v>7.2701204445183819E-3</v>
      </c>
      <c r="W23" s="332">
        <f>V23/P23-1</f>
        <v>-0.25336074418326382</v>
      </c>
    </row>
    <row r="24" spans="1:23" x14ac:dyDescent="0.2">
      <c r="A24" s="948" t="s">
        <v>50</v>
      </c>
      <c r="B24" s="405" t="s">
        <v>47</v>
      </c>
      <c r="C24" s="338">
        <f>'2019 Detailed True-up'!J10</f>
        <v>10337574.287700003</v>
      </c>
      <c r="D24" s="332">
        <f>C24/C$30</f>
        <v>0.20175022910671694</v>
      </c>
      <c r="E24" s="314">
        <f>E10</f>
        <v>1328761214.1200054</v>
      </c>
      <c r="F24" s="174">
        <f>C24*M24</f>
        <v>9758670.1275888029</v>
      </c>
      <c r="G24" s="332">
        <f t="shared" si="2"/>
        <v>0.19975173077497169</v>
      </c>
      <c r="H24" s="332"/>
      <c r="J24" s="313">
        <f t="shared" si="3"/>
        <v>9181668.6330838762</v>
      </c>
      <c r="K24" s="314">
        <f>K10</f>
        <v>1328761214.1200054</v>
      </c>
      <c r="L24" s="345">
        <f>J24/K24</f>
        <v>6.9099462984886957E-3</v>
      </c>
      <c r="M24" s="332">
        <f>1-0.028*2</f>
        <v>0.94399999999999995</v>
      </c>
      <c r="N24" s="345"/>
      <c r="P24" s="345">
        <f>P10</f>
        <v>6.2050954098569547E-3</v>
      </c>
      <c r="Q24" s="332">
        <f>L24/P24-1</f>
        <v>0.11359227249142156</v>
      </c>
      <c r="S24" s="332">
        <f>J24/SUM(J$23:J$29)</f>
        <v>0.41608417423072064</v>
      </c>
      <c r="T24" s="174">
        <f t="shared" ref="T24:T29" si="4">-T$21*S24</f>
        <v>155988.13900746166</v>
      </c>
      <c r="U24" s="174"/>
      <c r="V24" s="345">
        <f>(T24+J24)/K24</f>
        <v>7.027339956092382E-3</v>
      </c>
      <c r="W24" s="332">
        <f>V24/P24-1</f>
        <v>0.13251118507046167</v>
      </c>
    </row>
    <row r="25" spans="1:23" x14ac:dyDescent="0.2">
      <c r="A25" s="948" t="s">
        <v>50</v>
      </c>
      <c r="B25" s="405" t="s">
        <v>51</v>
      </c>
      <c r="C25" s="338">
        <f>'2019 Detailed True-up'!J11</f>
        <v>4870660.5188999986</v>
      </c>
      <c r="D25" s="332">
        <f>C25/C$30</f>
        <v>9.5056813933449946E-2</v>
      </c>
      <c r="E25" s="314">
        <f>E11</f>
        <v>4003586.9160000002</v>
      </c>
      <c r="F25" s="174">
        <f>C25*M25</f>
        <v>4597903.5298415981</v>
      </c>
      <c r="G25" s="332">
        <f t="shared" si="2"/>
        <v>9.4115199716166775E-2</v>
      </c>
      <c r="H25" s="332"/>
      <c r="J25" s="313">
        <f t="shared" si="3"/>
        <v>4326043.0023699524</v>
      </c>
      <c r="K25" s="314">
        <f>K11</f>
        <v>4003586.9160000002</v>
      </c>
      <c r="L25" s="345">
        <f>J25/K25</f>
        <v>1.0805417974270231</v>
      </c>
      <c r="M25" s="332">
        <f>1-0.028*2</f>
        <v>0.94399999999999995</v>
      </c>
      <c r="N25" s="345"/>
      <c r="P25" s="345">
        <f>P11</f>
        <v>1.1722550893561516</v>
      </c>
      <c r="Q25" s="332">
        <f>L25/P25-1</f>
        <v>-7.8236633614873985E-2</v>
      </c>
      <c r="S25" s="332">
        <f>J25/SUM(J$23:J$29)</f>
        <v>0.19604258248243031</v>
      </c>
      <c r="T25" s="174">
        <f t="shared" si="4"/>
        <v>73495.507643831166</v>
      </c>
      <c r="U25" s="174"/>
      <c r="V25" s="345">
        <f>(T25+J25)/K25</f>
        <v>1.0988992127113304</v>
      </c>
      <c r="W25" s="332">
        <f>V25/P25-1</f>
        <v>-6.2576718421509359E-2</v>
      </c>
    </row>
    <row r="26" spans="1:23" x14ac:dyDescent="0.2">
      <c r="A26" s="405" t="s">
        <v>52</v>
      </c>
      <c r="C26" s="338"/>
      <c r="E26" s="314"/>
      <c r="F26" s="174"/>
      <c r="G26" s="332"/>
      <c r="H26" s="332"/>
      <c r="K26" s="314"/>
      <c r="L26" s="345"/>
      <c r="M26" s="332"/>
      <c r="N26" s="345"/>
      <c r="P26" s="345"/>
      <c r="Q26" s="332"/>
      <c r="S26" s="332"/>
      <c r="T26" s="174"/>
      <c r="U26" s="174"/>
      <c r="V26" s="345"/>
      <c r="W26" s="332"/>
    </row>
    <row r="27" spans="1:23" x14ac:dyDescent="0.2">
      <c r="A27" s="948" t="s">
        <v>49</v>
      </c>
      <c r="B27" s="405" t="s">
        <v>47</v>
      </c>
      <c r="C27" s="338">
        <f>'2019 Detailed True-up'!J12</f>
        <v>44744.495400000007</v>
      </c>
      <c r="D27" s="332">
        <f>C27/C$30</f>
        <v>8.7324278858680879E-4</v>
      </c>
      <c r="E27" s="314">
        <f>E13</f>
        <v>5557123</v>
      </c>
      <c r="F27" s="174">
        <f>C27*M27</f>
        <v>44744.495400000007</v>
      </c>
      <c r="G27" s="332">
        <f t="shared" si="2"/>
        <v>9.1588200871086647E-4</v>
      </c>
      <c r="H27" s="332"/>
      <c r="J27" s="313">
        <f t="shared" si="3"/>
        <v>42098.8848425041</v>
      </c>
      <c r="K27" s="314">
        <f>K13</f>
        <v>5557123</v>
      </c>
      <c r="L27" s="345">
        <f>J27/K27</f>
        <v>7.5756618744094919E-3</v>
      </c>
      <c r="M27" s="332">
        <v>1</v>
      </c>
      <c r="N27" s="345"/>
      <c r="P27" s="345">
        <f>P13</f>
        <v>7.2798137388989659E-3</v>
      </c>
      <c r="Q27" s="332">
        <f>L27/P27-1</f>
        <v>4.0639519927507362E-2</v>
      </c>
      <c r="S27" s="332">
        <f>J27/SUM(J$23:J$29)</f>
        <v>1.9077882720152292E-3</v>
      </c>
      <c r="T27" s="174">
        <f t="shared" si="4"/>
        <v>715.22148786870298</v>
      </c>
      <c r="U27" s="174"/>
      <c r="V27" s="345">
        <f>(T27+J27)/K27</f>
        <v>7.704365429804739E-3</v>
      </c>
      <c r="W27" s="332">
        <f>V27/P27-1</f>
        <v>5.831903207045297E-2</v>
      </c>
    </row>
    <row r="28" spans="1:23" x14ac:dyDescent="0.2">
      <c r="A28" s="948" t="s">
        <v>50</v>
      </c>
      <c r="B28" s="405" t="s">
        <v>47</v>
      </c>
      <c r="C28" s="338">
        <f>'2019 Detailed True-up'!J13</f>
        <v>3776434.9920000006</v>
      </c>
      <c r="D28" s="332">
        <f>C28/C$30</f>
        <v>7.3701683164604043E-2</v>
      </c>
      <c r="E28" s="314">
        <f>E14</f>
        <v>699115184</v>
      </c>
      <c r="F28" s="174">
        <f>C28*M28</f>
        <v>3776434.9920000006</v>
      </c>
      <c r="G28" s="332">
        <f t="shared" si="2"/>
        <v>7.7300432943064656E-2</v>
      </c>
      <c r="H28" s="332"/>
      <c r="J28" s="313">
        <f t="shared" si="3"/>
        <v>3553145.4857665217</v>
      </c>
      <c r="K28" s="314">
        <f>K14</f>
        <v>699115184</v>
      </c>
      <c r="L28" s="345">
        <f>J28/K28</f>
        <v>5.0823463244456177E-3</v>
      </c>
      <c r="M28" s="332">
        <v>1</v>
      </c>
      <c r="N28" s="345"/>
      <c r="P28" s="345">
        <f>P14</f>
        <v>4.8941202329454321E-3</v>
      </c>
      <c r="Q28" s="332">
        <f>L28/P28-1</f>
        <v>3.8459637798253565E-2</v>
      </c>
      <c r="S28" s="332">
        <f>J28/SUM(J$23:J$29)</f>
        <v>0.16101731226061666</v>
      </c>
      <c r="T28" s="174">
        <f t="shared" si="4"/>
        <v>60364.686866435717</v>
      </c>
      <c r="U28" s="174"/>
      <c r="V28" s="345">
        <f>(T28+J28)/K28</f>
        <v>5.1686907327032931E-3</v>
      </c>
      <c r="W28" s="332">
        <f>V28/P28-1</f>
        <v>5.6102115740751968E-2</v>
      </c>
    </row>
    <row r="29" spans="1:23" ht="15" x14ac:dyDescent="0.35">
      <c r="A29" s="341" t="s">
        <v>50</v>
      </c>
      <c r="B29" s="309" t="s">
        <v>51</v>
      </c>
      <c r="C29" s="370">
        <f>'2019 Detailed True-up'!J14</f>
        <v>1955866.1066999999</v>
      </c>
      <c r="D29" s="327">
        <f>C29/C$30</f>
        <v>3.8171085802816598E-2</v>
      </c>
      <c r="E29" s="326">
        <f>E15</f>
        <v>1527046.4739999999</v>
      </c>
      <c r="F29" s="373">
        <f>C29*M29</f>
        <v>1955866.1066999999</v>
      </c>
      <c r="G29" s="332">
        <f t="shared" si="2"/>
        <v>4.0034926364906499E-2</v>
      </c>
      <c r="H29" s="332"/>
      <c r="I29" s="309"/>
      <c r="J29" s="317">
        <f t="shared" si="3"/>
        <v>1840221.4899784103</v>
      </c>
      <c r="K29" s="326">
        <f>K15</f>
        <v>1527046.4739999999</v>
      </c>
      <c r="L29" s="371">
        <f>J29/K29</f>
        <v>1.2050854517597416</v>
      </c>
      <c r="M29" s="327">
        <v>1</v>
      </c>
      <c r="N29" s="371"/>
      <c r="O29" s="309"/>
      <c r="P29" s="345">
        <f>P15</f>
        <v>1.0922225241864583</v>
      </c>
      <c r="Q29" s="332">
        <f>L29/P29-1</f>
        <v>0.10333327236347678</v>
      </c>
      <c r="S29" s="332">
        <f>J29/SUM(J$23:J$29)</f>
        <v>8.339301598190213E-2</v>
      </c>
      <c r="T29" s="174">
        <f t="shared" si="4"/>
        <v>31263.677339535738</v>
      </c>
      <c r="U29" s="174"/>
      <c r="V29" s="345">
        <f>(T29+J29)/K29</f>
        <v>1.2255587496402196</v>
      </c>
      <c r="W29" s="332">
        <f>V29/P29-1</f>
        <v>0.12207789392832447</v>
      </c>
    </row>
    <row r="30" spans="1:23" x14ac:dyDescent="0.2">
      <c r="A30" s="339" t="s">
        <v>53</v>
      </c>
      <c r="B30" s="179"/>
      <c r="C30" s="340">
        <f>SUM(C21:C29)</f>
        <v>51239467.402199991</v>
      </c>
      <c r="D30" s="334">
        <f>SUM(D21:D29)</f>
        <v>0.99999999999999989</v>
      </c>
      <c r="E30" s="340"/>
      <c r="F30" s="174">
        <f>SUM(F21:F29)</f>
        <v>48853995.355776593</v>
      </c>
      <c r="G30" s="179"/>
      <c r="H30" s="179"/>
      <c r="I30" s="179"/>
      <c r="J30" s="318">
        <f>SUM(J21:J29)</f>
        <v>45965402.139255524</v>
      </c>
      <c r="K30" s="336"/>
      <c r="L30" s="179"/>
      <c r="M30" s="179"/>
      <c r="N30" s="179"/>
      <c r="O30" s="179"/>
      <c r="Q30" s="179"/>
    </row>
    <row r="31" spans="1:23" x14ac:dyDescent="0.2">
      <c r="K31" s="329">
        <f>K21+K23+K24+K27+K28</f>
        <v>4633557363.1200056</v>
      </c>
    </row>
    <row r="32" spans="1:23" x14ac:dyDescent="0.2">
      <c r="K32" s="329">
        <f>K25+K29</f>
        <v>5530633.3900000006</v>
      </c>
    </row>
  </sheetData>
  <mergeCells count="4">
    <mergeCell ref="C5:F5"/>
    <mergeCell ref="I5:L5"/>
    <mergeCell ref="C19:F19"/>
    <mergeCell ref="I19:L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769D2-CEAF-46E0-85D4-CA1792C812DC}">
  <dimension ref="A4:AD110"/>
  <sheetViews>
    <sheetView topLeftCell="A71" workbookViewId="0">
      <selection activeCell="F98" sqref="F98"/>
    </sheetView>
  </sheetViews>
  <sheetFormatPr defaultRowHeight="12.75" x14ac:dyDescent="0.2"/>
  <cols>
    <col min="1" max="1" width="34.5703125" bestFit="1" customWidth="1"/>
    <col min="3" max="3" width="14.42578125" bestFit="1" customWidth="1"/>
    <col min="7" max="7" width="12.7109375" bestFit="1" customWidth="1"/>
    <col min="8" max="8" width="11.7109375" bestFit="1" customWidth="1"/>
    <col min="9" max="9" width="12.7109375" bestFit="1" customWidth="1"/>
    <col min="11" max="11" width="14.42578125" bestFit="1" customWidth="1"/>
    <col min="12" max="14" width="10.7109375" bestFit="1" customWidth="1"/>
    <col min="15" max="15" width="5.140625" bestFit="1" customWidth="1"/>
    <col min="16" max="16" width="14.42578125" bestFit="1" customWidth="1"/>
    <col min="19" max="19" width="11.28515625" bestFit="1" customWidth="1"/>
    <col min="22" max="22" width="14.42578125" bestFit="1" customWidth="1"/>
    <col min="23" max="25" width="10.7109375" bestFit="1" customWidth="1"/>
    <col min="26" max="26" width="5.140625" bestFit="1" customWidth="1"/>
    <col min="27" max="27" width="14.42578125" bestFit="1" customWidth="1"/>
    <col min="28" max="28" width="9" bestFit="1" customWidth="1"/>
    <col min="29" max="29" width="14.42578125" bestFit="1" customWidth="1"/>
    <col min="30" max="30" width="11.7109375" bestFit="1" customWidth="1"/>
  </cols>
  <sheetData>
    <row r="4" spans="1:30" ht="13.5" thickBot="1" x14ac:dyDescent="0.25"/>
    <row r="5" spans="1:30" ht="15" x14ac:dyDescent="0.25">
      <c r="A5" s="23"/>
      <c r="B5" s="968" t="s">
        <v>16</v>
      </c>
      <c r="C5" s="969"/>
      <c r="D5" s="970"/>
      <c r="E5" s="19"/>
      <c r="F5" s="968" t="s">
        <v>58</v>
      </c>
      <c r="G5" s="969"/>
      <c r="H5" s="969"/>
      <c r="I5" s="969"/>
      <c r="J5" s="969"/>
      <c r="K5" s="969"/>
      <c r="L5" s="969"/>
      <c r="M5" s="969"/>
      <c r="N5" s="969"/>
      <c r="O5" s="969"/>
      <c r="P5" s="970"/>
      <c r="Q5" s="392"/>
      <c r="R5" s="968" t="s">
        <v>59</v>
      </c>
      <c r="S5" s="969"/>
      <c r="T5" s="969"/>
      <c r="U5" s="969"/>
      <c r="V5" s="969"/>
      <c r="W5" s="969"/>
      <c r="X5" s="969"/>
      <c r="Y5" s="969"/>
      <c r="Z5" s="969"/>
      <c r="AA5" s="970"/>
      <c r="AB5" s="23"/>
      <c r="AC5" s="126"/>
      <c r="AD5" s="127"/>
    </row>
    <row r="6" spans="1:30" ht="15" x14ac:dyDescent="0.25">
      <c r="A6" s="399">
        <v>2019</v>
      </c>
      <c r="B6" s="75"/>
      <c r="C6" s="128"/>
      <c r="D6" s="78"/>
      <c r="E6" s="75"/>
      <c r="F6" s="75"/>
      <c r="G6" s="971" t="s">
        <v>60</v>
      </c>
      <c r="H6" s="972"/>
      <c r="I6" s="972"/>
      <c r="J6" s="76"/>
      <c r="K6" s="971" t="s">
        <v>61</v>
      </c>
      <c r="L6" s="972"/>
      <c r="M6" s="972"/>
      <c r="N6" s="972"/>
      <c r="O6" s="972"/>
      <c r="P6" s="129"/>
      <c r="Q6" s="19"/>
      <c r="R6" s="973" t="s">
        <v>49</v>
      </c>
      <c r="S6" s="974"/>
      <c r="T6" s="975"/>
      <c r="U6" s="973" t="s">
        <v>61</v>
      </c>
      <c r="V6" s="974"/>
      <c r="W6" s="974"/>
      <c r="X6" s="974"/>
      <c r="Y6" s="974"/>
      <c r="Z6" s="975"/>
      <c r="AA6" s="75" t="s">
        <v>62</v>
      </c>
      <c r="AB6" s="75" t="s">
        <v>63</v>
      </c>
      <c r="AC6" s="75"/>
      <c r="AD6" s="80"/>
    </row>
    <row r="7" spans="1:30" ht="15" x14ac:dyDescent="0.25">
      <c r="A7" s="82"/>
      <c r="B7" s="82"/>
      <c r="C7" s="128" t="s">
        <v>64</v>
      </c>
      <c r="D7" s="84"/>
      <c r="E7" s="82"/>
      <c r="F7" s="82"/>
      <c r="G7" s="75" t="s">
        <v>65</v>
      </c>
      <c r="H7" s="82"/>
      <c r="I7" s="82"/>
      <c r="J7" s="82"/>
      <c r="K7" s="82"/>
      <c r="L7" s="978" t="s">
        <v>66</v>
      </c>
      <c r="M7" s="979"/>
      <c r="N7" s="980"/>
      <c r="O7" s="85"/>
      <c r="P7" s="75" t="s">
        <v>62</v>
      </c>
      <c r="Q7" s="82"/>
      <c r="R7" s="82"/>
      <c r="S7" s="75" t="s">
        <v>65</v>
      </c>
      <c r="T7" s="82"/>
      <c r="U7" s="82"/>
      <c r="V7" s="85"/>
      <c r="W7" s="978" t="s">
        <v>67</v>
      </c>
      <c r="X7" s="979"/>
      <c r="Y7" s="980"/>
      <c r="Z7" s="85"/>
      <c r="AA7" s="82" t="s">
        <v>68</v>
      </c>
      <c r="AB7" s="82" t="s">
        <v>11</v>
      </c>
      <c r="AC7" s="976" t="s">
        <v>69</v>
      </c>
      <c r="AD7" s="977"/>
    </row>
    <row r="8" spans="1:30" ht="15" x14ac:dyDescent="0.25">
      <c r="A8" s="82" t="s">
        <v>70</v>
      </c>
      <c r="B8" s="75"/>
      <c r="C8" s="130" t="s">
        <v>71</v>
      </c>
      <c r="D8" s="78"/>
      <c r="E8" s="75"/>
      <c r="F8" s="75"/>
      <c r="G8" s="82" t="s">
        <v>71</v>
      </c>
      <c r="H8" s="82" t="s">
        <v>72</v>
      </c>
      <c r="I8" s="82" t="s">
        <v>62</v>
      </c>
      <c r="J8" s="75"/>
      <c r="K8" s="82" t="s">
        <v>73</v>
      </c>
      <c r="L8" s="82" t="s">
        <v>74</v>
      </c>
      <c r="M8" s="82" t="s">
        <v>75</v>
      </c>
      <c r="N8" s="82" t="s">
        <v>62</v>
      </c>
      <c r="O8" s="75"/>
      <c r="P8" s="82" t="s">
        <v>76</v>
      </c>
      <c r="Q8" s="75"/>
      <c r="R8" s="75"/>
      <c r="S8" s="82" t="s">
        <v>71</v>
      </c>
      <c r="T8" s="75"/>
      <c r="U8" s="75"/>
      <c r="V8" s="82" t="s">
        <v>73</v>
      </c>
      <c r="W8" s="82" t="s">
        <v>74</v>
      </c>
      <c r="X8" s="82" t="s">
        <v>75</v>
      </c>
      <c r="Y8" s="82" t="s">
        <v>62</v>
      </c>
      <c r="Z8" s="75"/>
      <c r="AA8" s="75"/>
      <c r="AB8" s="75"/>
      <c r="AC8" s="75"/>
      <c r="AD8" s="78"/>
    </row>
    <row r="9" spans="1:30" ht="15" x14ac:dyDescent="0.25">
      <c r="A9" s="23" t="s">
        <v>77</v>
      </c>
      <c r="B9" s="23"/>
      <c r="C9" s="128" t="s">
        <v>78</v>
      </c>
      <c r="D9" s="24"/>
      <c r="E9" s="23"/>
      <c r="F9" s="23"/>
      <c r="G9" s="75" t="s">
        <v>47</v>
      </c>
      <c r="H9" s="75" t="s">
        <v>47</v>
      </c>
      <c r="I9" s="75" t="s">
        <v>47</v>
      </c>
      <c r="J9" s="23"/>
      <c r="K9" s="75" t="s">
        <v>78</v>
      </c>
      <c r="L9" s="75" t="s">
        <v>51</v>
      </c>
      <c r="M9" s="75" t="s">
        <v>51</v>
      </c>
      <c r="N9" s="75" t="s">
        <v>51</v>
      </c>
      <c r="O9" s="131"/>
      <c r="P9" s="75" t="s">
        <v>78</v>
      </c>
      <c r="Q9" s="23"/>
      <c r="R9" s="23"/>
      <c r="S9" s="75" t="s">
        <v>78</v>
      </c>
      <c r="T9" s="75"/>
      <c r="U9" s="75"/>
      <c r="V9" s="75" t="s">
        <v>78</v>
      </c>
      <c r="W9" s="75" t="s">
        <v>51</v>
      </c>
      <c r="X9" s="75" t="s">
        <v>51</v>
      </c>
      <c r="Y9" s="75" t="s">
        <v>51</v>
      </c>
      <c r="Z9" s="75"/>
      <c r="AA9" s="75" t="s">
        <v>47</v>
      </c>
      <c r="AB9" s="75" t="s">
        <v>78</v>
      </c>
      <c r="AC9" s="75" t="s">
        <v>47</v>
      </c>
      <c r="AD9" s="78" t="s">
        <v>51</v>
      </c>
    </row>
    <row r="10" spans="1:30" ht="15" x14ac:dyDescent="0.25">
      <c r="A10" s="23" t="s">
        <v>79</v>
      </c>
      <c r="B10" s="82"/>
      <c r="C10" s="130"/>
      <c r="D10" s="78"/>
      <c r="E10" s="23"/>
      <c r="F10" s="75"/>
      <c r="G10" s="75"/>
      <c r="H10" s="75"/>
      <c r="I10" s="75" t="s">
        <v>80</v>
      </c>
      <c r="J10" s="75"/>
      <c r="K10" s="75"/>
      <c r="L10" s="75"/>
      <c r="M10" s="75"/>
      <c r="N10" s="75" t="s">
        <v>81</v>
      </c>
      <c r="O10" s="75"/>
      <c r="P10" s="75" t="s">
        <v>82</v>
      </c>
      <c r="Q10" s="88"/>
      <c r="R10" s="75"/>
      <c r="S10" s="75"/>
      <c r="T10" s="75"/>
      <c r="U10" s="75"/>
      <c r="V10" s="75"/>
      <c r="W10" s="75"/>
      <c r="X10" s="75"/>
      <c r="Y10" s="75" t="s">
        <v>83</v>
      </c>
      <c r="Z10" s="75"/>
      <c r="AA10" s="75" t="s">
        <v>84</v>
      </c>
      <c r="AB10" s="75"/>
      <c r="AC10" s="75" t="s">
        <v>85</v>
      </c>
      <c r="AD10" s="78" t="s">
        <v>86</v>
      </c>
    </row>
    <row r="11" spans="1:30" ht="15" x14ac:dyDescent="0.25">
      <c r="A11" s="90" t="s">
        <v>87</v>
      </c>
      <c r="B11" s="23"/>
      <c r="C11" s="114"/>
      <c r="D11" s="23"/>
      <c r="E11" s="23"/>
      <c r="F11" s="23"/>
      <c r="G11" s="23"/>
      <c r="H11" s="23"/>
      <c r="I11" s="23"/>
      <c r="J11" s="23"/>
      <c r="K11" s="23"/>
      <c r="L11" s="23"/>
      <c r="M11" s="23"/>
      <c r="N11" s="23"/>
      <c r="O11" s="131"/>
      <c r="P11" s="23"/>
      <c r="Q11" s="23"/>
      <c r="R11" s="23"/>
      <c r="S11" s="88"/>
      <c r="T11" s="88"/>
      <c r="U11" s="88"/>
      <c r="V11" s="23"/>
      <c r="W11" s="23"/>
      <c r="X11" s="23"/>
      <c r="Y11" s="23"/>
      <c r="Z11" s="23"/>
      <c r="AA11" s="23"/>
      <c r="AB11" s="23"/>
      <c r="AC11" s="23"/>
      <c r="AD11" s="24"/>
    </row>
    <row r="12" spans="1:30" ht="15" x14ac:dyDescent="0.25">
      <c r="A12" s="90"/>
      <c r="B12" s="23"/>
      <c r="C12" s="132"/>
      <c r="D12" s="23"/>
      <c r="E12" s="23"/>
      <c r="F12" s="23"/>
      <c r="G12" s="132"/>
      <c r="H12" s="132"/>
      <c r="I12" s="132"/>
      <c r="J12" s="132"/>
      <c r="K12" s="132"/>
      <c r="L12" s="132"/>
      <c r="M12" s="132"/>
      <c r="N12" s="91"/>
      <c r="O12" s="114"/>
      <c r="P12" s="91"/>
      <c r="Q12" s="132"/>
      <c r="R12" s="91"/>
      <c r="S12" s="132"/>
      <c r="T12" s="91"/>
      <c r="U12" s="91"/>
      <c r="V12" s="132"/>
      <c r="W12" s="132"/>
      <c r="X12" s="132"/>
      <c r="Y12" s="132"/>
      <c r="Z12" s="132"/>
      <c r="AA12" s="91"/>
      <c r="AB12" s="132"/>
      <c r="AC12" s="91"/>
      <c r="AD12" s="104"/>
    </row>
    <row r="13" spans="1:30" ht="15" x14ac:dyDescent="0.25">
      <c r="A13" s="90" t="s">
        <v>88</v>
      </c>
      <c r="B13" s="23"/>
      <c r="C13" s="91">
        <v>0</v>
      </c>
      <c r="D13" s="91"/>
      <c r="E13" s="91"/>
      <c r="F13" s="91"/>
      <c r="G13" s="91">
        <v>0</v>
      </c>
      <c r="H13" s="91">
        <v>0</v>
      </c>
      <c r="I13" s="133">
        <f>+G13+H13</f>
        <v>0</v>
      </c>
      <c r="J13" s="91"/>
      <c r="K13" s="91">
        <v>0</v>
      </c>
      <c r="L13" s="91">
        <v>0</v>
      </c>
      <c r="M13" s="91">
        <v>0</v>
      </c>
      <c r="N13" s="133">
        <f>+L13+M13</f>
        <v>0</v>
      </c>
      <c r="O13" s="91">
        <v>0</v>
      </c>
      <c r="P13" s="133">
        <f>+I13+K13</f>
        <v>0</v>
      </c>
      <c r="Q13" s="91"/>
      <c r="R13" s="91"/>
      <c r="S13" s="91">
        <v>0</v>
      </c>
      <c r="T13" s="91"/>
      <c r="U13" s="91"/>
      <c r="V13" s="91">
        <v>404984526</v>
      </c>
      <c r="W13" s="91">
        <v>639781</v>
      </c>
      <c r="X13" s="91">
        <v>604649</v>
      </c>
      <c r="Y13" s="133">
        <f>+W13+X13</f>
        <v>1244430</v>
      </c>
      <c r="Z13" s="91"/>
      <c r="AA13" s="133">
        <f>+S13+V13</f>
        <v>404984526</v>
      </c>
      <c r="AB13" s="91">
        <v>0</v>
      </c>
      <c r="AC13" s="133">
        <f>+C13+P13+AA13+AB13</f>
        <v>404984526</v>
      </c>
      <c r="AD13" s="134">
        <f>+N13+Y13</f>
        <v>1244430</v>
      </c>
    </row>
    <row r="14" spans="1:30" ht="15" x14ac:dyDescent="0.25">
      <c r="A14" s="90"/>
      <c r="B14" s="23"/>
      <c r="C14" s="91"/>
      <c r="D14" s="23"/>
      <c r="E14" s="23"/>
      <c r="F14" s="23"/>
      <c r="G14" s="91"/>
      <c r="H14" s="91"/>
      <c r="I14" s="91"/>
      <c r="J14" s="132"/>
      <c r="K14" s="91"/>
      <c r="L14" s="91"/>
      <c r="M14" s="91"/>
      <c r="N14" s="91"/>
      <c r="O14" s="114"/>
      <c r="P14" s="91"/>
      <c r="Q14" s="132"/>
      <c r="R14" s="91"/>
      <c r="S14" s="91"/>
      <c r="T14" s="91"/>
      <c r="U14" s="91"/>
      <c r="V14" s="91">
        <v>186523954</v>
      </c>
      <c r="W14" s="91">
        <v>318851</v>
      </c>
      <c r="X14" s="91">
        <v>312790</v>
      </c>
      <c r="Y14" s="133">
        <f>+W14+X14</f>
        <v>631641</v>
      </c>
      <c r="Z14" s="91"/>
      <c r="AA14" s="133">
        <f>+S14+V14</f>
        <v>186523954</v>
      </c>
      <c r="AB14" s="91">
        <v>0</v>
      </c>
      <c r="AC14" s="133">
        <f>+C14+P14+AA14+AB14</f>
        <v>186523954</v>
      </c>
      <c r="AD14" s="134">
        <f>+N14+Y14</f>
        <v>631641</v>
      </c>
    </row>
    <row r="15" spans="1:30" ht="15" x14ac:dyDescent="0.25">
      <c r="A15" s="1"/>
      <c r="B15" s="135"/>
      <c r="C15" s="96"/>
      <c r="D15" s="136"/>
      <c r="E15" s="136"/>
      <c r="F15" s="136"/>
      <c r="G15" s="96"/>
      <c r="H15" s="96"/>
      <c r="I15" s="137"/>
      <c r="J15" s="136"/>
      <c r="K15" s="96"/>
      <c r="L15" s="96"/>
      <c r="M15" s="96"/>
      <c r="N15" s="137"/>
      <c r="O15" s="138"/>
      <c r="P15" s="137"/>
      <c r="Q15" s="136"/>
      <c r="R15" s="136"/>
      <c r="S15" s="139"/>
      <c r="T15" s="136"/>
      <c r="U15" s="136"/>
      <c r="V15" s="96"/>
      <c r="W15" s="96"/>
      <c r="X15" s="96"/>
      <c r="Y15" s="96"/>
      <c r="Z15" s="96"/>
      <c r="AA15" s="96"/>
      <c r="AB15" s="96"/>
      <c r="AC15" s="96"/>
      <c r="AD15" s="137"/>
    </row>
    <row r="16" spans="1:30" ht="15" x14ac:dyDescent="0.25">
      <c r="A16" s="90" t="s">
        <v>89</v>
      </c>
      <c r="B16" s="140"/>
      <c r="C16" s="99">
        <f>+C13</f>
        <v>0</v>
      </c>
      <c r="D16" s="141"/>
      <c r="E16" s="141"/>
      <c r="F16" s="141"/>
      <c r="G16" s="99"/>
      <c r="H16" s="99"/>
      <c r="I16" s="99">
        <f>+G16+H16</f>
        <v>0</v>
      </c>
      <c r="J16" s="141"/>
      <c r="K16" s="99"/>
      <c r="L16" s="99"/>
      <c r="M16" s="99"/>
      <c r="N16" s="99">
        <f>+L16+M16</f>
        <v>0</v>
      </c>
      <c r="O16" s="99"/>
      <c r="P16" s="99">
        <f>+I16+K16</f>
        <v>0</v>
      </c>
      <c r="Q16" s="141"/>
      <c r="R16" s="141"/>
      <c r="S16" s="99">
        <f>+S13</f>
        <v>0</v>
      </c>
      <c r="T16" s="141"/>
      <c r="U16" s="141"/>
      <c r="V16" s="99">
        <f t="shared" ref="V16:AA16" si="0">SUM(V13:V15)</f>
        <v>591508480</v>
      </c>
      <c r="W16" s="99">
        <f t="shared" si="0"/>
        <v>958632</v>
      </c>
      <c r="X16" s="99">
        <f t="shared" si="0"/>
        <v>917439</v>
      </c>
      <c r="Y16" s="99">
        <f t="shared" si="0"/>
        <v>1876071</v>
      </c>
      <c r="Z16" s="99">
        <f t="shared" si="0"/>
        <v>0</v>
      </c>
      <c r="AA16" s="99">
        <f t="shared" si="0"/>
        <v>591508480</v>
      </c>
      <c r="AB16" s="99"/>
      <c r="AC16" s="99">
        <f>SUM(AC13:AC15)</f>
        <v>591508480</v>
      </c>
      <c r="AD16" s="142">
        <f>SUM(AD13:AD15)</f>
        <v>1876071</v>
      </c>
    </row>
    <row r="17" spans="1:30" ht="15" x14ac:dyDescent="0.25">
      <c r="A17" s="90"/>
      <c r="B17" s="143"/>
      <c r="C17" s="91"/>
      <c r="D17" s="132"/>
      <c r="E17" s="132"/>
      <c r="F17" s="132"/>
      <c r="G17" s="91"/>
      <c r="H17" s="91"/>
      <c r="I17" s="91"/>
      <c r="J17" s="132"/>
      <c r="K17" s="91"/>
      <c r="L17" s="91"/>
      <c r="M17" s="91"/>
      <c r="N17" s="91"/>
      <c r="O17" s="91"/>
      <c r="P17" s="91"/>
      <c r="Q17" s="132"/>
      <c r="R17" s="132"/>
      <c r="S17" s="144"/>
      <c r="T17" s="132"/>
      <c r="U17" s="132"/>
      <c r="V17" s="91"/>
      <c r="W17" s="91"/>
      <c r="X17" s="91"/>
      <c r="Y17" s="91"/>
      <c r="Z17" s="91"/>
      <c r="AA17" s="91"/>
      <c r="AB17" s="91"/>
      <c r="AC17" s="91"/>
      <c r="AD17" s="104"/>
    </row>
    <row r="18" spans="1:30" ht="15" x14ac:dyDescent="0.25">
      <c r="A18" s="89" t="s">
        <v>90</v>
      </c>
      <c r="B18" s="143"/>
      <c r="C18" s="91"/>
      <c r="D18" s="132"/>
      <c r="E18" s="132"/>
      <c r="F18" s="132"/>
      <c r="G18" s="91"/>
      <c r="H18" s="91"/>
      <c r="I18" s="91"/>
      <c r="J18" s="132"/>
      <c r="K18" s="91"/>
      <c r="L18" s="91"/>
      <c r="M18" s="91"/>
      <c r="N18" s="91"/>
      <c r="O18" s="91"/>
      <c r="P18" s="91"/>
      <c r="Q18" s="132"/>
      <c r="R18" s="132"/>
      <c r="S18" s="144"/>
      <c r="T18" s="132"/>
      <c r="U18" s="132"/>
      <c r="V18" s="91"/>
      <c r="W18" s="91"/>
      <c r="X18" s="91"/>
      <c r="Y18" s="91"/>
      <c r="Z18" s="91"/>
      <c r="AA18" s="91"/>
      <c r="AB18" s="91"/>
      <c r="AC18" s="91"/>
      <c r="AD18" s="104"/>
    </row>
    <row r="19" spans="1:30" ht="15" x14ac:dyDescent="0.25">
      <c r="A19" s="181" t="s">
        <v>91</v>
      </c>
      <c r="B19" s="385"/>
      <c r="C19" s="386">
        <v>10176903.62444303</v>
      </c>
      <c r="D19" s="386"/>
      <c r="E19" s="385"/>
      <c r="F19" s="386"/>
      <c r="G19" s="386">
        <v>1020967.8755569701</v>
      </c>
      <c r="H19" s="386">
        <v>115951</v>
      </c>
      <c r="I19" s="386">
        <f>+G19+H19</f>
        <v>1136918.87555697</v>
      </c>
      <c r="J19" s="386"/>
      <c r="K19" s="386">
        <v>2332694</v>
      </c>
      <c r="L19" s="386">
        <v>7531</v>
      </c>
      <c r="M19" s="386">
        <v>0</v>
      </c>
      <c r="N19" s="386">
        <f>+L19+M19</f>
        <v>7531</v>
      </c>
      <c r="O19" s="386"/>
      <c r="P19" s="386">
        <f>+I19+K19</f>
        <v>3469612.87555697</v>
      </c>
      <c r="Q19" s="385"/>
      <c r="R19" s="385"/>
      <c r="S19" s="386">
        <v>0</v>
      </c>
      <c r="T19" s="385"/>
      <c r="U19" s="385"/>
      <c r="V19" s="386" t="e">
        <f>VLOOKUP($A19,#REF!,8)</f>
        <v>#REF!</v>
      </c>
      <c r="W19" s="386" t="e">
        <f>VLOOKUP($A19,#REF!,9)</f>
        <v>#REF!</v>
      </c>
      <c r="X19" s="386">
        <v>0</v>
      </c>
      <c r="Y19" s="386" t="e">
        <f>+W19+X19</f>
        <v>#REF!</v>
      </c>
      <c r="Z19" s="386"/>
      <c r="AA19" s="386" t="e">
        <f>+S19+V19</f>
        <v>#REF!</v>
      </c>
      <c r="AB19" s="386">
        <v>0</v>
      </c>
      <c r="AC19" s="386" t="e">
        <f>+C19+P19+AA19+AB19</f>
        <v>#REF!</v>
      </c>
      <c r="AD19" s="387" t="e">
        <f>+N19+Y19</f>
        <v>#REF!</v>
      </c>
    </row>
    <row r="20" spans="1:30" ht="15" x14ac:dyDescent="0.25">
      <c r="A20" s="181" t="s">
        <v>92</v>
      </c>
      <c r="B20" s="385"/>
      <c r="C20" s="386">
        <v>13735692.20496499</v>
      </c>
      <c r="D20" s="386"/>
      <c r="E20" s="385"/>
      <c r="F20" s="386"/>
      <c r="G20" s="386">
        <v>2330953.7950350097</v>
      </c>
      <c r="H20" s="386">
        <v>126686</v>
      </c>
      <c r="I20" s="386">
        <f>+G20+H20</f>
        <v>2457639.7950350097</v>
      </c>
      <c r="J20" s="386"/>
      <c r="K20" s="386">
        <v>10154065</v>
      </c>
      <c r="L20" s="386">
        <v>23474.799999999999</v>
      </c>
      <c r="M20" s="386">
        <v>0</v>
      </c>
      <c r="N20" s="386">
        <f>+L20+M20</f>
        <v>23474.799999999999</v>
      </c>
      <c r="O20" s="386"/>
      <c r="P20" s="386">
        <f>+I20+K20</f>
        <v>12611704.79503501</v>
      </c>
      <c r="Q20" s="385"/>
      <c r="R20" s="385"/>
      <c r="S20" s="386">
        <v>0</v>
      </c>
      <c r="T20" s="385"/>
      <c r="U20" s="385"/>
      <c r="V20" s="386" t="e">
        <f>VLOOKUP($A20,#REF!,8)</f>
        <v>#REF!</v>
      </c>
      <c r="W20" s="386" t="e">
        <f>VLOOKUP($A20,#REF!,9)</f>
        <v>#REF!</v>
      </c>
      <c r="X20" s="386">
        <v>0</v>
      </c>
      <c r="Y20" s="386" t="e">
        <f>+W20+X20</f>
        <v>#REF!</v>
      </c>
      <c r="Z20" s="386"/>
      <c r="AA20" s="386" t="e">
        <f>+S20+V20</f>
        <v>#REF!</v>
      </c>
      <c r="AB20" s="386">
        <v>0</v>
      </c>
      <c r="AC20" s="386" t="e">
        <f>+C20+P20+AA20+AB20</f>
        <v>#REF!</v>
      </c>
      <c r="AD20" s="387" t="e">
        <f>+N20+Y20</f>
        <v>#REF!</v>
      </c>
    </row>
    <row r="21" spans="1:30" ht="15" x14ac:dyDescent="0.25">
      <c r="A21" s="181" t="s">
        <v>93</v>
      </c>
      <c r="B21" s="385"/>
      <c r="C21" s="386">
        <v>1528164540.9836066</v>
      </c>
      <c r="D21" s="386"/>
      <c r="E21" s="385"/>
      <c r="F21" s="386"/>
      <c r="G21" s="386">
        <v>192090567.9180328</v>
      </c>
      <c r="H21" s="386">
        <v>9592000</v>
      </c>
      <c r="I21" s="386">
        <f>+G21+H21</f>
        <v>201682567.9180328</v>
      </c>
      <c r="J21" s="386"/>
      <c r="K21" s="386">
        <v>1277876137</v>
      </c>
      <c r="L21" s="386">
        <v>4092514</v>
      </c>
      <c r="M21" s="386">
        <v>2353651</v>
      </c>
      <c r="N21" s="386">
        <f>+L21+M21</f>
        <v>6446165</v>
      </c>
      <c r="O21" s="386"/>
      <c r="P21" s="386">
        <f>+I21+K21</f>
        <v>1479558704.9180329</v>
      </c>
      <c r="Q21" s="385"/>
      <c r="R21" s="385"/>
      <c r="S21" s="386">
        <v>0</v>
      </c>
      <c r="T21" s="385"/>
      <c r="U21" s="385"/>
      <c r="V21" s="386">
        <v>587276733</v>
      </c>
      <c r="W21" s="386">
        <v>1433190</v>
      </c>
      <c r="X21" s="386">
        <v>1563793</v>
      </c>
      <c r="Y21" s="386">
        <f>+W21+X21</f>
        <v>2996983</v>
      </c>
      <c r="Z21" s="386"/>
      <c r="AA21" s="386">
        <f>+S21+V21</f>
        <v>587276733</v>
      </c>
      <c r="AB21" s="386">
        <v>0</v>
      </c>
      <c r="AC21" s="386">
        <f>+C21+P21+AA21+AB21</f>
        <v>3594999978.9016395</v>
      </c>
      <c r="AD21" s="387">
        <f>+N21+Y21</f>
        <v>9443148</v>
      </c>
    </row>
    <row r="22" spans="1:30" ht="15" x14ac:dyDescent="0.25">
      <c r="A22" s="1" t="s">
        <v>94</v>
      </c>
      <c r="B22" s="132"/>
      <c r="C22" s="91">
        <v>23596599.015276894</v>
      </c>
      <c r="D22" s="91"/>
      <c r="E22" s="132"/>
      <c r="F22" s="91"/>
      <c r="G22" s="91">
        <v>10343.984723106289</v>
      </c>
      <c r="H22" s="91">
        <v>104191.48000000001</v>
      </c>
      <c r="I22" s="91">
        <f t="shared" ref="I22:I34" si="1">+G22+H22</f>
        <v>114535.4647231063</v>
      </c>
      <c r="J22" s="91"/>
      <c r="K22" s="91" t="e">
        <f>VLOOKUP($A22,#REF!,5)</f>
        <v>#REF!</v>
      </c>
      <c r="L22" s="91" t="e">
        <f>VLOOKUP($A22,#REF!,6)</f>
        <v>#REF!</v>
      </c>
      <c r="M22" s="91">
        <v>0</v>
      </c>
      <c r="N22" s="91" t="e">
        <f t="shared" ref="N22:N35" si="2">+L22+M22</f>
        <v>#REF!</v>
      </c>
      <c r="O22" s="91"/>
      <c r="P22" s="91" t="e">
        <f t="shared" ref="P22:P34" si="3">+I22+K22</f>
        <v>#REF!</v>
      </c>
      <c r="Q22" s="132"/>
      <c r="R22" s="132"/>
      <c r="S22" s="91" t="e">
        <f>VLOOKUP($A22,#REF!,7)</f>
        <v>#REF!</v>
      </c>
      <c r="T22" s="132"/>
      <c r="U22" s="132"/>
      <c r="V22" s="91" t="e">
        <f>VLOOKUP($A22,#REF!,8)</f>
        <v>#REF!</v>
      </c>
      <c r="W22" s="91" t="e">
        <f>VLOOKUP($A22,#REF!,9)</f>
        <v>#REF!</v>
      </c>
      <c r="X22" s="91">
        <v>0</v>
      </c>
      <c r="Y22" s="91" t="e">
        <f t="shared" ref="Y22:Y34" si="4">+W22+X22</f>
        <v>#REF!</v>
      </c>
      <c r="Z22" s="91"/>
      <c r="AA22" s="91" t="e">
        <f t="shared" ref="AA22:AA34" si="5">+S22+V22</f>
        <v>#REF!</v>
      </c>
      <c r="AB22" s="91">
        <v>0</v>
      </c>
      <c r="AC22" s="91" t="e">
        <f t="shared" ref="AC22:AC34" si="6">+C22+P22+AA22+AB22</f>
        <v>#REF!</v>
      </c>
      <c r="AD22" s="104" t="e">
        <f t="shared" ref="AD22:AD34" si="7">+N22+Y22</f>
        <v>#REF!</v>
      </c>
    </row>
    <row r="23" spans="1:30" ht="15" x14ac:dyDescent="0.25">
      <c r="A23" s="181" t="s">
        <v>95</v>
      </c>
      <c r="B23" s="385"/>
      <c r="C23" s="386">
        <v>7586337</v>
      </c>
      <c r="D23" s="386"/>
      <c r="E23" s="385"/>
      <c r="F23" s="386"/>
      <c r="G23" s="398">
        <v>2256753</v>
      </c>
      <c r="H23" s="386">
        <v>43984</v>
      </c>
      <c r="I23" s="386">
        <f t="shared" si="1"/>
        <v>2300737</v>
      </c>
      <c r="J23" s="386"/>
      <c r="K23" s="398">
        <f>3754074-G23</f>
        <v>1497321</v>
      </c>
      <c r="L23" s="398">
        <v>47639</v>
      </c>
      <c r="M23" s="91">
        <v>0</v>
      </c>
      <c r="N23" s="91">
        <f t="shared" si="2"/>
        <v>47639</v>
      </c>
      <c r="O23" s="91"/>
      <c r="P23" s="91">
        <f t="shared" si="3"/>
        <v>3798058</v>
      </c>
      <c r="Q23" s="132"/>
      <c r="R23" s="132"/>
      <c r="S23" s="91" t="e">
        <f>VLOOKUP($A23,#REF!,7)</f>
        <v>#REF!</v>
      </c>
      <c r="T23" s="132"/>
      <c r="U23" s="132"/>
      <c r="V23" s="91" t="e">
        <f>VLOOKUP($A23,#REF!,8)</f>
        <v>#REF!</v>
      </c>
      <c r="W23" s="91" t="e">
        <f>VLOOKUP($A23,#REF!,9)</f>
        <v>#REF!</v>
      </c>
      <c r="X23" s="91">
        <v>0</v>
      </c>
      <c r="Y23" s="91" t="e">
        <f t="shared" si="4"/>
        <v>#REF!</v>
      </c>
      <c r="Z23" s="91"/>
      <c r="AA23" s="91" t="e">
        <f t="shared" si="5"/>
        <v>#REF!</v>
      </c>
      <c r="AB23" s="91">
        <v>0</v>
      </c>
      <c r="AC23" s="91" t="e">
        <f t="shared" si="6"/>
        <v>#REF!</v>
      </c>
      <c r="AD23" s="104" t="e">
        <f t="shared" si="7"/>
        <v>#REF!</v>
      </c>
    </row>
    <row r="24" spans="1:30" ht="15" x14ac:dyDescent="0.25">
      <c r="A24" s="181" t="s">
        <v>96</v>
      </c>
      <c r="B24" s="385"/>
      <c r="C24" s="386">
        <v>3494438.9847231065</v>
      </c>
      <c r="D24" s="386"/>
      <c r="E24" s="385"/>
      <c r="F24" s="386"/>
      <c r="G24" s="386">
        <v>556319.01527689374</v>
      </c>
      <c r="H24" s="398">
        <v>52164</v>
      </c>
      <c r="I24" s="91">
        <f t="shared" si="1"/>
        <v>608483.01527689374</v>
      </c>
      <c r="J24" s="386"/>
      <c r="K24" s="386">
        <v>865613</v>
      </c>
      <c r="L24" s="386">
        <v>4748</v>
      </c>
      <c r="M24" s="386">
        <v>0</v>
      </c>
      <c r="N24" s="386">
        <f t="shared" si="2"/>
        <v>4748</v>
      </c>
      <c r="O24" s="386"/>
      <c r="P24" s="386">
        <f t="shared" si="3"/>
        <v>1474096.0152768937</v>
      </c>
      <c r="Q24" s="385"/>
      <c r="R24" s="385"/>
      <c r="S24" s="386" t="e">
        <f>VLOOKUP($A24,#REF!,7)</f>
        <v>#REF!</v>
      </c>
      <c r="T24" s="385"/>
      <c r="U24" s="385"/>
      <c r="V24" s="386" t="e">
        <f>VLOOKUP($A24,#REF!,8)</f>
        <v>#REF!</v>
      </c>
      <c r="W24" s="386" t="e">
        <f>VLOOKUP($A24,#REF!,9)</f>
        <v>#REF!</v>
      </c>
      <c r="X24" s="386">
        <v>0</v>
      </c>
      <c r="Y24" s="386" t="e">
        <f t="shared" si="4"/>
        <v>#REF!</v>
      </c>
      <c r="Z24" s="386"/>
      <c r="AA24" s="386" t="e">
        <f t="shared" si="5"/>
        <v>#REF!</v>
      </c>
      <c r="AB24" s="386">
        <v>0</v>
      </c>
      <c r="AC24" s="386" t="e">
        <f t="shared" si="6"/>
        <v>#REF!</v>
      </c>
      <c r="AD24" s="387" t="e">
        <f t="shared" si="7"/>
        <v>#REF!</v>
      </c>
    </row>
    <row r="25" spans="1:30" ht="15" x14ac:dyDescent="0.25">
      <c r="A25" s="181" t="s">
        <v>97</v>
      </c>
      <c r="B25" s="385"/>
      <c r="C25" s="386">
        <v>5088001.6479949076</v>
      </c>
      <c r="D25" s="386"/>
      <c r="E25" s="385"/>
      <c r="F25" s="386"/>
      <c r="G25" s="398">
        <v>1462518.3520050922</v>
      </c>
      <c r="H25" s="398">
        <v>62979</v>
      </c>
      <c r="I25" s="386">
        <f t="shared" si="1"/>
        <v>1525497.3520050922</v>
      </c>
      <c r="J25" s="386"/>
      <c r="K25" s="398">
        <v>1632596</v>
      </c>
      <c r="L25" s="398">
        <v>3996</v>
      </c>
      <c r="M25" s="386">
        <v>0</v>
      </c>
      <c r="N25" s="386">
        <f t="shared" si="2"/>
        <v>3996</v>
      </c>
      <c r="O25" s="386"/>
      <c r="P25" s="386">
        <f t="shared" si="3"/>
        <v>3158093.3520050924</v>
      </c>
      <c r="Q25" s="385"/>
      <c r="R25" s="385"/>
      <c r="S25" s="386" t="e">
        <f>VLOOKUP($A25,#REF!,7)</f>
        <v>#REF!</v>
      </c>
      <c r="T25" s="385"/>
      <c r="U25" s="385"/>
      <c r="V25" s="386" t="e">
        <f>VLOOKUP($A25,#REF!,8)</f>
        <v>#REF!</v>
      </c>
      <c r="W25" s="386" t="e">
        <f>VLOOKUP($A25,#REF!,9)</f>
        <v>#REF!</v>
      </c>
      <c r="X25" s="386">
        <v>0</v>
      </c>
      <c r="Y25" s="386" t="e">
        <f t="shared" si="4"/>
        <v>#REF!</v>
      </c>
      <c r="Z25" s="386"/>
      <c r="AA25" s="386" t="e">
        <f t="shared" si="5"/>
        <v>#REF!</v>
      </c>
      <c r="AB25" s="386">
        <v>0</v>
      </c>
      <c r="AC25" s="386" t="e">
        <f t="shared" si="6"/>
        <v>#REF!</v>
      </c>
      <c r="AD25" s="387" t="e">
        <f t="shared" si="7"/>
        <v>#REF!</v>
      </c>
    </row>
    <row r="26" spans="1:30" ht="15" x14ac:dyDescent="0.25">
      <c r="A26" s="181" t="s">
        <v>98</v>
      </c>
      <c r="B26" s="385"/>
      <c r="C26" s="386">
        <v>16841095.299809039</v>
      </c>
      <c r="D26" s="386"/>
      <c r="E26" s="385"/>
      <c r="F26" s="386"/>
      <c r="G26" s="386">
        <v>5492248.2001909614</v>
      </c>
      <c r="H26" s="398">
        <v>347690</v>
      </c>
      <c r="I26" s="386">
        <f t="shared" si="1"/>
        <v>5839938.2001909614</v>
      </c>
      <c r="J26" s="386"/>
      <c r="K26" s="386">
        <v>11814012</v>
      </c>
      <c r="L26" s="398">
        <v>42958</v>
      </c>
      <c r="M26" s="386">
        <v>0</v>
      </c>
      <c r="N26" s="386">
        <f t="shared" si="2"/>
        <v>42958</v>
      </c>
      <c r="O26" s="386"/>
      <c r="P26" s="386">
        <f t="shared" si="3"/>
        <v>17653950.200190961</v>
      </c>
      <c r="Q26" s="385"/>
      <c r="R26" s="385"/>
      <c r="S26" s="386" t="e">
        <f>VLOOKUP($A26,#REF!,7)</f>
        <v>#REF!</v>
      </c>
      <c r="T26" s="385"/>
      <c r="U26" s="385"/>
      <c r="V26" s="386">
        <v>20863595</v>
      </c>
      <c r="W26" s="397">
        <v>76731</v>
      </c>
      <c r="X26" s="386">
        <v>0</v>
      </c>
      <c r="Y26" s="386">
        <f t="shared" si="4"/>
        <v>76731</v>
      </c>
      <c r="Z26" s="386"/>
      <c r="AA26" s="386" t="e">
        <f t="shared" si="5"/>
        <v>#REF!</v>
      </c>
      <c r="AB26" s="386">
        <v>0</v>
      </c>
      <c r="AC26" s="386" t="e">
        <f t="shared" si="6"/>
        <v>#REF!</v>
      </c>
      <c r="AD26" s="387">
        <f t="shared" si="7"/>
        <v>119689</v>
      </c>
    </row>
    <row r="27" spans="1:30" ht="15" x14ac:dyDescent="0.25">
      <c r="A27" s="1" t="s">
        <v>99</v>
      </c>
      <c r="B27" s="132"/>
      <c r="C27" s="91">
        <v>28570155.529789943</v>
      </c>
      <c r="D27" s="91"/>
      <c r="E27" s="132"/>
      <c r="F27" s="91"/>
      <c r="G27" s="91">
        <v>7953.2702100572933</v>
      </c>
      <c r="H27" s="91">
        <v>477435</v>
      </c>
      <c r="I27" s="91">
        <f t="shared" si="1"/>
        <v>485388.27021005726</v>
      </c>
      <c r="J27" s="91"/>
      <c r="K27" s="91" t="e">
        <f>VLOOKUP($A27,#REF!,5)</f>
        <v>#REF!</v>
      </c>
      <c r="L27" s="91" t="e">
        <f>VLOOKUP($A27,#REF!,6)</f>
        <v>#REF!</v>
      </c>
      <c r="M27" s="91">
        <v>0</v>
      </c>
      <c r="N27" s="91" t="e">
        <f t="shared" si="2"/>
        <v>#REF!</v>
      </c>
      <c r="O27" s="91"/>
      <c r="P27" s="91" t="e">
        <f t="shared" si="3"/>
        <v>#REF!</v>
      </c>
      <c r="Q27" s="132"/>
      <c r="R27" s="132"/>
      <c r="S27" s="91" t="e">
        <f>VLOOKUP($A27,#REF!,7)</f>
        <v>#REF!</v>
      </c>
      <c r="T27" s="132"/>
      <c r="U27" s="132"/>
      <c r="V27" s="91" t="e">
        <f>VLOOKUP($A27,#REF!,8)</f>
        <v>#REF!</v>
      </c>
      <c r="W27" s="91" t="e">
        <f>VLOOKUP($A27,#REF!,9)</f>
        <v>#REF!</v>
      </c>
      <c r="X27" s="91">
        <v>0</v>
      </c>
      <c r="Y27" s="91" t="e">
        <f t="shared" si="4"/>
        <v>#REF!</v>
      </c>
      <c r="Z27" s="91"/>
      <c r="AA27" s="91" t="e">
        <f t="shared" si="5"/>
        <v>#REF!</v>
      </c>
      <c r="AB27" s="91">
        <v>0</v>
      </c>
      <c r="AC27" s="91" t="e">
        <f t="shared" si="6"/>
        <v>#REF!</v>
      </c>
      <c r="AD27" s="104" t="e">
        <f t="shared" si="7"/>
        <v>#REF!</v>
      </c>
    </row>
    <row r="28" spans="1:30" ht="15" x14ac:dyDescent="0.25">
      <c r="A28" s="181" t="s">
        <v>100</v>
      </c>
      <c r="B28" s="385"/>
      <c r="C28" s="386">
        <v>21688731.737110119</v>
      </c>
      <c r="D28" s="386"/>
      <c r="E28" s="385"/>
      <c r="F28" s="386"/>
      <c r="G28" s="386">
        <v>5449607.2628898788</v>
      </c>
      <c r="H28" s="386">
        <v>38145</v>
      </c>
      <c r="I28" s="386">
        <f t="shared" si="1"/>
        <v>5487752.2628898788</v>
      </c>
      <c r="J28" s="386"/>
      <c r="K28" s="386">
        <v>18243106</v>
      </c>
      <c r="L28" s="386">
        <v>52354</v>
      </c>
      <c r="M28" s="386">
        <v>0</v>
      </c>
      <c r="N28" s="386">
        <f t="shared" si="2"/>
        <v>52354</v>
      </c>
      <c r="O28" s="386"/>
      <c r="P28" s="386">
        <f t="shared" si="3"/>
        <v>23730858.262889877</v>
      </c>
      <c r="Q28" s="385"/>
      <c r="R28" s="385"/>
      <c r="S28" s="386" t="e">
        <f>VLOOKUP($A28,#REF!,7)</f>
        <v>#REF!</v>
      </c>
      <c r="T28" s="385"/>
      <c r="U28" s="385"/>
      <c r="V28" s="386" t="e">
        <f>VLOOKUP($A28,#REF!,8)</f>
        <v>#REF!</v>
      </c>
      <c r="W28" s="386" t="e">
        <f>VLOOKUP($A28,#REF!,9)</f>
        <v>#REF!</v>
      </c>
      <c r="X28" s="386">
        <v>0</v>
      </c>
      <c r="Y28" s="386" t="e">
        <f t="shared" si="4"/>
        <v>#REF!</v>
      </c>
      <c r="Z28" s="386"/>
      <c r="AA28" s="386" t="e">
        <f t="shared" si="5"/>
        <v>#REF!</v>
      </c>
      <c r="AB28" s="386">
        <v>0</v>
      </c>
      <c r="AC28" s="386" t="e">
        <f t="shared" si="6"/>
        <v>#REF!</v>
      </c>
      <c r="AD28" s="387" t="e">
        <f t="shared" si="7"/>
        <v>#REF!</v>
      </c>
    </row>
    <row r="29" spans="1:30" ht="15" x14ac:dyDescent="0.25">
      <c r="A29" s="1" t="s">
        <v>101</v>
      </c>
      <c r="B29" s="132"/>
      <c r="C29" s="91">
        <v>10272090.253978359</v>
      </c>
      <c r="D29" s="91"/>
      <c r="E29" s="132"/>
      <c r="F29" s="91"/>
      <c r="G29" s="91">
        <v>3931.2460216422623</v>
      </c>
      <c r="H29" s="91">
        <v>89430</v>
      </c>
      <c r="I29" s="91">
        <f t="shared" si="1"/>
        <v>93361.246021642262</v>
      </c>
      <c r="J29" s="91"/>
      <c r="K29" s="91" t="e">
        <f>VLOOKUP($A29,#REF!,5)</f>
        <v>#REF!</v>
      </c>
      <c r="L29" s="91" t="e">
        <f>VLOOKUP($A29,#REF!,6)</f>
        <v>#REF!</v>
      </c>
      <c r="M29" s="91">
        <v>0</v>
      </c>
      <c r="N29" s="91" t="e">
        <f t="shared" si="2"/>
        <v>#REF!</v>
      </c>
      <c r="O29" s="91"/>
      <c r="P29" s="91" t="e">
        <f t="shared" si="3"/>
        <v>#REF!</v>
      </c>
      <c r="Q29" s="132"/>
      <c r="R29" s="132"/>
      <c r="S29" s="91" t="e">
        <f>VLOOKUP($A29,#REF!,7)</f>
        <v>#REF!</v>
      </c>
      <c r="T29" s="132"/>
      <c r="U29" s="132"/>
      <c r="V29" s="91" t="e">
        <f>VLOOKUP($A29,#REF!,8)</f>
        <v>#REF!</v>
      </c>
      <c r="W29" s="91" t="e">
        <f>VLOOKUP($A29,#REF!,9)</f>
        <v>#REF!</v>
      </c>
      <c r="X29" s="91">
        <v>0</v>
      </c>
      <c r="Y29" s="91" t="e">
        <f t="shared" si="4"/>
        <v>#REF!</v>
      </c>
      <c r="Z29" s="91"/>
      <c r="AA29" s="91" t="e">
        <f t="shared" si="5"/>
        <v>#REF!</v>
      </c>
      <c r="AB29" s="91">
        <v>0</v>
      </c>
      <c r="AC29" s="91" t="e">
        <f t="shared" si="6"/>
        <v>#REF!</v>
      </c>
      <c r="AD29" s="104" t="e">
        <f t="shared" si="7"/>
        <v>#REF!</v>
      </c>
    </row>
    <row r="30" spans="1:30" ht="15" x14ac:dyDescent="0.25">
      <c r="A30" s="181" t="s">
        <v>102</v>
      </c>
      <c r="B30" s="385"/>
      <c r="C30" s="386">
        <v>3947026.8141311267</v>
      </c>
      <c r="D30" s="386"/>
      <c r="E30" s="385"/>
      <c r="F30" s="386"/>
      <c r="G30" s="386">
        <v>2001897.1858688733</v>
      </c>
      <c r="H30" s="386">
        <v>124446</v>
      </c>
      <c r="I30" s="386">
        <f t="shared" si="1"/>
        <v>2126343.1858688733</v>
      </c>
      <c r="J30" s="386"/>
      <c r="K30" s="386" t="e">
        <f>VLOOKUP($A30,#REF!,5)</f>
        <v>#REF!</v>
      </c>
      <c r="L30" s="386" t="e">
        <f>VLOOKUP($A30,#REF!,6)</f>
        <v>#REF!</v>
      </c>
      <c r="M30" s="386">
        <v>0</v>
      </c>
      <c r="N30" s="386" t="e">
        <f t="shared" si="2"/>
        <v>#REF!</v>
      </c>
      <c r="O30" s="386"/>
      <c r="P30" s="386" t="e">
        <f t="shared" si="3"/>
        <v>#REF!</v>
      </c>
      <c r="Q30" s="385"/>
      <c r="R30" s="385"/>
      <c r="S30" s="386" t="e">
        <f>VLOOKUP($A30,#REF!,7)</f>
        <v>#REF!</v>
      </c>
      <c r="T30" s="385"/>
      <c r="U30" s="385"/>
      <c r="V30" s="386">
        <v>6624000</v>
      </c>
      <c r="W30" s="386" t="e">
        <f>VLOOKUP($A30,#REF!,9)</f>
        <v>#REF!</v>
      </c>
      <c r="X30" s="386">
        <v>0</v>
      </c>
      <c r="Y30" s="386" t="e">
        <f t="shared" si="4"/>
        <v>#REF!</v>
      </c>
      <c r="Z30" s="386"/>
      <c r="AA30" s="386" t="e">
        <f t="shared" si="5"/>
        <v>#REF!</v>
      </c>
      <c r="AB30" s="386">
        <v>0</v>
      </c>
      <c r="AC30" s="386" t="e">
        <f t="shared" si="6"/>
        <v>#REF!</v>
      </c>
      <c r="AD30" s="387" t="e">
        <f t="shared" si="7"/>
        <v>#REF!</v>
      </c>
    </row>
    <row r="31" spans="1:30" ht="15" x14ac:dyDescent="0.25">
      <c r="A31" s="1" t="s">
        <v>103</v>
      </c>
      <c r="B31" s="132"/>
      <c r="C31" s="91">
        <v>24609955.614999998</v>
      </c>
      <c r="D31" s="91"/>
      <c r="E31" s="132"/>
      <c r="F31" s="91"/>
      <c r="G31" s="91">
        <v>7041489</v>
      </c>
      <c r="H31" s="91">
        <v>47599</v>
      </c>
      <c r="I31" s="91">
        <f t="shared" si="1"/>
        <v>7089088</v>
      </c>
      <c r="J31" s="91"/>
      <c r="K31" s="91" t="e">
        <f>VLOOKUP($A31,#REF!,5)</f>
        <v>#REF!</v>
      </c>
      <c r="L31" s="91" t="e">
        <f>VLOOKUP($A31,#REF!,6)</f>
        <v>#REF!</v>
      </c>
      <c r="M31" s="91">
        <v>0</v>
      </c>
      <c r="N31" s="91" t="e">
        <f t="shared" si="2"/>
        <v>#REF!</v>
      </c>
      <c r="O31" s="91"/>
      <c r="P31" s="91" t="e">
        <f t="shared" si="3"/>
        <v>#REF!</v>
      </c>
      <c r="Q31" s="132"/>
      <c r="R31" s="132"/>
      <c r="S31" s="91" t="e">
        <f>VLOOKUP($A31,#REF!,7)</f>
        <v>#REF!</v>
      </c>
      <c r="T31" s="132"/>
      <c r="U31" s="132"/>
      <c r="V31" s="91" t="e">
        <f>VLOOKUP($A31,#REF!,8)</f>
        <v>#REF!</v>
      </c>
      <c r="W31" s="91" t="e">
        <f>VLOOKUP($A31,#REF!,9)</f>
        <v>#REF!</v>
      </c>
      <c r="X31" s="91">
        <v>0</v>
      </c>
      <c r="Y31" s="91" t="e">
        <f t="shared" si="4"/>
        <v>#REF!</v>
      </c>
      <c r="Z31" s="91"/>
      <c r="AA31" s="91" t="e">
        <f t="shared" si="5"/>
        <v>#REF!</v>
      </c>
      <c r="AB31" s="91">
        <v>0</v>
      </c>
      <c r="AC31" s="91" t="e">
        <f t="shared" si="6"/>
        <v>#REF!</v>
      </c>
      <c r="AD31" s="104" t="e">
        <f t="shared" si="7"/>
        <v>#REF!</v>
      </c>
    </row>
    <row r="32" spans="1:30" ht="15" x14ac:dyDescent="0.25">
      <c r="A32" s="181" t="s">
        <v>104</v>
      </c>
      <c r="B32" s="385"/>
      <c r="C32" s="386">
        <v>26231934.815404203</v>
      </c>
      <c r="D32" s="386"/>
      <c r="E32" s="385"/>
      <c r="F32" s="386"/>
      <c r="G32" s="386">
        <v>3174334.6845957991</v>
      </c>
      <c r="H32" s="386">
        <v>126916</v>
      </c>
      <c r="I32" s="386">
        <f t="shared" si="1"/>
        <v>3301250.6845957991</v>
      </c>
      <c r="J32" s="386"/>
      <c r="K32" s="386">
        <v>23698018</v>
      </c>
      <c r="L32" s="386">
        <v>88468</v>
      </c>
      <c r="M32" s="386">
        <v>0</v>
      </c>
      <c r="N32" s="386">
        <f t="shared" si="2"/>
        <v>88468</v>
      </c>
      <c r="O32" s="386"/>
      <c r="P32" s="386">
        <f t="shared" si="3"/>
        <v>26999268.684595801</v>
      </c>
      <c r="Q32" s="385"/>
      <c r="R32" s="385"/>
      <c r="S32" s="386" t="e">
        <f>VLOOKUP($A32,#REF!,7)</f>
        <v>#REF!</v>
      </c>
      <c r="T32" s="385"/>
      <c r="U32" s="385"/>
      <c r="V32" s="386" t="e">
        <f>VLOOKUP($A32,#REF!,8)</f>
        <v>#REF!</v>
      </c>
      <c r="W32" s="386" t="e">
        <f>VLOOKUP($A32,#REF!,9)</f>
        <v>#REF!</v>
      </c>
      <c r="X32" s="386">
        <v>0</v>
      </c>
      <c r="Y32" s="386" t="e">
        <f t="shared" si="4"/>
        <v>#REF!</v>
      </c>
      <c r="Z32" s="386"/>
      <c r="AA32" s="386" t="e">
        <f t="shared" si="5"/>
        <v>#REF!</v>
      </c>
      <c r="AB32" s="386">
        <v>0</v>
      </c>
      <c r="AC32" s="386" t="e">
        <f t="shared" si="6"/>
        <v>#REF!</v>
      </c>
      <c r="AD32" s="387" t="e">
        <f t="shared" si="7"/>
        <v>#REF!</v>
      </c>
    </row>
    <row r="33" spans="1:30" ht="15" x14ac:dyDescent="0.25">
      <c r="A33" s="181" t="s">
        <v>105</v>
      </c>
      <c r="B33" s="396"/>
      <c r="C33" s="386">
        <v>227416756.23475409</v>
      </c>
      <c r="D33" s="386"/>
      <c r="E33" s="385"/>
      <c r="F33" s="386"/>
      <c r="G33" s="386">
        <v>65097068.848360658</v>
      </c>
      <c r="H33" s="386">
        <v>1639471</v>
      </c>
      <c r="I33" s="386">
        <f t="shared" si="1"/>
        <v>66736539.848360658</v>
      </c>
      <c r="J33" s="386"/>
      <c r="K33" s="386">
        <v>71719171</v>
      </c>
      <c r="L33" s="386">
        <v>297499</v>
      </c>
      <c r="M33" s="386">
        <v>0</v>
      </c>
      <c r="N33" s="386">
        <f t="shared" si="2"/>
        <v>297499</v>
      </c>
      <c r="O33" s="386"/>
      <c r="P33" s="386">
        <f t="shared" si="3"/>
        <v>138455710.84836066</v>
      </c>
      <c r="Q33" s="385"/>
      <c r="R33" s="385"/>
      <c r="S33" s="386">
        <v>5578093</v>
      </c>
      <c r="T33" s="385"/>
      <c r="U33" s="385"/>
      <c r="V33" s="386">
        <v>93458257</v>
      </c>
      <c r="W33" s="386">
        <v>147739</v>
      </c>
      <c r="X33" s="386">
        <v>0</v>
      </c>
      <c r="Y33" s="386">
        <f t="shared" si="4"/>
        <v>147739</v>
      </c>
      <c r="Z33" s="386"/>
      <c r="AA33" s="386">
        <f t="shared" si="5"/>
        <v>99036350</v>
      </c>
      <c r="AB33" s="386">
        <v>0</v>
      </c>
      <c r="AC33" s="386">
        <f t="shared" si="6"/>
        <v>464908817.08311474</v>
      </c>
      <c r="AD33" s="387">
        <f t="shared" si="7"/>
        <v>445238</v>
      </c>
    </row>
    <row r="34" spans="1:30" ht="15" x14ac:dyDescent="0.25">
      <c r="A34" s="391" t="s">
        <v>106</v>
      </c>
      <c r="B34" s="390"/>
      <c r="C34" s="389">
        <v>57231915.5</v>
      </c>
      <c r="D34" s="389"/>
      <c r="E34" s="390"/>
      <c r="F34" s="389"/>
      <c r="G34" s="389">
        <v>5045134</v>
      </c>
      <c r="H34" s="389">
        <v>159479</v>
      </c>
      <c r="I34" s="389">
        <f t="shared" si="1"/>
        <v>5204613</v>
      </c>
      <c r="J34" s="389"/>
      <c r="K34" s="389">
        <v>0</v>
      </c>
      <c r="L34" s="389">
        <v>0</v>
      </c>
      <c r="M34" s="389">
        <v>0</v>
      </c>
      <c r="N34" s="389">
        <f t="shared" si="2"/>
        <v>0</v>
      </c>
      <c r="O34" s="389"/>
      <c r="P34" s="389">
        <f t="shared" si="3"/>
        <v>5204613</v>
      </c>
      <c r="Q34" s="390"/>
      <c r="R34" s="390"/>
      <c r="S34" s="389" t="e">
        <f>VLOOKUP($A34,#REF!,7)</f>
        <v>#REF!</v>
      </c>
      <c r="T34" s="390"/>
      <c r="U34" s="390"/>
      <c r="V34" s="389">
        <v>3641765</v>
      </c>
      <c r="W34" s="389">
        <v>11604.848</v>
      </c>
      <c r="X34" s="389">
        <v>0</v>
      </c>
      <c r="Y34" s="389">
        <f t="shared" si="4"/>
        <v>11604.848</v>
      </c>
      <c r="Z34" s="389"/>
      <c r="AA34" s="389" t="e">
        <f t="shared" si="5"/>
        <v>#REF!</v>
      </c>
      <c r="AB34" s="389">
        <v>0</v>
      </c>
      <c r="AC34" s="389" t="e">
        <f t="shared" si="6"/>
        <v>#REF!</v>
      </c>
      <c r="AD34" s="393">
        <f t="shared" si="7"/>
        <v>11604.848</v>
      </c>
    </row>
    <row r="35" spans="1:30" ht="15" x14ac:dyDescent="0.25">
      <c r="A35" s="90" t="s">
        <v>107</v>
      </c>
      <c r="B35" s="146"/>
      <c r="C35" s="147">
        <f>SUM(C19:C34)</f>
        <v>2008652175.2609861</v>
      </c>
      <c r="D35" s="147"/>
      <c r="E35" s="146"/>
      <c r="F35" s="147"/>
      <c r="G35" s="147">
        <f>SUM(G19:G34)</f>
        <v>293042087.63876772</v>
      </c>
      <c r="H35" s="147">
        <f>SUM(H19:H34)</f>
        <v>13148566.48</v>
      </c>
      <c r="I35" s="147">
        <f>G35+H35</f>
        <v>306190654.11876774</v>
      </c>
      <c r="J35" s="147"/>
      <c r="K35" s="147" t="e">
        <f>SUM(K19:K34)</f>
        <v>#REF!</v>
      </c>
      <c r="L35" s="147" t="e">
        <f>SUM(L19:L34)</f>
        <v>#REF!</v>
      </c>
      <c r="M35" s="147">
        <f>SUM(M19:M34)</f>
        <v>2353651</v>
      </c>
      <c r="N35" s="147" t="e">
        <f t="shared" si="2"/>
        <v>#REF!</v>
      </c>
      <c r="O35" s="147"/>
      <c r="P35" s="147" t="e">
        <f>SUM(P19:P34)</f>
        <v>#REF!</v>
      </c>
      <c r="Q35" s="147"/>
      <c r="R35" s="147"/>
      <c r="S35" s="147" t="e">
        <f>SUM(S19:S34)</f>
        <v>#REF!</v>
      </c>
      <c r="T35" s="147"/>
      <c r="U35" s="147"/>
      <c r="V35" s="147" t="e">
        <f>SUM(V19:V34)</f>
        <v>#REF!</v>
      </c>
      <c r="W35" s="147" t="e">
        <f>SUM(W19:W34)</f>
        <v>#REF!</v>
      </c>
      <c r="X35" s="147">
        <f>SUM(X19:X34)</f>
        <v>1563793</v>
      </c>
      <c r="Y35" s="147" t="e">
        <f>SUM(Y19:Y34)</f>
        <v>#REF!</v>
      </c>
      <c r="Z35" s="147"/>
      <c r="AA35" s="147" t="e">
        <f>SUM(AA19:AA34)</f>
        <v>#REF!</v>
      </c>
      <c r="AB35" s="147">
        <f>SUM(AB19:AB34)</f>
        <v>0</v>
      </c>
      <c r="AC35" s="147" t="e">
        <f>SUM(AC19:AC34)</f>
        <v>#REF!</v>
      </c>
      <c r="AD35" s="148" t="e">
        <f>SUM(AD19:AD34)</f>
        <v>#REF!</v>
      </c>
    </row>
    <row r="36" spans="1:30" ht="15" x14ac:dyDescent="0.25">
      <c r="A36" s="90"/>
      <c r="B36" s="132"/>
      <c r="C36" s="91"/>
      <c r="D36" s="132"/>
      <c r="E36" s="132"/>
      <c r="F36" s="132"/>
      <c r="G36" s="132"/>
      <c r="H36" s="91"/>
      <c r="I36" s="91"/>
      <c r="J36" s="132"/>
      <c r="K36" s="132"/>
      <c r="L36" s="132"/>
      <c r="M36" s="132"/>
      <c r="N36" s="132"/>
      <c r="O36" s="132"/>
      <c r="P36" s="132"/>
      <c r="Q36" s="132"/>
      <c r="R36" s="132"/>
      <c r="S36" s="132"/>
      <c r="T36" s="132"/>
      <c r="U36" s="132"/>
      <c r="V36" s="132"/>
      <c r="W36" s="132"/>
      <c r="X36" s="132"/>
      <c r="Y36" s="132"/>
      <c r="Z36" s="132"/>
      <c r="AA36" s="132"/>
      <c r="AB36" s="132"/>
      <c r="AC36" s="91"/>
      <c r="AD36" s="145"/>
    </row>
    <row r="37" spans="1:30" ht="15" x14ac:dyDescent="0.25">
      <c r="A37" s="90" t="s">
        <v>108</v>
      </c>
      <c r="B37" s="132"/>
      <c r="C37" s="91">
        <f>C16+C35</f>
        <v>2008652175.2609861</v>
      </c>
      <c r="D37" s="91"/>
      <c r="E37" s="91"/>
      <c r="F37" s="91"/>
      <c r="G37" s="91">
        <f>G16+G35</f>
        <v>293042087.63876772</v>
      </c>
      <c r="H37" s="91">
        <f>H16+H35</f>
        <v>13148566.48</v>
      </c>
      <c r="I37" s="91">
        <f>I16+I35</f>
        <v>306190654.11876774</v>
      </c>
      <c r="J37" s="91"/>
      <c r="K37" s="91" t="e">
        <f>K16+K35</f>
        <v>#REF!</v>
      </c>
      <c r="L37" s="91" t="e">
        <f>L16+L35</f>
        <v>#REF!</v>
      </c>
      <c r="M37" s="91">
        <f>M16+M35</f>
        <v>2353651</v>
      </c>
      <c r="N37" s="91" t="e">
        <f>N16+N35</f>
        <v>#REF!</v>
      </c>
      <c r="O37" s="91"/>
      <c r="P37" s="91" t="e">
        <f>P16+P35</f>
        <v>#REF!</v>
      </c>
      <c r="Q37" s="91"/>
      <c r="R37" s="91"/>
      <c r="S37" s="91" t="e">
        <f>S16+S35</f>
        <v>#REF!</v>
      </c>
      <c r="T37" s="91"/>
      <c r="U37" s="91"/>
      <c r="V37" s="91" t="e">
        <f>V16+V35</f>
        <v>#REF!</v>
      </c>
      <c r="W37" s="91" t="e">
        <f>W16+W35</f>
        <v>#REF!</v>
      </c>
      <c r="X37" s="91">
        <f>X16+X35</f>
        <v>2481232</v>
      </c>
      <c r="Y37" s="91" t="e">
        <f>Y16+Y35</f>
        <v>#REF!</v>
      </c>
      <c r="Z37" s="91"/>
      <c r="AA37" s="91" t="e">
        <f>AA16+AA35</f>
        <v>#REF!</v>
      </c>
      <c r="AB37" s="91">
        <f>AB16+AB35</f>
        <v>0</v>
      </c>
      <c r="AC37" s="91" t="e">
        <f>AC16+AC35</f>
        <v>#REF!</v>
      </c>
      <c r="AD37" s="104" t="e">
        <f>AD16+AD35</f>
        <v>#REF!</v>
      </c>
    </row>
    <row r="39" spans="1:30" ht="13.5" thickBot="1" x14ac:dyDescent="0.25"/>
    <row r="40" spans="1:30" ht="15" x14ac:dyDescent="0.25">
      <c r="A40" s="23"/>
      <c r="B40" s="968" t="s">
        <v>16</v>
      </c>
      <c r="C40" s="969"/>
      <c r="D40" s="970"/>
      <c r="E40" s="19"/>
      <c r="F40" s="968" t="s">
        <v>58</v>
      </c>
      <c r="G40" s="969"/>
      <c r="H40" s="969"/>
      <c r="I40" s="969"/>
      <c r="J40" s="969"/>
      <c r="K40" s="969"/>
      <c r="L40" s="969"/>
      <c r="M40" s="969"/>
      <c r="N40" s="969"/>
      <c r="O40" s="969"/>
      <c r="P40" s="970"/>
      <c r="Q40" s="392"/>
      <c r="R40" s="968" t="s">
        <v>59</v>
      </c>
      <c r="S40" s="969"/>
      <c r="T40" s="969"/>
      <c r="U40" s="969"/>
      <c r="V40" s="969"/>
      <c r="W40" s="969"/>
      <c r="X40" s="969"/>
      <c r="Y40" s="969"/>
      <c r="Z40" s="969"/>
      <c r="AA40" s="970"/>
      <c r="AB40" s="23"/>
      <c r="AC40" s="126"/>
      <c r="AD40" s="127"/>
    </row>
    <row r="41" spans="1:30" ht="15" x14ac:dyDescent="0.25">
      <c r="A41" s="399">
        <v>2018</v>
      </c>
      <c r="B41" s="75"/>
      <c r="C41" s="128"/>
      <c r="D41" s="78"/>
      <c r="E41" s="75"/>
      <c r="F41" s="75"/>
      <c r="G41" s="971" t="s">
        <v>60</v>
      </c>
      <c r="H41" s="972"/>
      <c r="I41" s="972"/>
      <c r="J41" s="76"/>
      <c r="K41" s="971" t="s">
        <v>61</v>
      </c>
      <c r="L41" s="972"/>
      <c r="M41" s="972"/>
      <c r="N41" s="972"/>
      <c r="O41" s="972"/>
      <c r="P41" s="129"/>
      <c r="Q41" s="19"/>
      <c r="R41" s="973" t="s">
        <v>49</v>
      </c>
      <c r="S41" s="974"/>
      <c r="T41" s="975"/>
      <c r="U41" s="973" t="s">
        <v>61</v>
      </c>
      <c r="V41" s="974"/>
      <c r="W41" s="974"/>
      <c r="X41" s="974"/>
      <c r="Y41" s="974"/>
      <c r="Z41" s="975"/>
      <c r="AA41" s="75" t="s">
        <v>62</v>
      </c>
      <c r="AB41" s="75" t="s">
        <v>63</v>
      </c>
      <c r="AC41" s="75"/>
      <c r="AD41" s="80"/>
    </row>
    <row r="42" spans="1:30" ht="15" x14ac:dyDescent="0.25">
      <c r="A42" s="82"/>
      <c r="B42" s="82"/>
      <c r="C42" s="128" t="s">
        <v>64</v>
      </c>
      <c r="D42" s="84"/>
      <c r="E42" s="82"/>
      <c r="F42" s="82"/>
      <c r="G42" s="75" t="s">
        <v>65</v>
      </c>
      <c r="H42" s="82"/>
      <c r="I42" s="82"/>
      <c r="J42" s="82"/>
      <c r="K42" s="82"/>
      <c r="L42" s="978" t="s">
        <v>66</v>
      </c>
      <c r="M42" s="979"/>
      <c r="N42" s="980"/>
      <c r="O42" s="85"/>
      <c r="P42" s="75" t="s">
        <v>62</v>
      </c>
      <c r="Q42" s="82"/>
      <c r="R42" s="82"/>
      <c r="S42" s="75" t="s">
        <v>65</v>
      </c>
      <c r="T42" s="82"/>
      <c r="U42" s="82"/>
      <c r="V42" s="85"/>
      <c r="W42" s="978" t="s">
        <v>67</v>
      </c>
      <c r="X42" s="979"/>
      <c r="Y42" s="980"/>
      <c r="Z42" s="85"/>
      <c r="AA42" s="82" t="s">
        <v>68</v>
      </c>
      <c r="AB42" s="82" t="s">
        <v>11</v>
      </c>
      <c r="AC42" s="976" t="s">
        <v>69</v>
      </c>
      <c r="AD42" s="977"/>
    </row>
    <row r="43" spans="1:30" ht="15" x14ac:dyDescent="0.25">
      <c r="A43" s="82" t="s">
        <v>70</v>
      </c>
      <c r="B43" s="75"/>
      <c r="C43" s="130" t="s">
        <v>71</v>
      </c>
      <c r="D43" s="78"/>
      <c r="E43" s="75"/>
      <c r="F43" s="75"/>
      <c r="G43" s="82" t="s">
        <v>71</v>
      </c>
      <c r="H43" s="82" t="s">
        <v>72</v>
      </c>
      <c r="I43" s="82" t="s">
        <v>62</v>
      </c>
      <c r="J43" s="75"/>
      <c r="K43" s="82" t="s">
        <v>73</v>
      </c>
      <c r="L43" s="82" t="s">
        <v>74</v>
      </c>
      <c r="M43" s="82" t="s">
        <v>75</v>
      </c>
      <c r="N43" s="82" t="s">
        <v>62</v>
      </c>
      <c r="O43" s="75"/>
      <c r="P43" s="82" t="s">
        <v>76</v>
      </c>
      <c r="Q43" s="75"/>
      <c r="R43" s="75"/>
      <c r="S43" s="82" t="s">
        <v>71</v>
      </c>
      <c r="T43" s="75"/>
      <c r="U43" s="75"/>
      <c r="V43" s="82" t="s">
        <v>73</v>
      </c>
      <c r="W43" s="82" t="s">
        <v>74</v>
      </c>
      <c r="X43" s="82" t="s">
        <v>75</v>
      </c>
      <c r="Y43" s="82" t="s">
        <v>62</v>
      </c>
      <c r="Z43" s="75"/>
      <c r="AA43" s="75"/>
      <c r="AB43" s="75"/>
      <c r="AC43" s="75"/>
      <c r="AD43" s="78"/>
    </row>
    <row r="44" spans="1:30" ht="15" x14ac:dyDescent="0.25">
      <c r="A44" s="23" t="s">
        <v>77</v>
      </c>
      <c r="B44" s="23"/>
      <c r="C44" s="128" t="s">
        <v>78</v>
      </c>
      <c r="D44" s="24"/>
      <c r="E44" s="23"/>
      <c r="F44" s="23"/>
      <c r="G44" s="75" t="s">
        <v>47</v>
      </c>
      <c r="H44" s="75" t="s">
        <v>47</v>
      </c>
      <c r="I44" s="75" t="s">
        <v>47</v>
      </c>
      <c r="J44" s="23"/>
      <c r="K44" s="75" t="s">
        <v>78</v>
      </c>
      <c r="L44" s="75" t="s">
        <v>51</v>
      </c>
      <c r="M44" s="75" t="s">
        <v>51</v>
      </c>
      <c r="N44" s="75" t="s">
        <v>51</v>
      </c>
      <c r="O44" s="131"/>
      <c r="P44" s="75" t="s">
        <v>78</v>
      </c>
      <c r="Q44" s="23"/>
      <c r="R44" s="23"/>
      <c r="S44" s="75" t="s">
        <v>78</v>
      </c>
      <c r="T44" s="75"/>
      <c r="U44" s="75"/>
      <c r="V44" s="75" t="s">
        <v>78</v>
      </c>
      <c r="W44" s="75" t="s">
        <v>51</v>
      </c>
      <c r="X44" s="75" t="s">
        <v>51</v>
      </c>
      <c r="Y44" s="75" t="s">
        <v>51</v>
      </c>
      <c r="Z44" s="75"/>
      <c r="AA44" s="75" t="s">
        <v>47</v>
      </c>
      <c r="AB44" s="75" t="s">
        <v>78</v>
      </c>
      <c r="AC44" s="75" t="s">
        <v>47</v>
      </c>
      <c r="AD44" s="78" t="s">
        <v>51</v>
      </c>
    </row>
    <row r="45" spans="1:30" ht="15" x14ac:dyDescent="0.25">
      <c r="A45" s="23" t="s">
        <v>79</v>
      </c>
      <c r="B45" s="82"/>
      <c r="C45" s="130"/>
      <c r="D45" s="78"/>
      <c r="E45" s="23"/>
      <c r="F45" s="75"/>
      <c r="G45" s="75"/>
      <c r="H45" s="75"/>
      <c r="I45" s="75" t="s">
        <v>80</v>
      </c>
      <c r="J45" s="75"/>
      <c r="K45" s="75"/>
      <c r="L45" s="75"/>
      <c r="M45" s="75"/>
      <c r="N45" s="75" t="s">
        <v>81</v>
      </c>
      <c r="O45" s="75"/>
      <c r="P45" s="75" t="s">
        <v>82</v>
      </c>
      <c r="Q45" s="88"/>
      <c r="R45" s="75"/>
      <c r="S45" s="75"/>
      <c r="T45" s="75"/>
      <c r="U45" s="75"/>
      <c r="V45" s="75"/>
      <c r="W45" s="75"/>
      <c r="X45" s="75"/>
      <c r="Y45" s="75" t="s">
        <v>83</v>
      </c>
      <c r="Z45" s="75"/>
      <c r="AA45" s="75" t="s">
        <v>84</v>
      </c>
      <c r="AB45" s="75"/>
      <c r="AC45" s="75" t="s">
        <v>85</v>
      </c>
      <c r="AD45" s="78" t="s">
        <v>86</v>
      </c>
    </row>
    <row r="46" spans="1:30" ht="15" x14ac:dyDescent="0.25">
      <c r="A46" s="90" t="s">
        <v>87</v>
      </c>
      <c r="B46" s="23"/>
      <c r="C46" s="114"/>
      <c r="D46" s="23"/>
      <c r="E46" s="23"/>
      <c r="F46" s="23"/>
      <c r="G46" s="23"/>
      <c r="H46" s="23"/>
      <c r="I46" s="23"/>
      <c r="J46" s="23"/>
      <c r="K46" s="23"/>
      <c r="L46" s="23"/>
      <c r="M46" s="23"/>
      <c r="N46" s="23"/>
      <c r="O46" s="131"/>
      <c r="P46" s="23"/>
      <c r="Q46" s="23"/>
      <c r="R46" s="23"/>
      <c r="S46" s="88"/>
      <c r="T46" s="88"/>
      <c r="U46" s="88"/>
      <c r="V46" s="23"/>
      <c r="W46" s="23"/>
      <c r="X46" s="23"/>
      <c r="Y46" s="23"/>
      <c r="Z46" s="23"/>
      <c r="AA46" s="23"/>
      <c r="AB46" s="23"/>
      <c r="AC46" s="23"/>
      <c r="AD46" s="24"/>
    </row>
    <row r="47" spans="1:30" ht="15" x14ac:dyDescent="0.25">
      <c r="A47" s="90"/>
      <c r="B47" s="23"/>
      <c r="C47" s="132"/>
      <c r="D47" s="23"/>
      <c r="E47" s="23"/>
      <c r="F47" s="23"/>
      <c r="G47" s="132"/>
      <c r="H47" s="132"/>
      <c r="I47" s="132"/>
      <c r="J47" s="132"/>
      <c r="K47" s="132"/>
      <c r="L47" s="132"/>
      <c r="M47" s="132"/>
      <c r="N47" s="91"/>
      <c r="O47" s="114"/>
      <c r="P47" s="91"/>
      <c r="Q47" s="132"/>
      <c r="R47" s="91"/>
      <c r="S47" s="132"/>
      <c r="T47" s="91"/>
      <c r="U47" s="91"/>
      <c r="V47" s="132"/>
      <c r="W47" s="132"/>
      <c r="X47" s="132"/>
      <c r="Y47" s="132"/>
      <c r="Z47" s="132"/>
      <c r="AA47" s="91"/>
      <c r="AB47" s="132"/>
      <c r="AC47" s="91"/>
      <c r="AD47" s="104"/>
    </row>
    <row r="48" spans="1:30" ht="15" x14ac:dyDescent="0.25">
      <c r="A48" s="90" t="s">
        <v>88</v>
      </c>
      <c r="B48" s="23"/>
      <c r="C48" s="91">
        <v>0</v>
      </c>
      <c r="D48" s="91"/>
      <c r="E48" s="91"/>
      <c r="F48" s="91"/>
      <c r="G48" s="91">
        <v>0</v>
      </c>
      <c r="H48" s="91">
        <v>0</v>
      </c>
      <c r="I48" s="133">
        <f>+G48+H48</f>
        <v>0</v>
      </c>
      <c r="J48" s="91"/>
      <c r="K48" s="91">
        <v>0</v>
      </c>
      <c r="L48" s="91">
        <v>0</v>
      </c>
      <c r="M48" s="91">
        <v>0</v>
      </c>
      <c r="N48" s="133">
        <f>+L48+M48</f>
        <v>0</v>
      </c>
      <c r="O48" s="91">
        <v>0</v>
      </c>
      <c r="P48" s="133">
        <f>+I48+K48</f>
        <v>0</v>
      </c>
      <c r="Q48" s="91"/>
      <c r="R48" s="91"/>
      <c r="S48" s="91">
        <v>0</v>
      </c>
      <c r="T48" s="91"/>
      <c r="U48" s="91"/>
      <c r="V48" s="91">
        <v>404984526</v>
      </c>
      <c r="W48" s="91">
        <v>639781</v>
      </c>
      <c r="X48" s="91">
        <v>604649</v>
      </c>
      <c r="Y48" s="133">
        <f>+W48+X48</f>
        <v>1244430</v>
      </c>
      <c r="Z48" s="91"/>
      <c r="AA48" s="133">
        <f>+S48+V48</f>
        <v>404984526</v>
      </c>
      <c r="AB48" s="91">
        <v>0</v>
      </c>
      <c r="AC48" s="133">
        <f>+C48+P48+AA48+AB48</f>
        <v>404984526</v>
      </c>
      <c r="AD48" s="134">
        <f>+N48+Y48</f>
        <v>1244430</v>
      </c>
    </row>
    <row r="49" spans="1:30" ht="15" x14ac:dyDescent="0.25">
      <c r="A49" s="90"/>
      <c r="B49" s="23"/>
      <c r="C49" s="91"/>
      <c r="D49" s="23"/>
      <c r="E49" s="23"/>
      <c r="F49" s="23"/>
      <c r="G49" s="91"/>
      <c r="H49" s="91"/>
      <c r="I49" s="91"/>
      <c r="J49" s="132"/>
      <c r="K49" s="91"/>
      <c r="L49" s="91"/>
      <c r="M49" s="91"/>
      <c r="N49" s="91"/>
      <c r="O49" s="114"/>
      <c r="P49" s="91"/>
      <c r="Q49" s="132"/>
      <c r="R49" s="91"/>
      <c r="S49" s="91"/>
      <c r="T49" s="91"/>
      <c r="U49" s="91"/>
      <c r="V49" s="91">
        <v>186523954</v>
      </c>
      <c r="W49" s="91">
        <v>318851</v>
      </c>
      <c r="X49" s="91">
        <v>312790</v>
      </c>
      <c r="Y49" s="133">
        <f>+W49+X49</f>
        <v>631641</v>
      </c>
      <c r="Z49" s="91"/>
      <c r="AA49" s="133">
        <f>+S49+V49</f>
        <v>186523954</v>
      </c>
      <c r="AB49" s="91">
        <v>0</v>
      </c>
      <c r="AC49" s="133">
        <f>+C49+P49+AA49+AB49</f>
        <v>186523954</v>
      </c>
      <c r="AD49" s="134">
        <f>+N49+Y49</f>
        <v>631641</v>
      </c>
    </row>
    <row r="50" spans="1:30" ht="15" x14ac:dyDescent="0.25">
      <c r="A50" s="1"/>
      <c r="B50" s="135"/>
      <c r="C50" s="96"/>
      <c r="D50" s="136"/>
      <c r="E50" s="136"/>
      <c r="F50" s="136"/>
      <c r="G50" s="96"/>
      <c r="H50" s="96"/>
      <c r="I50" s="137"/>
      <c r="J50" s="136"/>
      <c r="K50" s="96"/>
      <c r="L50" s="96"/>
      <c r="M50" s="96"/>
      <c r="N50" s="137"/>
      <c r="O50" s="138"/>
      <c r="P50" s="137"/>
      <c r="Q50" s="136"/>
      <c r="R50" s="136"/>
      <c r="S50" s="139"/>
      <c r="T50" s="136"/>
      <c r="U50" s="136"/>
      <c r="V50" s="96"/>
      <c r="W50" s="96"/>
      <c r="X50" s="96"/>
      <c r="Y50" s="96"/>
      <c r="Z50" s="96"/>
      <c r="AA50" s="96"/>
      <c r="AB50" s="96"/>
      <c r="AC50" s="96"/>
      <c r="AD50" s="137"/>
    </row>
    <row r="51" spans="1:30" ht="15" x14ac:dyDescent="0.25">
      <c r="A51" s="90" t="s">
        <v>89</v>
      </c>
      <c r="B51" s="140"/>
      <c r="C51" s="99">
        <f>+C48</f>
        <v>0</v>
      </c>
      <c r="D51" s="141"/>
      <c r="E51" s="141"/>
      <c r="F51" s="141"/>
      <c r="G51" s="99"/>
      <c r="H51" s="99"/>
      <c r="I51" s="99">
        <f>+G51+H51</f>
        <v>0</v>
      </c>
      <c r="J51" s="141"/>
      <c r="K51" s="99"/>
      <c r="L51" s="99"/>
      <c r="M51" s="99"/>
      <c r="N51" s="99">
        <f>+L51+M51</f>
        <v>0</v>
      </c>
      <c r="O51" s="99"/>
      <c r="P51" s="99">
        <f>+I51+K51</f>
        <v>0</v>
      </c>
      <c r="Q51" s="141"/>
      <c r="R51" s="141"/>
      <c r="S51" s="99">
        <f>+S48</f>
        <v>0</v>
      </c>
      <c r="T51" s="141"/>
      <c r="U51" s="141"/>
      <c r="V51" s="99">
        <f t="shared" ref="V51:AA51" si="8">SUM(V48:V50)</f>
        <v>591508480</v>
      </c>
      <c r="W51" s="99">
        <f t="shared" si="8"/>
        <v>958632</v>
      </c>
      <c r="X51" s="99">
        <f t="shared" si="8"/>
        <v>917439</v>
      </c>
      <c r="Y51" s="99">
        <f t="shared" si="8"/>
        <v>1876071</v>
      </c>
      <c r="Z51" s="99">
        <f t="shared" si="8"/>
        <v>0</v>
      </c>
      <c r="AA51" s="99">
        <f t="shared" si="8"/>
        <v>591508480</v>
      </c>
      <c r="AB51" s="99"/>
      <c r="AC51" s="99">
        <f>SUM(AC48:AC50)</f>
        <v>591508480</v>
      </c>
      <c r="AD51" s="142">
        <f>SUM(AD48:AD50)</f>
        <v>1876071</v>
      </c>
    </row>
    <row r="52" spans="1:30" ht="15" x14ac:dyDescent="0.25">
      <c r="A52" s="90"/>
      <c r="B52" s="143"/>
      <c r="C52" s="91"/>
      <c r="D52" s="132"/>
      <c r="E52" s="132"/>
      <c r="F52" s="132"/>
      <c r="G52" s="91"/>
      <c r="H52" s="91"/>
      <c r="I52" s="91"/>
      <c r="J52" s="132"/>
      <c r="K52" s="91"/>
      <c r="L52" s="91"/>
      <c r="M52" s="91"/>
      <c r="N52" s="91"/>
      <c r="O52" s="91"/>
      <c r="P52" s="91"/>
      <c r="Q52" s="132"/>
      <c r="R52" s="132"/>
      <c r="S52" s="144"/>
      <c r="T52" s="132"/>
      <c r="U52" s="132"/>
      <c r="V52" s="91"/>
      <c r="W52" s="91"/>
      <c r="X52" s="91"/>
      <c r="Y52" s="91"/>
      <c r="Z52" s="91"/>
      <c r="AA52" s="91"/>
      <c r="AB52" s="91"/>
      <c r="AC52" s="91"/>
      <c r="AD52" s="104"/>
    </row>
    <row r="53" spans="1:30" ht="15" x14ac:dyDescent="0.25">
      <c r="A53" s="89" t="s">
        <v>90</v>
      </c>
      <c r="B53" s="143"/>
      <c r="C53" s="91"/>
      <c r="D53" s="132"/>
      <c r="E53" s="132"/>
      <c r="F53" s="132"/>
      <c r="G53" s="91"/>
      <c r="H53" s="91"/>
      <c r="I53" s="91"/>
      <c r="J53" s="132"/>
      <c r="K53" s="91"/>
      <c r="L53" s="91"/>
      <c r="M53" s="91"/>
      <c r="N53" s="91"/>
      <c r="O53" s="91"/>
      <c r="P53" s="91"/>
      <c r="Q53" s="132"/>
      <c r="R53" s="132"/>
      <c r="S53" s="144"/>
      <c r="T53" s="132"/>
      <c r="U53" s="132"/>
      <c r="V53" s="91"/>
      <c r="W53" s="91"/>
      <c r="X53" s="91"/>
      <c r="Y53" s="91"/>
      <c r="Z53" s="91"/>
      <c r="AA53" s="91"/>
      <c r="AB53" s="91"/>
      <c r="AC53" s="91"/>
      <c r="AD53" s="104"/>
    </row>
    <row r="54" spans="1:30" ht="15" x14ac:dyDescent="0.25">
      <c r="A54" s="1" t="s">
        <v>91</v>
      </c>
      <c r="B54" s="132"/>
      <c r="C54" s="91">
        <v>10185244</v>
      </c>
      <c r="D54" s="91"/>
      <c r="E54" s="132"/>
      <c r="F54" s="91"/>
      <c r="G54" s="91">
        <v>1018901</v>
      </c>
      <c r="H54" s="91">
        <v>127277</v>
      </c>
      <c r="I54" s="133">
        <f>+G54+H54</f>
        <v>1146178</v>
      </c>
      <c r="J54" s="91"/>
      <c r="K54" s="91">
        <v>2314700</v>
      </c>
      <c r="L54" s="91">
        <v>7914</v>
      </c>
      <c r="M54" s="91">
        <v>0</v>
      </c>
      <c r="N54" s="133">
        <f>+L54+M54</f>
        <v>7914</v>
      </c>
      <c r="O54" s="91"/>
      <c r="P54" s="133">
        <f>+I54+K54</f>
        <v>3460878</v>
      </c>
      <c r="Q54" s="132"/>
      <c r="R54" s="132"/>
      <c r="S54" s="91">
        <v>0</v>
      </c>
      <c r="T54" s="132"/>
      <c r="U54" s="132"/>
      <c r="V54" s="91" t="e">
        <f>VLOOKUP($A54,#REF!,8)</f>
        <v>#REF!</v>
      </c>
      <c r="W54" s="91" t="e">
        <f>VLOOKUP($A54,#REF!,9)</f>
        <v>#REF!</v>
      </c>
      <c r="X54" s="91">
        <v>0</v>
      </c>
      <c r="Y54" s="133" t="e">
        <f>+W54+X54</f>
        <v>#REF!</v>
      </c>
      <c r="Z54" s="91"/>
      <c r="AA54" s="133" t="e">
        <f>+S54+V54</f>
        <v>#REF!</v>
      </c>
      <c r="AB54" s="91">
        <v>0</v>
      </c>
      <c r="AC54" s="133" t="e">
        <f>+C54+P54+AA54+AB54</f>
        <v>#REF!</v>
      </c>
      <c r="AD54" s="134" t="e">
        <f>+N54+Y54</f>
        <v>#REF!</v>
      </c>
    </row>
    <row r="55" spans="1:30" ht="15" x14ac:dyDescent="0.25">
      <c r="A55" s="1" t="s">
        <v>92</v>
      </c>
      <c r="B55" s="132"/>
      <c r="C55" s="91">
        <v>14497055</v>
      </c>
      <c r="D55" s="91"/>
      <c r="E55" s="132"/>
      <c r="F55" s="91"/>
      <c r="G55" s="91">
        <v>2297852</v>
      </c>
      <c r="H55" s="91">
        <v>152603</v>
      </c>
      <c r="I55" s="133">
        <f>+G55+H55</f>
        <v>2450455</v>
      </c>
      <c r="J55" s="91"/>
      <c r="K55" s="91">
        <v>9900588</v>
      </c>
      <c r="L55" s="91">
        <v>23943.86</v>
      </c>
      <c r="M55" s="91">
        <v>0</v>
      </c>
      <c r="N55" s="133">
        <f>+L55+M55</f>
        <v>23943.86</v>
      </c>
      <c r="O55" s="91"/>
      <c r="P55" s="133">
        <f>+I55+K55</f>
        <v>12351043</v>
      </c>
      <c r="Q55" s="132"/>
      <c r="R55" s="132"/>
      <c r="S55" s="91">
        <v>0</v>
      </c>
      <c r="T55" s="132"/>
      <c r="U55" s="132"/>
      <c r="V55" s="91" t="e">
        <f>VLOOKUP($A55,#REF!,8)</f>
        <v>#REF!</v>
      </c>
      <c r="W55" s="91" t="e">
        <f>VLOOKUP($A55,#REF!,9)</f>
        <v>#REF!</v>
      </c>
      <c r="X55" s="91">
        <v>0</v>
      </c>
      <c r="Y55" s="133" t="e">
        <f>+W55+X55</f>
        <v>#REF!</v>
      </c>
      <c r="Z55" s="91"/>
      <c r="AA55" s="133" t="e">
        <f>+S55+V55</f>
        <v>#REF!</v>
      </c>
      <c r="AB55" s="91">
        <v>0</v>
      </c>
      <c r="AC55" s="133" t="e">
        <f>+C55+P55+AA55+AB55</f>
        <v>#REF!</v>
      </c>
      <c r="AD55" s="134" t="e">
        <f>+N55+Y55</f>
        <v>#REF!</v>
      </c>
    </row>
    <row r="56" spans="1:30" ht="15" x14ac:dyDescent="0.25">
      <c r="A56" s="1" t="s">
        <v>93</v>
      </c>
      <c r="B56" s="132"/>
      <c r="C56" s="91">
        <v>1530597000</v>
      </c>
      <c r="D56" s="91"/>
      <c r="E56" s="132"/>
      <c r="F56" s="91"/>
      <c r="G56" s="91">
        <v>183975374</v>
      </c>
      <c r="H56" s="91">
        <v>10167000</v>
      </c>
      <c r="I56" s="133">
        <f>+G56+H56</f>
        <v>194142374</v>
      </c>
      <c r="J56" s="91"/>
      <c r="K56" s="91">
        <v>1332729626</v>
      </c>
      <c r="L56" s="91">
        <v>4118304</v>
      </c>
      <c r="M56" s="91">
        <v>2368482</v>
      </c>
      <c r="N56" s="133">
        <f>+L56+M56</f>
        <v>6486786</v>
      </c>
      <c r="O56" s="91"/>
      <c r="P56" s="133">
        <f>+I56+K56</f>
        <v>1526872000</v>
      </c>
      <c r="Q56" s="132"/>
      <c r="R56" s="132"/>
      <c r="S56" s="91">
        <v>0</v>
      </c>
      <c r="T56" s="132"/>
      <c r="U56" s="132"/>
      <c r="V56" s="91">
        <v>573254520</v>
      </c>
      <c r="W56" s="91">
        <v>1100184</v>
      </c>
      <c r="X56" s="91">
        <v>1228682</v>
      </c>
      <c r="Y56" s="133">
        <f>+W56+X56</f>
        <v>2328866</v>
      </c>
      <c r="Z56" s="91"/>
      <c r="AA56" s="133">
        <f>+S56+V56</f>
        <v>573254520</v>
      </c>
      <c r="AB56" s="91">
        <v>0</v>
      </c>
      <c r="AC56" s="133">
        <f>+C56+P56+AA56+AB56</f>
        <v>3630723520</v>
      </c>
      <c r="AD56" s="134">
        <f>+N56+Y56</f>
        <v>8815652</v>
      </c>
    </row>
    <row r="57" spans="1:30" ht="15" x14ac:dyDescent="0.25">
      <c r="A57" s="1" t="s">
        <v>94</v>
      </c>
      <c r="B57" s="132"/>
      <c r="C57" s="91">
        <v>23528620</v>
      </c>
      <c r="D57" s="91"/>
      <c r="E57" s="132"/>
      <c r="F57" s="91"/>
      <c r="G57" s="91">
        <v>4990052</v>
      </c>
      <c r="H57" s="91">
        <v>180956</v>
      </c>
      <c r="I57" s="133">
        <f t="shared" ref="I57:I69" si="9">+G57+H57</f>
        <v>5171008</v>
      </c>
      <c r="J57" s="91"/>
      <c r="K57" s="91">
        <v>4846138</v>
      </c>
      <c r="L57" s="91">
        <v>15842.11</v>
      </c>
      <c r="M57" s="91">
        <v>0</v>
      </c>
      <c r="N57" s="133">
        <f t="shared" ref="N57:N70" si="10">+L57+M57</f>
        <v>15842.11</v>
      </c>
      <c r="O57" s="91"/>
      <c r="P57" s="133">
        <f t="shared" ref="P57:P69" si="11">+I57+K57</f>
        <v>10017146</v>
      </c>
      <c r="Q57" s="132"/>
      <c r="R57" s="132"/>
      <c r="S57" s="91" t="e">
        <f>VLOOKUP($A57,#REF!,7)</f>
        <v>#REF!</v>
      </c>
      <c r="T57" s="132"/>
      <c r="U57" s="132"/>
      <c r="V57" s="91">
        <v>0</v>
      </c>
      <c r="W57" s="91">
        <v>0</v>
      </c>
      <c r="X57" s="91">
        <v>0</v>
      </c>
      <c r="Y57" s="133">
        <f t="shared" ref="Y57:Y69" si="12">+W57+X57</f>
        <v>0</v>
      </c>
      <c r="Z57" s="91"/>
      <c r="AA57" s="133" t="e">
        <f t="shared" ref="AA57:AA69" si="13">+S57+V57</f>
        <v>#REF!</v>
      </c>
      <c r="AB57" s="91">
        <v>0</v>
      </c>
      <c r="AC57" s="133" t="e">
        <f t="shared" ref="AC57:AC69" si="14">+C57+P57+AA57+AB57</f>
        <v>#REF!</v>
      </c>
      <c r="AD57" s="134">
        <f t="shared" ref="AD57:AD69" si="15">+N57+Y57</f>
        <v>15842.11</v>
      </c>
    </row>
    <row r="58" spans="1:30" ht="15" x14ac:dyDescent="0.25">
      <c r="A58" s="1" t="s">
        <v>95</v>
      </c>
      <c r="B58" s="132"/>
      <c r="C58" s="91">
        <v>8181006</v>
      </c>
      <c r="D58" s="91"/>
      <c r="E58" s="132"/>
      <c r="F58" s="91"/>
      <c r="G58" s="91">
        <v>2179999.9639806049</v>
      </c>
      <c r="H58" s="91">
        <v>39718</v>
      </c>
      <c r="I58" s="133">
        <f t="shared" si="9"/>
        <v>2219717.9639806049</v>
      </c>
      <c r="J58" s="91"/>
      <c r="K58" s="91">
        <v>1372940.2055092426</v>
      </c>
      <c r="L58" s="91">
        <v>4668.2987075155588</v>
      </c>
      <c r="M58" s="91">
        <v>0</v>
      </c>
      <c r="N58" s="133">
        <f t="shared" si="10"/>
        <v>4668.2987075155588</v>
      </c>
      <c r="O58" s="91"/>
      <c r="P58" s="133">
        <f t="shared" si="11"/>
        <v>3592658.1694898475</v>
      </c>
      <c r="Q58" s="132"/>
      <c r="R58" s="132"/>
      <c r="S58" s="91" t="e">
        <f>VLOOKUP($A58,#REF!,7)</f>
        <v>#REF!</v>
      </c>
      <c r="T58" s="132"/>
      <c r="U58" s="132"/>
      <c r="V58" s="91">
        <v>0</v>
      </c>
      <c r="W58" s="91">
        <v>0</v>
      </c>
      <c r="X58" s="91">
        <v>0</v>
      </c>
      <c r="Y58" s="133">
        <f t="shared" si="12"/>
        <v>0</v>
      </c>
      <c r="Z58" s="91"/>
      <c r="AA58" s="133" t="e">
        <f t="shared" si="13"/>
        <v>#REF!</v>
      </c>
      <c r="AB58" s="91">
        <v>0</v>
      </c>
      <c r="AC58" s="133" t="e">
        <f t="shared" si="14"/>
        <v>#REF!</v>
      </c>
      <c r="AD58" s="134">
        <f t="shared" si="15"/>
        <v>4668.2987075155588</v>
      </c>
    </row>
    <row r="59" spans="1:30" ht="15" x14ac:dyDescent="0.25">
      <c r="A59" s="1" t="s">
        <v>96</v>
      </c>
      <c r="B59" s="132"/>
      <c r="C59" s="91">
        <v>3502190</v>
      </c>
      <c r="D59" s="91"/>
      <c r="E59" s="132"/>
      <c r="F59" s="91"/>
      <c r="G59" s="91">
        <v>568351</v>
      </c>
      <c r="H59" s="91">
        <v>17043.150000000001</v>
      </c>
      <c r="I59" s="133">
        <f t="shared" si="9"/>
        <v>585394.15</v>
      </c>
      <c r="J59" s="91"/>
      <c r="K59" s="91">
        <v>899706</v>
      </c>
      <c r="L59" s="91">
        <v>5007</v>
      </c>
      <c r="M59" s="91">
        <v>0</v>
      </c>
      <c r="N59" s="133">
        <f t="shared" si="10"/>
        <v>5007</v>
      </c>
      <c r="O59" s="91"/>
      <c r="P59" s="133">
        <f t="shared" si="11"/>
        <v>1485100.15</v>
      </c>
      <c r="Q59" s="132"/>
      <c r="R59" s="132"/>
      <c r="S59" s="91" t="e">
        <f>VLOOKUP($A59,#REF!,7)</f>
        <v>#REF!</v>
      </c>
      <c r="T59" s="132"/>
      <c r="U59" s="132"/>
      <c r="V59" s="91">
        <v>0</v>
      </c>
      <c r="W59" s="91">
        <v>0</v>
      </c>
      <c r="X59" s="91">
        <v>0</v>
      </c>
      <c r="Y59" s="133">
        <f t="shared" si="12"/>
        <v>0</v>
      </c>
      <c r="Z59" s="91"/>
      <c r="AA59" s="133" t="e">
        <f t="shared" si="13"/>
        <v>#REF!</v>
      </c>
      <c r="AB59" s="91">
        <v>0</v>
      </c>
      <c r="AC59" s="133" t="e">
        <f t="shared" si="14"/>
        <v>#REF!</v>
      </c>
      <c r="AD59" s="134">
        <f t="shared" si="15"/>
        <v>5007</v>
      </c>
    </row>
    <row r="60" spans="1:30" ht="15" x14ac:dyDescent="0.25">
      <c r="A60" s="1" t="s">
        <v>97</v>
      </c>
      <c r="B60" s="132"/>
      <c r="C60" s="91">
        <v>5152903</v>
      </c>
      <c r="D60" s="91"/>
      <c r="E60" s="132"/>
      <c r="F60" s="91"/>
      <c r="G60" s="91">
        <v>1594005</v>
      </c>
      <c r="H60" s="91">
        <v>65597</v>
      </c>
      <c r="I60" s="133">
        <f t="shared" si="9"/>
        <v>1659602</v>
      </c>
      <c r="J60" s="91"/>
      <c r="K60" s="91">
        <v>5696986</v>
      </c>
      <c r="L60" s="91">
        <v>13336</v>
      </c>
      <c r="M60" s="91">
        <v>0</v>
      </c>
      <c r="N60" s="133">
        <f t="shared" si="10"/>
        <v>13336</v>
      </c>
      <c r="O60" s="91"/>
      <c r="P60" s="133">
        <f t="shared" si="11"/>
        <v>7356588</v>
      </c>
      <c r="Q60" s="132"/>
      <c r="R60" s="132"/>
      <c r="S60" s="91" t="e">
        <f>VLOOKUP($A60,#REF!,7)</f>
        <v>#REF!</v>
      </c>
      <c r="T60" s="132"/>
      <c r="U60" s="132"/>
      <c r="V60" s="91">
        <v>0</v>
      </c>
      <c r="W60" s="91">
        <v>0</v>
      </c>
      <c r="X60" s="91">
        <v>0</v>
      </c>
      <c r="Y60" s="133">
        <f t="shared" si="12"/>
        <v>0</v>
      </c>
      <c r="Z60" s="91"/>
      <c r="AA60" s="133" t="e">
        <f t="shared" si="13"/>
        <v>#REF!</v>
      </c>
      <c r="AB60" s="91">
        <v>0</v>
      </c>
      <c r="AC60" s="133" t="e">
        <f t="shared" si="14"/>
        <v>#REF!</v>
      </c>
      <c r="AD60" s="134">
        <f t="shared" si="15"/>
        <v>13336</v>
      </c>
    </row>
    <row r="61" spans="1:30" ht="15" x14ac:dyDescent="0.25">
      <c r="A61" s="1" t="s">
        <v>98</v>
      </c>
      <c r="B61" s="132"/>
      <c r="C61" s="91">
        <v>17141759</v>
      </c>
      <c r="D61" s="91"/>
      <c r="E61" s="132"/>
      <c r="F61" s="91"/>
      <c r="G61" s="91">
        <v>5567395.0410899101</v>
      </c>
      <c r="H61" s="91">
        <v>347690</v>
      </c>
      <c r="I61" s="133">
        <f t="shared" si="9"/>
        <v>5915085.0410899101</v>
      </c>
      <c r="J61" s="91"/>
      <c r="K61" s="91">
        <v>11396429.958910089</v>
      </c>
      <c r="L61" s="91">
        <v>52666.319999999992</v>
      </c>
      <c r="M61" s="91">
        <v>0</v>
      </c>
      <c r="N61" s="133">
        <f t="shared" si="10"/>
        <v>52666.319999999992</v>
      </c>
      <c r="O61" s="91"/>
      <c r="P61" s="133">
        <f t="shared" si="11"/>
        <v>17311515</v>
      </c>
      <c r="Q61" s="132"/>
      <c r="R61" s="132"/>
      <c r="S61" s="91" t="e">
        <f>VLOOKUP($A61,#REF!,7)</f>
        <v>#REF!</v>
      </c>
      <c r="T61" s="132"/>
      <c r="U61" s="132"/>
      <c r="V61" s="91">
        <v>20126143</v>
      </c>
      <c r="W61" s="91">
        <v>58128.78</v>
      </c>
      <c r="X61" s="91">
        <v>0</v>
      </c>
      <c r="Y61" s="133">
        <f t="shared" si="12"/>
        <v>58128.78</v>
      </c>
      <c r="Z61" s="91"/>
      <c r="AA61" s="133" t="e">
        <f t="shared" si="13"/>
        <v>#REF!</v>
      </c>
      <c r="AB61" s="91">
        <v>0</v>
      </c>
      <c r="AC61" s="133" t="e">
        <f t="shared" si="14"/>
        <v>#REF!</v>
      </c>
      <c r="AD61" s="134">
        <f t="shared" si="15"/>
        <v>110795.09999999999</v>
      </c>
    </row>
    <row r="62" spans="1:30" ht="15" x14ac:dyDescent="0.25">
      <c r="A62" s="1" t="s">
        <v>99</v>
      </c>
      <c r="B62" s="132"/>
      <c r="C62" s="91">
        <v>31156590</v>
      </c>
      <c r="D62" s="91"/>
      <c r="E62" s="132"/>
      <c r="F62" s="91"/>
      <c r="G62" s="91">
        <v>10936043</v>
      </c>
      <c r="H62" s="91">
        <v>477849</v>
      </c>
      <c r="I62" s="133">
        <f t="shared" si="9"/>
        <v>11413892</v>
      </c>
      <c r="J62" s="91"/>
      <c r="K62" s="91">
        <v>15962108</v>
      </c>
      <c r="L62" s="91">
        <v>56023.490000000013</v>
      </c>
      <c r="M62" s="91">
        <v>0</v>
      </c>
      <c r="N62" s="133">
        <f t="shared" si="10"/>
        <v>56023.490000000013</v>
      </c>
      <c r="O62" s="91"/>
      <c r="P62" s="133">
        <f t="shared" si="11"/>
        <v>27376000</v>
      </c>
      <c r="Q62" s="132"/>
      <c r="R62" s="132"/>
      <c r="S62" s="91" t="e">
        <f>VLOOKUP($A62,#REF!,7)</f>
        <v>#REF!</v>
      </c>
      <c r="T62" s="132"/>
      <c r="U62" s="132"/>
      <c r="V62" s="91">
        <v>0</v>
      </c>
      <c r="W62" s="91">
        <v>0</v>
      </c>
      <c r="X62" s="91">
        <v>0</v>
      </c>
      <c r="Y62" s="133">
        <f t="shared" si="12"/>
        <v>0</v>
      </c>
      <c r="Z62" s="91"/>
      <c r="AA62" s="133" t="e">
        <f t="shared" si="13"/>
        <v>#REF!</v>
      </c>
      <c r="AB62" s="91">
        <v>0</v>
      </c>
      <c r="AC62" s="133" t="e">
        <f t="shared" si="14"/>
        <v>#REF!</v>
      </c>
      <c r="AD62" s="134">
        <f t="shared" si="15"/>
        <v>56023.490000000013</v>
      </c>
    </row>
    <row r="63" spans="1:30" ht="15" x14ac:dyDescent="0.25">
      <c r="A63" s="1" t="s">
        <v>100</v>
      </c>
      <c r="B63" s="132"/>
      <c r="C63" s="91">
        <v>21688925</v>
      </c>
      <c r="D63" s="91"/>
      <c r="E63" s="132"/>
      <c r="F63" s="91"/>
      <c r="G63" s="91">
        <v>5653721</v>
      </c>
      <c r="H63" s="91">
        <v>37441</v>
      </c>
      <c r="I63" s="133">
        <f t="shared" si="9"/>
        <v>5691162</v>
      </c>
      <c r="J63" s="91"/>
      <c r="K63" s="91">
        <v>18408785</v>
      </c>
      <c r="L63" s="91">
        <v>52606.400000000001</v>
      </c>
      <c r="M63" s="91"/>
      <c r="N63" s="133">
        <f t="shared" si="10"/>
        <v>52606.400000000001</v>
      </c>
      <c r="O63" s="91"/>
      <c r="P63" s="133">
        <f t="shared" si="11"/>
        <v>24099947</v>
      </c>
      <c r="Q63" s="132"/>
      <c r="R63" s="132"/>
      <c r="S63" s="91" t="e">
        <f>VLOOKUP($A63,#REF!,7)</f>
        <v>#REF!</v>
      </c>
      <c r="T63" s="132"/>
      <c r="U63" s="132"/>
      <c r="V63" s="91">
        <v>0</v>
      </c>
      <c r="W63" s="91">
        <v>0</v>
      </c>
      <c r="X63" s="91">
        <v>0</v>
      </c>
      <c r="Y63" s="133">
        <f t="shared" si="12"/>
        <v>0</v>
      </c>
      <c r="Z63" s="91"/>
      <c r="AA63" s="133" t="e">
        <f t="shared" si="13"/>
        <v>#REF!</v>
      </c>
      <c r="AB63" s="91">
        <v>0</v>
      </c>
      <c r="AC63" s="133" t="e">
        <f t="shared" si="14"/>
        <v>#REF!</v>
      </c>
      <c r="AD63" s="134">
        <f t="shared" si="15"/>
        <v>52606.400000000001</v>
      </c>
    </row>
    <row r="64" spans="1:30" ht="15" x14ac:dyDescent="0.25">
      <c r="A64" s="1" t="s">
        <v>101</v>
      </c>
      <c r="B64" s="132"/>
      <c r="C64" s="91">
        <v>10189153</v>
      </c>
      <c r="D64" s="91"/>
      <c r="E64" s="132"/>
      <c r="F64" s="91"/>
      <c r="G64" s="91">
        <v>2420080</v>
      </c>
      <c r="H64" s="91">
        <v>89238</v>
      </c>
      <c r="I64" s="133">
        <f t="shared" si="9"/>
        <v>2509318</v>
      </c>
      <c r="J64" s="91"/>
      <c r="K64" s="91">
        <v>6992925</v>
      </c>
      <c r="L64" s="91">
        <v>19622.671999999999</v>
      </c>
      <c r="M64" s="91">
        <v>0</v>
      </c>
      <c r="N64" s="133">
        <f t="shared" si="10"/>
        <v>19622.671999999999</v>
      </c>
      <c r="O64" s="91"/>
      <c r="P64" s="133">
        <f t="shared" si="11"/>
        <v>9502243</v>
      </c>
      <c r="Q64" s="132"/>
      <c r="R64" s="132"/>
      <c r="S64" s="91" t="e">
        <f>VLOOKUP($A64,#REF!,7)</f>
        <v>#REF!</v>
      </c>
      <c r="T64" s="132"/>
      <c r="U64" s="132"/>
      <c r="V64" s="91">
        <v>8525879</v>
      </c>
      <c r="W64" s="91">
        <v>18126.646000000004</v>
      </c>
      <c r="X64" s="91">
        <v>0</v>
      </c>
      <c r="Y64" s="133">
        <f t="shared" si="12"/>
        <v>18126.646000000004</v>
      </c>
      <c r="Z64" s="91"/>
      <c r="AA64" s="133" t="e">
        <f t="shared" si="13"/>
        <v>#REF!</v>
      </c>
      <c r="AB64" s="91">
        <v>0</v>
      </c>
      <c r="AC64" s="133" t="e">
        <f t="shared" si="14"/>
        <v>#REF!</v>
      </c>
      <c r="AD64" s="134">
        <f t="shared" si="15"/>
        <v>37749.317999999999</v>
      </c>
    </row>
    <row r="65" spans="1:30" ht="15" x14ac:dyDescent="0.25">
      <c r="A65" s="1" t="s">
        <v>102</v>
      </c>
      <c r="B65" s="132"/>
      <c r="C65" s="91">
        <v>4164360</v>
      </c>
      <c r="D65" s="91"/>
      <c r="E65" s="132"/>
      <c r="F65" s="91"/>
      <c r="G65" s="91">
        <v>2043329</v>
      </c>
      <c r="H65" s="91">
        <v>150368</v>
      </c>
      <c r="I65" s="133">
        <f t="shared" si="9"/>
        <v>2193697</v>
      </c>
      <c r="J65" s="91"/>
      <c r="K65" s="91"/>
      <c r="L65" s="91"/>
      <c r="M65" s="91"/>
      <c r="N65" s="133">
        <f t="shared" si="10"/>
        <v>0</v>
      </c>
      <c r="O65" s="91"/>
      <c r="P65" s="133">
        <f t="shared" si="11"/>
        <v>2193697</v>
      </c>
      <c r="Q65" s="132"/>
      <c r="R65" s="132"/>
      <c r="S65" s="91" t="e">
        <f>VLOOKUP($A65,#REF!,7)</f>
        <v>#REF!</v>
      </c>
      <c r="T65" s="132"/>
      <c r="U65" s="132"/>
      <c r="V65" s="91">
        <v>7332000</v>
      </c>
      <c r="W65" s="91">
        <v>25970</v>
      </c>
      <c r="X65" s="91">
        <v>0</v>
      </c>
      <c r="Y65" s="133">
        <f t="shared" si="12"/>
        <v>25970</v>
      </c>
      <c r="Z65" s="91"/>
      <c r="AA65" s="133" t="e">
        <f t="shared" si="13"/>
        <v>#REF!</v>
      </c>
      <c r="AB65" s="91">
        <v>0</v>
      </c>
      <c r="AC65" s="133" t="e">
        <f t="shared" si="14"/>
        <v>#REF!</v>
      </c>
      <c r="AD65" s="134">
        <f t="shared" si="15"/>
        <v>25970</v>
      </c>
    </row>
    <row r="66" spans="1:30" ht="15" x14ac:dyDescent="0.25">
      <c r="A66" s="1" t="s">
        <v>103</v>
      </c>
      <c r="B66" s="132"/>
      <c r="C66" s="91">
        <v>23333051</v>
      </c>
      <c r="D66" s="91"/>
      <c r="E66" s="132"/>
      <c r="F66" s="91"/>
      <c r="G66" s="91">
        <v>7434709</v>
      </c>
      <c r="H66" s="91">
        <v>45839</v>
      </c>
      <c r="I66" s="133">
        <f t="shared" si="9"/>
        <v>7480548</v>
      </c>
      <c r="J66" s="91"/>
      <c r="K66" s="91">
        <v>36053655</v>
      </c>
      <c r="L66" s="91">
        <v>92031</v>
      </c>
      <c r="M66" s="91">
        <v>0</v>
      </c>
      <c r="N66" s="133">
        <f t="shared" si="10"/>
        <v>92031</v>
      </c>
      <c r="O66" s="91"/>
      <c r="P66" s="133">
        <f t="shared" si="11"/>
        <v>43534203</v>
      </c>
      <c r="Q66" s="132"/>
      <c r="R66" s="132"/>
      <c r="S66" s="91" t="e">
        <f>VLOOKUP($A66,#REF!,7)</f>
        <v>#REF!</v>
      </c>
      <c r="T66" s="132"/>
      <c r="U66" s="132"/>
      <c r="V66" s="91">
        <v>8297320</v>
      </c>
      <c r="W66" s="91">
        <v>31488</v>
      </c>
      <c r="X66" s="91">
        <v>0</v>
      </c>
      <c r="Y66" s="133">
        <f t="shared" si="12"/>
        <v>31488</v>
      </c>
      <c r="Z66" s="91"/>
      <c r="AA66" s="133" t="e">
        <f t="shared" si="13"/>
        <v>#REF!</v>
      </c>
      <c r="AB66" s="91">
        <v>0</v>
      </c>
      <c r="AC66" s="133" t="e">
        <f t="shared" si="14"/>
        <v>#REF!</v>
      </c>
      <c r="AD66" s="134">
        <f t="shared" si="15"/>
        <v>123519</v>
      </c>
    </row>
    <row r="67" spans="1:30" ht="15" x14ac:dyDescent="0.25">
      <c r="A67" s="1" t="s">
        <v>104</v>
      </c>
      <c r="B67" s="132"/>
      <c r="C67" s="91">
        <v>26699555</v>
      </c>
      <c r="D67" s="91"/>
      <c r="E67" s="132"/>
      <c r="F67" s="91"/>
      <c r="G67" s="91">
        <v>4149076</v>
      </c>
      <c r="H67" s="91">
        <v>136025</v>
      </c>
      <c r="I67" s="133">
        <f t="shared" si="9"/>
        <v>4285101</v>
      </c>
      <c r="J67" s="91"/>
      <c r="K67" s="91">
        <v>23635134</v>
      </c>
      <c r="L67" s="91">
        <v>83990.61</v>
      </c>
      <c r="M67" s="91">
        <v>0</v>
      </c>
      <c r="N67" s="133">
        <f t="shared" si="10"/>
        <v>83990.61</v>
      </c>
      <c r="O67" s="91"/>
      <c r="P67" s="133">
        <f t="shared" si="11"/>
        <v>27920235</v>
      </c>
      <c r="Q67" s="132"/>
      <c r="R67" s="132"/>
      <c r="S67" s="91" t="e">
        <f>VLOOKUP($A67,#REF!,7)</f>
        <v>#REF!</v>
      </c>
      <c r="T67" s="132"/>
      <c r="U67" s="132"/>
      <c r="V67" s="91">
        <v>0</v>
      </c>
      <c r="W67" s="91">
        <v>0</v>
      </c>
      <c r="X67" s="91">
        <v>0</v>
      </c>
      <c r="Y67" s="133">
        <f t="shared" si="12"/>
        <v>0</v>
      </c>
      <c r="Z67" s="91"/>
      <c r="AA67" s="133" t="e">
        <f t="shared" si="13"/>
        <v>#REF!</v>
      </c>
      <c r="AB67" s="91">
        <v>0</v>
      </c>
      <c r="AC67" s="133" t="e">
        <f t="shared" si="14"/>
        <v>#REF!</v>
      </c>
      <c r="AD67" s="134">
        <f t="shared" si="15"/>
        <v>83990.61</v>
      </c>
    </row>
    <row r="68" spans="1:30" ht="15" x14ac:dyDescent="0.25">
      <c r="A68" s="1" t="s">
        <v>105</v>
      </c>
      <c r="B68" s="145"/>
      <c r="C68" s="91">
        <v>225683948</v>
      </c>
      <c r="D68" s="91"/>
      <c r="E68" s="132"/>
      <c r="F68" s="91"/>
      <c r="G68" s="91">
        <v>67906555</v>
      </c>
      <c r="H68" s="91">
        <v>1618292</v>
      </c>
      <c r="I68" s="133">
        <f t="shared" si="9"/>
        <v>69524847</v>
      </c>
      <c r="J68" s="91"/>
      <c r="K68" s="91">
        <v>62921602</v>
      </c>
      <c r="L68" s="91">
        <v>325901</v>
      </c>
      <c r="M68" s="91">
        <v>0</v>
      </c>
      <c r="N68" s="133">
        <f t="shared" si="10"/>
        <v>325901</v>
      </c>
      <c r="O68" s="91"/>
      <c r="P68" s="133">
        <f t="shared" si="11"/>
        <v>132446449</v>
      </c>
      <c r="Q68" s="132"/>
      <c r="R68" s="132"/>
      <c r="S68" s="91">
        <v>8702978</v>
      </c>
      <c r="T68" s="132"/>
      <c r="U68" s="132"/>
      <c r="V68" s="91">
        <v>93161478</v>
      </c>
      <c r="W68" s="91">
        <v>145675</v>
      </c>
      <c r="X68" s="91">
        <v>0</v>
      </c>
      <c r="Y68" s="133">
        <f t="shared" si="12"/>
        <v>145675</v>
      </c>
      <c r="Z68" s="91"/>
      <c r="AA68" s="133">
        <f t="shared" si="13"/>
        <v>101864456</v>
      </c>
      <c r="AB68" s="91">
        <v>0</v>
      </c>
      <c r="AC68" s="133">
        <f t="shared" si="14"/>
        <v>459994853</v>
      </c>
      <c r="AD68" s="134">
        <f t="shared" si="15"/>
        <v>471576</v>
      </c>
    </row>
    <row r="69" spans="1:30" ht="15" x14ac:dyDescent="0.25">
      <c r="A69" s="40" t="s">
        <v>106</v>
      </c>
      <c r="B69" s="400"/>
      <c r="C69" s="401">
        <v>61548462</v>
      </c>
      <c r="D69" s="401"/>
      <c r="E69" s="400"/>
      <c r="F69" s="401"/>
      <c r="G69" s="401">
        <v>5172772</v>
      </c>
      <c r="H69" s="401"/>
      <c r="I69" s="403">
        <f t="shared" si="9"/>
        <v>5172772</v>
      </c>
      <c r="J69" s="401"/>
      <c r="K69" s="401"/>
      <c r="L69" s="401"/>
      <c r="M69" s="401"/>
      <c r="N69" s="403">
        <f t="shared" si="10"/>
        <v>0</v>
      </c>
      <c r="O69" s="401"/>
      <c r="P69" s="403">
        <f t="shared" si="11"/>
        <v>5172772</v>
      </c>
      <c r="Q69" s="400"/>
      <c r="R69" s="400"/>
      <c r="S69" s="401" t="e">
        <f>VLOOKUP($A69,#REF!,7)</f>
        <v>#REF!</v>
      </c>
      <c r="T69" s="400"/>
      <c r="U69" s="400"/>
      <c r="V69" s="401">
        <v>3772650</v>
      </c>
      <c r="W69" s="401">
        <v>11273</v>
      </c>
      <c r="X69" s="401">
        <v>0</v>
      </c>
      <c r="Y69" s="403">
        <f t="shared" si="12"/>
        <v>11273</v>
      </c>
      <c r="Z69" s="401"/>
      <c r="AA69" s="403" t="e">
        <f t="shared" si="13"/>
        <v>#REF!</v>
      </c>
      <c r="AB69" s="401">
        <v>0</v>
      </c>
      <c r="AC69" s="403" t="e">
        <f t="shared" si="14"/>
        <v>#REF!</v>
      </c>
      <c r="AD69" s="404">
        <f t="shared" si="15"/>
        <v>11273</v>
      </c>
    </row>
    <row r="70" spans="1:30" ht="15" x14ac:dyDescent="0.25">
      <c r="A70" s="90" t="s">
        <v>107</v>
      </c>
      <c r="B70" s="146"/>
      <c r="C70" s="147">
        <f>SUM(C54:C69)</f>
        <v>2017249821</v>
      </c>
      <c r="D70" s="147"/>
      <c r="E70" s="146"/>
      <c r="F70" s="147"/>
      <c r="G70" s="147">
        <f>SUM(G54:G69)</f>
        <v>307908215.00507057</v>
      </c>
      <c r="H70" s="147">
        <f>SUM(H54:H69)</f>
        <v>13652936.15</v>
      </c>
      <c r="I70" s="147">
        <f>G70+H70</f>
        <v>321561151.15507054</v>
      </c>
      <c r="J70" s="147"/>
      <c r="K70" s="147">
        <f>SUM(K54:K69)</f>
        <v>1533131323.1644192</v>
      </c>
      <c r="L70" s="147">
        <f>SUM(L54:L69)</f>
        <v>4871856.7607075162</v>
      </c>
      <c r="M70" s="147">
        <f>SUM(M54:M69)</f>
        <v>2368482</v>
      </c>
      <c r="N70" s="147">
        <f t="shared" si="10"/>
        <v>7240338.7607075162</v>
      </c>
      <c r="O70" s="147"/>
      <c r="P70" s="147">
        <f>SUM(P54:P69)</f>
        <v>1854692474.31949</v>
      </c>
      <c r="Q70" s="147"/>
      <c r="R70" s="147"/>
      <c r="S70" s="147" t="e">
        <f>SUM(S54:S69)</f>
        <v>#REF!</v>
      </c>
      <c r="T70" s="147"/>
      <c r="U70" s="147"/>
      <c r="V70" s="147" t="e">
        <f>SUM(V54:V69)</f>
        <v>#REF!</v>
      </c>
      <c r="W70" s="147" t="e">
        <f>SUM(W54:W69)</f>
        <v>#REF!</v>
      </c>
      <c r="X70" s="147">
        <f>SUM(X54:X69)</f>
        <v>1228682</v>
      </c>
      <c r="Y70" s="147" t="e">
        <f>SUM(Y54:Y69)</f>
        <v>#REF!</v>
      </c>
      <c r="Z70" s="147"/>
      <c r="AA70" s="147" t="e">
        <f>SUM(AA54:AA69)</f>
        <v>#REF!</v>
      </c>
      <c r="AB70" s="147">
        <f>SUM(AB54:AB69)</f>
        <v>0</v>
      </c>
      <c r="AC70" s="147" t="e">
        <f>SUM(AC54:AC69)</f>
        <v>#REF!</v>
      </c>
      <c r="AD70" s="148" t="e">
        <f>SUM(AD54:AD69)</f>
        <v>#REF!</v>
      </c>
    </row>
    <row r="71" spans="1:30" ht="15" x14ac:dyDescent="0.25">
      <c r="A71" s="90"/>
      <c r="B71" s="132"/>
      <c r="C71" s="91"/>
      <c r="D71" s="132"/>
      <c r="E71" s="132"/>
      <c r="F71" s="132"/>
      <c r="G71" s="132"/>
      <c r="H71" s="91"/>
      <c r="I71" s="91"/>
      <c r="J71" s="132"/>
      <c r="K71" s="132"/>
      <c r="L71" s="132"/>
      <c r="M71" s="132"/>
      <c r="N71" s="132"/>
      <c r="O71" s="132"/>
      <c r="P71" s="132"/>
      <c r="Q71" s="132"/>
      <c r="R71" s="132"/>
      <c r="S71" s="132"/>
      <c r="T71" s="132"/>
      <c r="U71" s="132"/>
      <c r="V71" s="132"/>
      <c r="W71" s="132"/>
      <c r="X71" s="132"/>
      <c r="Y71" s="132"/>
      <c r="Z71" s="132"/>
      <c r="AA71" s="132"/>
      <c r="AB71" s="132"/>
      <c r="AC71" s="91"/>
      <c r="AD71" s="145"/>
    </row>
    <row r="72" spans="1:30" ht="15" x14ac:dyDescent="0.25">
      <c r="A72" s="90" t="s">
        <v>108</v>
      </c>
      <c r="B72" s="132"/>
      <c r="C72" s="91">
        <f>C51+C70</f>
        <v>2017249821</v>
      </c>
      <c r="D72" s="91"/>
      <c r="E72" s="91"/>
      <c r="F72" s="91"/>
      <c r="G72" s="91">
        <f>G51+G70</f>
        <v>307908215.00507057</v>
      </c>
      <c r="H72" s="91">
        <f>H51+H70</f>
        <v>13652936.15</v>
      </c>
      <c r="I72" s="91">
        <f>I51+I70</f>
        <v>321561151.15507054</v>
      </c>
      <c r="J72" s="91"/>
      <c r="K72" s="91">
        <f>K51+K70</f>
        <v>1533131323.1644192</v>
      </c>
      <c r="L72" s="91">
        <f>L51+L70</f>
        <v>4871856.7607075162</v>
      </c>
      <c r="M72" s="91">
        <f>M51+M70</f>
        <v>2368482</v>
      </c>
      <c r="N72" s="91">
        <f>N51+N70</f>
        <v>7240338.7607075162</v>
      </c>
      <c r="O72" s="91"/>
      <c r="P72" s="91">
        <f>P51+P70</f>
        <v>1854692474.31949</v>
      </c>
      <c r="Q72" s="91"/>
      <c r="R72" s="91"/>
      <c r="S72" s="91" t="e">
        <f>S51+S70</f>
        <v>#REF!</v>
      </c>
      <c r="T72" s="91"/>
      <c r="U72" s="91"/>
      <c r="V72" s="91" t="e">
        <f>V51+V70</f>
        <v>#REF!</v>
      </c>
      <c r="W72" s="91" t="e">
        <f>W51+W70</f>
        <v>#REF!</v>
      </c>
      <c r="X72" s="91">
        <f>X51+X70</f>
        <v>2146121</v>
      </c>
      <c r="Y72" s="91" t="e">
        <f>Y51+Y70</f>
        <v>#REF!</v>
      </c>
      <c r="Z72" s="91"/>
      <c r="AA72" s="91" t="e">
        <f>AA51+AA70</f>
        <v>#REF!</v>
      </c>
      <c r="AB72" s="91">
        <f>AB51+AB70</f>
        <v>0</v>
      </c>
      <c r="AC72" s="91" t="e">
        <f>AC51+AC70</f>
        <v>#REF!</v>
      </c>
      <c r="AD72" s="104" t="e">
        <f>AD51+AD70</f>
        <v>#REF!</v>
      </c>
    </row>
    <row r="75" spans="1:30" ht="13.5" thickBot="1" x14ac:dyDescent="0.25"/>
    <row r="76" spans="1:30" ht="15" x14ac:dyDescent="0.25">
      <c r="A76" s="23"/>
      <c r="B76" s="968" t="s">
        <v>16</v>
      </c>
      <c r="C76" s="969"/>
      <c r="D76" s="970"/>
      <c r="E76" s="19"/>
      <c r="F76" s="968" t="s">
        <v>58</v>
      </c>
      <c r="G76" s="969"/>
      <c r="H76" s="969"/>
      <c r="I76" s="969"/>
      <c r="J76" s="969"/>
      <c r="K76" s="969"/>
      <c r="L76" s="969"/>
      <c r="M76" s="969"/>
      <c r="N76" s="969"/>
      <c r="O76" s="969"/>
      <c r="P76" s="970"/>
      <c r="Q76" s="392"/>
      <c r="R76" s="968" t="s">
        <v>59</v>
      </c>
      <c r="S76" s="969"/>
      <c r="T76" s="969"/>
      <c r="U76" s="969"/>
      <c r="V76" s="969"/>
      <c r="W76" s="969"/>
      <c r="X76" s="969"/>
      <c r="Y76" s="969"/>
      <c r="Z76" s="969"/>
      <c r="AA76" s="970"/>
      <c r="AB76" s="23"/>
      <c r="AC76" s="126"/>
      <c r="AD76" s="127"/>
    </row>
    <row r="77" spans="1:30" ht="15" x14ac:dyDescent="0.25">
      <c r="A77" s="399" t="s">
        <v>109</v>
      </c>
      <c r="B77" s="75"/>
      <c r="C77" s="128"/>
      <c r="D77" s="78"/>
      <c r="E77" s="75"/>
      <c r="F77" s="75"/>
      <c r="G77" s="971" t="s">
        <v>60</v>
      </c>
      <c r="H77" s="972"/>
      <c r="I77" s="972"/>
      <c r="J77" s="76"/>
      <c r="K77" s="971" t="s">
        <v>61</v>
      </c>
      <c r="L77" s="972"/>
      <c r="M77" s="972"/>
      <c r="N77" s="972"/>
      <c r="O77" s="972"/>
      <c r="P77" s="129"/>
      <c r="Q77" s="19"/>
      <c r="R77" s="973" t="s">
        <v>49</v>
      </c>
      <c r="S77" s="974"/>
      <c r="T77" s="975"/>
      <c r="U77" s="973" t="s">
        <v>61</v>
      </c>
      <c r="V77" s="974"/>
      <c r="W77" s="974"/>
      <c r="X77" s="974"/>
      <c r="Y77" s="974"/>
      <c r="Z77" s="975"/>
      <c r="AA77" s="75" t="s">
        <v>62</v>
      </c>
      <c r="AB77" s="75" t="s">
        <v>63</v>
      </c>
      <c r="AC77" s="75"/>
      <c r="AD77" s="80"/>
    </row>
    <row r="78" spans="1:30" ht="15" x14ac:dyDescent="0.25">
      <c r="A78" s="82"/>
      <c r="B78" s="82"/>
      <c r="C78" s="128" t="s">
        <v>64</v>
      </c>
      <c r="D78" s="84"/>
      <c r="E78" s="82"/>
      <c r="F78" s="82"/>
      <c r="G78" s="75" t="s">
        <v>65</v>
      </c>
      <c r="H78" s="82"/>
      <c r="I78" s="82"/>
      <c r="J78" s="82"/>
      <c r="K78" s="82"/>
      <c r="L78" s="978" t="s">
        <v>66</v>
      </c>
      <c r="M78" s="979"/>
      <c r="N78" s="980"/>
      <c r="O78" s="85"/>
      <c r="P78" s="75" t="s">
        <v>62</v>
      </c>
      <c r="Q78" s="82"/>
      <c r="R78" s="82"/>
      <c r="S78" s="75" t="s">
        <v>65</v>
      </c>
      <c r="T78" s="82"/>
      <c r="U78" s="82"/>
      <c r="V78" s="85"/>
      <c r="W78" s="978" t="s">
        <v>67</v>
      </c>
      <c r="X78" s="979"/>
      <c r="Y78" s="980"/>
      <c r="Z78" s="85"/>
      <c r="AA78" s="82" t="s">
        <v>68</v>
      </c>
      <c r="AB78" s="82" t="s">
        <v>11</v>
      </c>
      <c r="AC78" s="976" t="s">
        <v>69</v>
      </c>
      <c r="AD78" s="977"/>
    </row>
    <row r="79" spans="1:30" ht="15" x14ac:dyDescent="0.25">
      <c r="A79" s="82" t="s">
        <v>70</v>
      </c>
      <c r="B79" s="75"/>
      <c r="C79" s="130" t="s">
        <v>71</v>
      </c>
      <c r="D79" s="78"/>
      <c r="E79" s="75"/>
      <c r="F79" s="75"/>
      <c r="G79" s="82" t="s">
        <v>71</v>
      </c>
      <c r="H79" s="82" t="s">
        <v>72</v>
      </c>
      <c r="I79" s="82" t="s">
        <v>62</v>
      </c>
      <c r="J79" s="75"/>
      <c r="K79" s="82" t="s">
        <v>73</v>
      </c>
      <c r="L79" s="82" t="s">
        <v>74</v>
      </c>
      <c r="M79" s="82" t="s">
        <v>75</v>
      </c>
      <c r="N79" s="82" t="s">
        <v>62</v>
      </c>
      <c r="O79" s="75"/>
      <c r="P79" s="82" t="s">
        <v>76</v>
      </c>
      <c r="Q79" s="75"/>
      <c r="R79" s="75"/>
      <c r="S79" s="82" t="s">
        <v>71</v>
      </c>
      <c r="T79" s="75"/>
      <c r="U79" s="75"/>
      <c r="V79" s="82" t="s">
        <v>73</v>
      </c>
      <c r="W79" s="82" t="s">
        <v>74</v>
      </c>
      <c r="X79" s="82" t="s">
        <v>75</v>
      </c>
      <c r="Y79" s="82" t="s">
        <v>62</v>
      </c>
      <c r="Z79" s="75"/>
      <c r="AA79" s="75"/>
      <c r="AB79" s="75"/>
      <c r="AC79" s="75"/>
      <c r="AD79" s="78"/>
    </row>
    <row r="80" spans="1:30" ht="15" x14ac:dyDescent="0.25">
      <c r="A80" s="23" t="s">
        <v>77</v>
      </c>
      <c r="B80" s="23"/>
      <c r="C80" s="128" t="s">
        <v>78</v>
      </c>
      <c r="D80" s="24"/>
      <c r="E80" s="23"/>
      <c r="F80" s="23"/>
      <c r="G80" s="75" t="s">
        <v>47</v>
      </c>
      <c r="H80" s="75" t="s">
        <v>47</v>
      </c>
      <c r="I80" s="75" t="s">
        <v>47</v>
      </c>
      <c r="J80" s="23"/>
      <c r="K80" s="75" t="s">
        <v>78</v>
      </c>
      <c r="L80" s="75" t="s">
        <v>51</v>
      </c>
      <c r="M80" s="75" t="s">
        <v>51</v>
      </c>
      <c r="N80" s="75" t="s">
        <v>51</v>
      </c>
      <c r="O80" s="131"/>
      <c r="P80" s="75" t="s">
        <v>78</v>
      </c>
      <c r="Q80" s="23"/>
      <c r="R80" s="23"/>
      <c r="S80" s="75" t="s">
        <v>78</v>
      </c>
      <c r="T80" s="75"/>
      <c r="U80" s="75"/>
      <c r="V80" s="75" t="s">
        <v>78</v>
      </c>
      <c r="W80" s="75" t="s">
        <v>51</v>
      </c>
      <c r="X80" s="75" t="s">
        <v>51</v>
      </c>
      <c r="Y80" s="75" t="s">
        <v>51</v>
      </c>
      <c r="Z80" s="75"/>
      <c r="AA80" s="75" t="s">
        <v>47</v>
      </c>
      <c r="AB80" s="75" t="s">
        <v>78</v>
      </c>
      <c r="AC80" s="75" t="s">
        <v>47</v>
      </c>
      <c r="AD80" s="78" t="s">
        <v>51</v>
      </c>
    </row>
    <row r="81" spans="1:30" ht="15" x14ac:dyDescent="0.25">
      <c r="A81" s="23" t="s">
        <v>79</v>
      </c>
      <c r="B81" s="82"/>
      <c r="C81" s="130"/>
      <c r="D81" s="78"/>
      <c r="E81" s="23"/>
      <c r="F81" s="75"/>
      <c r="G81" s="75"/>
      <c r="H81" s="75"/>
      <c r="I81" s="75" t="s">
        <v>80</v>
      </c>
      <c r="J81" s="75"/>
      <c r="K81" s="75"/>
      <c r="L81" s="75"/>
      <c r="M81" s="75"/>
      <c r="N81" s="75" t="s">
        <v>81</v>
      </c>
      <c r="O81" s="75"/>
      <c r="P81" s="75" t="s">
        <v>82</v>
      </c>
      <c r="Q81" s="88"/>
      <c r="R81" s="75"/>
      <c r="S81" s="75"/>
      <c r="T81" s="75"/>
      <c r="U81" s="75"/>
      <c r="V81" s="75"/>
      <c r="W81" s="75"/>
      <c r="X81" s="75"/>
      <c r="Y81" s="75" t="s">
        <v>83</v>
      </c>
      <c r="Z81" s="75"/>
      <c r="AA81" s="75" t="s">
        <v>84</v>
      </c>
      <c r="AB81" s="75"/>
      <c r="AC81" s="75" t="s">
        <v>85</v>
      </c>
      <c r="AD81" s="78" t="s">
        <v>86</v>
      </c>
    </row>
    <row r="82" spans="1:30" ht="15" x14ac:dyDescent="0.25">
      <c r="A82" s="90" t="s">
        <v>87</v>
      </c>
      <c r="B82" s="23"/>
      <c r="C82" s="114"/>
      <c r="D82" s="23"/>
      <c r="E82" s="23"/>
      <c r="F82" s="23"/>
      <c r="G82" s="23"/>
      <c r="H82" s="23"/>
      <c r="I82" s="23"/>
      <c r="J82" s="23"/>
      <c r="K82" s="23"/>
      <c r="L82" s="23"/>
      <c r="M82" s="23"/>
      <c r="N82" s="23"/>
      <c r="O82" s="131"/>
      <c r="P82" s="23"/>
      <c r="Q82" s="23"/>
      <c r="R82" s="23"/>
      <c r="S82" s="88"/>
      <c r="T82" s="88"/>
      <c r="U82" s="88"/>
      <c r="V82" s="23"/>
      <c r="W82" s="23"/>
      <c r="X82" s="23"/>
      <c r="Y82" s="23"/>
      <c r="Z82" s="23"/>
      <c r="AA82" s="23"/>
      <c r="AB82" s="23"/>
      <c r="AC82" s="23"/>
      <c r="AD82" s="24"/>
    </row>
    <row r="83" spans="1:30" ht="15" x14ac:dyDescent="0.25">
      <c r="A83" s="90"/>
      <c r="B83" s="23"/>
      <c r="C83" s="132"/>
      <c r="D83" s="23"/>
      <c r="E83" s="23"/>
      <c r="F83" s="23"/>
      <c r="G83" s="132"/>
      <c r="H83" s="132"/>
      <c r="I83" s="132"/>
      <c r="J83" s="132"/>
      <c r="K83" s="132"/>
      <c r="L83" s="132"/>
      <c r="M83" s="132"/>
      <c r="N83" s="91"/>
      <c r="O83" s="114"/>
      <c r="P83" s="91"/>
      <c r="Q83" s="132"/>
      <c r="R83" s="91"/>
      <c r="S83" s="132"/>
      <c r="T83" s="91"/>
      <c r="U83" s="91"/>
      <c r="V83" s="132"/>
      <c r="W83" s="132"/>
      <c r="X83" s="132"/>
      <c r="Y83" s="132"/>
      <c r="Z83" s="132"/>
      <c r="AA83" s="91"/>
      <c r="AB83" s="132"/>
      <c r="AC83" s="91"/>
      <c r="AD83" s="104"/>
    </row>
    <row r="84" spans="1:30" ht="15" x14ac:dyDescent="0.25">
      <c r="A84" s="90" t="s">
        <v>88</v>
      </c>
      <c r="B84" s="23"/>
      <c r="C84" s="91">
        <v>0</v>
      </c>
      <c r="D84" s="91"/>
      <c r="E84" s="91"/>
      <c r="F84" s="91"/>
      <c r="G84" s="91">
        <v>0</v>
      </c>
      <c r="H84" s="91">
        <v>0</v>
      </c>
      <c r="I84" s="133">
        <f>+G84+H84</f>
        <v>0</v>
      </c>
      <c r="J84" s="91"/>
      <c r="K84" s="91">
        <v>0</v>
      </c>
      <c r="L84" s="91">
        <v>0</v>
      </c>
      <c r="M84" s="91">
        <v>0</v>
      </c>
      <c r="N84" s="133">
        <f>+L84+M84</f>
        <v>0</v>
      </c>
      <c r="O84" s="91">
        <v>0</v>
      </c>
      <c r="P84" s="133">
        <f>+I84+K84</f>
        <v>0</v>
      </c>
      <c r="Q84" s="91"/>
      <c r="R84" s="91"/>
      <c r="S84" s="91">
        <v>0</v>
      </c>
      <c r="T84" s="91"/>
      <c r="U84" s="91"/>
      <c r="V84" s="91">
        <v>404984526</v>
      </c>
      <c r="W84" s="91">
        <v>639781</v>
      </c>
      <c r="X84" s="91">
        <v>604649</v>
      </c>
      <c r="Y84" s="133">
        <f>+W84+X84</f>
        <v>1244430</v>
      </c>
      <c r="Z84" s="91"/>
      <c r="AA84" s="133">
        <f>+S84+V84</f>
        <v>404984526</v>
      </c>
      <c r="AB84" s="91">
        <v>0</v>
      </c>
      <c r="AC84" s="133">
        <f>+C84+P84+AA84+AB84</f>
        <v>404984526</v>
      </c>
      <c r="AD84" s="134">
        <f>+N84+Y84</f>
        <v>1244430</v>
      </c>
    </row>
    <row r="85" spans="1:30" ht="15" x14ac:dyDescent="0.25">
      <c r="A85" s="90"/>
      <c r="B85" s="23"/>
      <c r="C85" s="91"/>
      <c r="D85" s="23"/>
      <c r="E85" s="23"/>
      <c r="F85" s="23"/>
      <c r="G85" s="91"/>
      <c r="H85" s="91"/>
      <c r="I85" s="91"/>
      <c r="J85" s="132"/>
      <c r="K85" s="91"/>
      <c r="L85" s="91"/>
      <c r="M85" s="91"/>
      <c r="N85" s="91"/>
      <c r="O85" s="114"/>
      <c r="P85" s="91"/>
      <c r="Q85" s="132"/>
      <c r="R85" s="91"/>
      <c r="S85" s="91"/>
      <c r="T85" s="91"/>
      <c r="U85" s="91"/>
      <c r="V85" s="91">
        <v>186523954</v>
      </c>
      <c r="W85" s="91">
        <v>318851</v>
      </c>
      <c r="X85" s="91">
        <v>312790</v>
      </c>
      <c r="Y85" s="133">
        <f>+W85+X85</f>
        <v>631641</v>
      </c>
      <c r="Z85" s="91"/>
      <c r="AA85" s="133">
        <f>+S85+V85</f>
        <v>186523954</v>
      </c>
      <c r="AB85" s="91">
        <v>0</v>
      </c>
      <c r="AC85" s="133">
        <f>+C85+P85+AA85+AB85</f>
        <v>186523954</v>
      </c>
      <c r="AD85" s="134">
        <f>+N85+Y85</f>
        <v>631641</v>
      </c>
    </row>
    <row r="86" spans="1:30" ht="15" x14ac:dyDescent="0.25">
      <c r="A86" s="1"/>
      <c r="B86" s="135"/>
      <c r="C86" s="96"/>
      <c r="D86" s="136"/>
      <c r="E86" s="136"/>
      <c r="F86" s="136"/>
      <c r="G86" s="96"/>
      <c r="H86" s="96"/>
      <c r="I86" s="137"/>
      <c r="J86" s="136"/>
      <c r="K86" s="96"/>
      <c r="L86" s="96"/>
      <c r="M86" s="96"/>
      <c r="N86" s="137"/>
      <c r="O86" s="138"/>
      <c r="P86" s="137"/>
      <c r="Q86" s="136"/>
      <c r="R86" s="136"/>
      <c r="S86" s="139"/>
      <c r="T86" s="136"/>
      <c r="U86" s="136"/>
      <c r="V86" s="96"/>
      <c r="W86" s="96"/>
      <c r="X86" s="96"/>
      <c r="Y86" s="96"/>
      <c r="Z86" s="96"/>
      <c r="AA86" s="96"/>
      <c r="AB86" s="96"/>
      <c r="AC86" s="96"/>
      <c r="AD86" s="137"/>
    </row>
    <row r="87" spans="1:30" ht="15" x14ac:dyDescent="0.25">
      <c r="A87" s="90" t="s">
        <v>89</v>
      </c>
      <c r="B87" s="140"/>
      <c r="C87" s="99">
        <f>+C84</f>
        <v>0</v>
      </c>
      <c r="D87" s="141"/>
      <c r="E87" s="141"/>
      <c r="F87" s="141"/>
      <c r="G87" s="99"/>
      <c r="H87" s="99"/>
      <c r="I87" s="99">
        <f>+G87+H87</f>
        <v>0</v>
      </c>
      <c r="J87" s="141"/>
      <c r="K87" s="99"/>
      <c r="L87" s="99"/>
      <c r="M87" s="99"/>
      <c r="N87" s="99">
        <f>+L87+M87</f>
        <v>0</v>
      </c>
      <c r="O87" s="99"/>
      <c r="P87" s="99">
        <f>+I87+K87</f>
        <v>0</v>
      </c>
      <c r="Q87" s="141"/>
      <c r="R87" s="141"/>
      <c r="S87" s="99">
        <f>+S84</f>
        <v>0</v>
      </c>
      <c r="T87" s="141"/>
      <c r="U87" s="141"/>
      <c r="V87" s="99">
        <f t="shared" ref="V87:AA87" si="16">SUM(V84:V86)</f>
        <v>591508480</v>
      </c>
      <c r="W87" s="99">
        <f t="shared" si="16"/>
        <v>958632</v>
      </c>
      <c r="X87" s="99">
        <f t="shared" si="16"/>
        <v>917439</v>
      </c>
      <c r="Y87" s="99">
        <f t="shared" si="16"/>
        <v>1876071</v>
      </c>
      <c r="Z87" s="99">
        <f t="shared" si="16"/>
        <v>0</v>
      </c>
      <c r="AA87" s="99">
        <f t="shared" si="16"/>
        <v>591508480</v>
      </c>
      <c r="AB87" s="99"/>
      <c r="AC87" s="99">
        <f>SUM(AC84:AC86)</f>
        <v>591508480</v>
      </c>
      <c r="AD87" s="142">
        <f>SUM(AD84:AD86)</f>
        <v>1876071</v>
      </c>
    </row>
    <row r="88" spans="1:30" ht="15" x14ac:dyDescent="0.25">
      <c r="A88" s="90"/>
      <c r="B88" s="143"/>
      <c r="C88" s="91"/>
      <c r="D88" s="132"/>
      <c r="E88" s="132"/>
      <c r="F88" s="132"/>
      <c r="G88" s="91"/>
      <c r="H88" s="91"/>
      <c r="I88" s="91"/>
      <c r="J88" s="132"/>
      <c r="K88" s="91"/>
      <c r="L88" s="91"/>
      <c r="M88" s="91"/>
      <c r="N88" s="91"/>
      <c r="O88" s="91"/>
      <c r="P88" s="91"/>
      <c r="Q88" s="132"/>
      <c r="R88" s="132"/>
      <c r="S88" s="144"/>
      <c r="T88" s="132"/>
      <c r="U88" s="132"/>
      <c r="V88" s="91"/>
      <c r="W88" s="91"/>
      <c r="X88" s="91"/>
      <c r="Y88" s="91"/>
      <c r="Z88" s="91"/>
      <c r="AA88" s="91"/>
      <c r="AB88" s="91"/>
      <c r="AC88" s="91"/>
      <c r="AD88" s="104"/>
    </row>
    <row r="89" spans="1:30" ht="15" x14ac:dyDescent="0.25">
      <c r="A89" s="89" t="s">
        <v>90</v>
      </c>
      <c r="B89" s="143"/>
      <c r="C89" s="91"/>
      <c r="D89" s="132"/>
      <c r="E89" s="132"/>
      <c r="F89" s="132"/>
      <c r="G89" s="91"/>
      <c r="H89" s="91"/>
      <c r="I89" s="91"/>
      <c r="J89" s="132"/>
      <c r="K89" s="91"/>
      <c r="L89" s="91"/>
      <c r="M89" s="91"/>
      <c r="N89" s="91"/>
      <c r="O89" s="91"/>
      <c r="P89" s="91"/>
      <c r="Q89" s="132"/>
      <c r="R89" s="132"/>
      <c r="S89" s="144"/>
      <c r="T89" s="132"/>
      <c r="U89" s="132"/>
      <c r="V89" s="91"/>
      <c r="W89" s="91"/>
      <c r="X89" s="91"/>
      <c r="Y89" s="91"/>
      <c r="Z89" s="91"/>
      <c r="AA89" s="91"/>
      <c r="AB89" s="91"/>
      <c r="AC89" s="91"/>
      <c r="AD89" s="104"/>
    </row>
    <row r="90" spans="1:30" s="405" customFormat="1" ht="15" x14ac:dyDescent="0.25">
      <c r="A90" s="1" t="s">
        <v>91</v>
      </c>
      <c r="B90" s="132"/>
      <c r="C90" s="91">
        <f>C19-C54</f>
        <v>-8340.3755569700152</v>
      </c>
      <c r="D90" s="91"/>
      <c r="E90" s="132"/>
      <c r="F90" s="91"/>
      <c r="G90" s="91">
        <f t="shared" ref="G90:H105" si="17">G19-G54</f>
        <v>2066.8755569701316</v>
      </c>
      <c r="H90" s="91">
        <f t="shared" si="17"/>
        <v>-11326</v>
      </c>
      <c r="I90" s="91">
        <f>+G90+H90</f>
        <v>-9259.1244430298684</v>
      </c>
      <c r="J90" s="91"/>
      <c r="K90" s="91">
        <f t="shared" ref="K90:M105" si="18">K19-K54</f>
        <v>17994</v>
      </c>
      <c r="L90" s="91">
        <f t="shared" si="18"/>
        <v>-383</v>
      </c>
      <c r="M90" s="91">
        <f t="shared" si="18"/>
        <v>0</v>
      </c>
      <c r="N90" s="91">
        <f>+L90+M90</f>
        <v>-383</v>
      </c>
      <c r="O90" s="91"/>
      <c r="P90" s="91">
        <f>+I90+K90</f>
        <v>8734.8755569701316</v>
      </c>
      <c r="Q90" s="132"/>
      <c r="R90" s="132"/>
      <c r="S90" s="91">
        <f t="shared" ref="S90:S105" si="19">S19-S54</f>
        <v>0</v>
      </c>
      <c r="T90" s="132"/>
      <c r="U90" s="132"/>
      <c r="V90" s="91" t="e">
        <f t="shared" ref="V90:X105" si="20">V19-V54</f>
        <v>#REF!</v>
      </c>
      <c r="W90" s="91" t="e">
        <f t="shared" si="20"/>
        <v>#REF!</v>
      </c>
      <c r="X90" s="91">
        <f t="shared" si="20"/>
        <v>0</v>
      </c>
      <c r="Y90" s="91" t="e">
        <f>+W90+X90</f>
        <v>#REF!</v>
      </c>
      <c r="Z90" s="91"/>
      <c r="AA90" s="91" t="e">
        <f>+S90+V90</f>
        <v>#REF!</v>
      </c>
      <c r="AB90" s="91">
        <v>0</v>
      </c>
      <c r="AC90" s="91" t="e">
        <f>+C90+P90+AA90+AB90</f>
        <v>#REF!</v>
      </c>
      <c r="AD90" s="104" t="e">
        <f>+N90+Y90</f>
        <v>#REF!</v>
      </c>
    </row>
    <row r="91" spans="1:30" s="405" customFormat="1" ht="15" x14ac:dyDescent="0.25">
      <c r="A91" s="1" t="s">
        <v>92</v>
      </c>
      <c r="B91" s="132"/>
      <c r="C91" s="91">
        <f t="shared" ref="C91:C105" si="21">C20-C55</f>
        <v>-761362.7950350102</v>
      </c>
      <c r="D91" s="91"/>
      <c r="E91" s="132"/>
      <c r="F91" s="91"/>
      <c r="G91" s="91">
        <f t="shared" si="17"/>
        <v>33101.795035009738</v>
      </c>
      <c r="H91" s="91">
        <f t="shared" si="17"/>
        <v>-25917</v>
      </c>
      <c r="I91" s="91">
        <f>+G91+H91</f>
        <v>7184.7950350097381</v>
      </c>
      <c r="J91" s="91"/>
      <c r="K91" s="91">
        <f t="shared" si="18"/>
        <v>253477</v>
      </c>
      <c r="L91" s="91">
        <f t="shared" si="18"/>
        <v>-469.06000000000131</v>
      </c>
      <c r="M91" s="91">
        <f t="shared" si="18"/>
        <v>0</v>
      </c>
      <c r="N91" s="91">
        <f>+L91+M91</f>
        <v>-469.06000000000131</v>
      </c>
      <c r="O91" s="91"/>
      <c r="P91" s="91">
        <f>+I91+K91</f>
        <v>260661.79503500974</v>
      </c>
      <c r="Q91" s="132"/>
      <c r="R91" s="132"/>
      <c r="S91" s="91">
        <f t="shared" si="19"/>
        <v>0</v>
      </c>
      <c r="T91" s="132"/>
      <c r="U91" s="132"/>
      <c r="V91" s="91" t="e">
        <f t="shared" si="20"/>
        <v>#REF!</v>
      </c>
      <c r="W91" s="91" t="e">
        <f t="shared" si="20"/>
        <v>#REF!</v>
      </c>
      <c r="X91" s="91">
        <f t="shared" si="20"/>
        <v>0</v>
      </c>
      <c r="Y91" s="91" t="e">
        <f>+W91+X91</f>
        <v>#REF!</v>
      </c>
      <c r="Z91" s="91"/>
      <c r="AA91" s="91" t="e">
        <f>+S91+V91</f>
        <v>#REF!</v>
      </c>
      <c r="AB91" s="91">
        <v>0</v>
      </c>
      <c r="AC91" s="91" t="e">
        <f>+C91+P91+AA91+AB91</f>
        <v>#REF!</v>
      </c>
      <c r="AD91" s="104" t="e">
        <f>+N91+Y91</f>
        <v>#REF!</v>
      </c>
    </row>
    <row r="92" spans="1:30" s="405" customFormat="1" ht="15" x14ac:dyDescent="0.25">
      <c r="A92" s="1" t="s">
        <v>93</v>
      </c>
      <c r="B92" s="132"/>
      <c r="C92" s="91">
        <f t="shared" si="21"/>
        <v>-2432459.0163934231</v>
      </c>
      <c r="D92" s="91"/>
      <c r="E92" s="132"/>
      <c r="F92" s="91"/>
      <c r="G92" s="91">
        <f t="shared" si="17"/>
        <v>8115193.9180327952</v>
      </c>
      <c r="H92" s="91">
        <f t="shared" si="17"/>
        <v>-575000</v>
      </c>
      <c r="I92" s="91">
        <f>+G92+H92</f>
        <v>7540193.9180327952</v>
      </c>
      <c r="J92" s="91"/>
      <c r="K92" s="91">
        <f t="shared" si="18"/>
        <v>-54853489</v>
      </c>
      <c r="L92" s="91">
        <f t="shared" si="18"/>
        <v>-25790</v>
      </c>
      <c r="M92" s="91">
        <f t="shared" si="18"/>
        <v>-14831</v>
      </c>
      <c r="N92" s="91">
        <f>+L92+M92</f>
        <v>-40621</v>
      </c>
      <c r="O92" s="91"/>
      <c r="P92" s="91">
        <f>+I92+K92</f>
        <v>-47313295.081967205</v>
      </c>
      <c r="Q92" s="132"/>
      <c r="R92" s="132"/>
      <c r="S92" s="91">
        <f t="shared" si="19"/>
        <v>0</v>
      </c>
      <c r="T92" s="132"/>
      <c r="U92" s="132"/>
      <c r="V92" s="91">
        <f t="shared" si="20"/>
        <v>14022213</v>
      </c>
      <c r="W92" s="91">
        <f t="shared" si="20"/>
        <v>333006</v>
      </c>
      <c r="X92" s="91">
        <f t="shared" si="20"/>
        <v>335111</v>
      </c>
      <c r="Y92" s="91">
        <f>+W92+X92</f>
        <v>668117</v>
      </c>
      <c r="Z92" s="91"/>
      <c r="AA92" s="91">
        <f>+S92+V92</f>
        <v>14022213</v>
      </c>
      <c r="AB92" s="91">
        <v>0</v>
      </c>
      <c r="AC92" s="91">
        <f>+C92+P92+AA92+AB92</f>
        <v>-35723541.098360628</v>
      </c>
      <c r="AD92" s="104">
        <f>+N92+Y92</f>
        <v>627496</v>
      </c>
    </row>
    <row r="93" spans="1:30" s="405" customFormat="1" ht="15" x14ac:dyDescent="0.25">
      <c r="A93" s="1" t="s">
        <v>94</v>
      </c>
      <c r="B93" s="132"/>
      <c r="C93" s="91">
        <f t="shared" si="21"/>
        <v>67979.015276893973</v>
      </c>
      <c r="D93" s="91"/>
      <c r="E93" s="132"/>
      <c r="F93" s="91"/>
      <c r="G93" s="91">
        <f t="shared" si="17"/>
        <v>-4979708.015276894</v>
      </c>
      <c r="H93" s="91">
        <f t="shared" si="17"/>
        <v>-76764.51999999999</v>
      </c>
      <c r="I93" s="91">
        <f t="shared" ref="I93:I105" si="22">+G93+H93</f>
        <v>-5056472.5352768935</v>
      </c>
      <c r="J93" s="91"/>
      <c r="K93" s="91" t="e">
        <f t="shared" si="18"/>
        <v>#REF!</v>
      </c>
      <c r="L93" s="91" t="e">
        <f t="shared" si="18"/>
        <v>#REF!</v>
      </c>
      <c r="M93" s="91">
        <f t="shared" si="18"/>
        <v>0</v>
      </c>
      <c r="N93" s="91" t="e">
        <f t="shared" ref="N93:N106" si="23">+L93+M93</f>
        <v>#REF!</v>
      </c>
      <c r="O93" s="91"/>
      <c r="P93" s="91" t="e">
        <f t="shared" ref="P93:P105" si="24">+I93+K93</f>
        <v>#REF!</v>
      </c>
      <c r="Q93" s="132"/>
      <c r="R93" s="132"/>
      <c r="S93" s="91" t="e">
        <f t="shared" si="19"/>
        <v>#REF!</v>
      </c>
      <c r="T93" s="132"/>
      <c r="U93" s="132"/>
      <c r="V93" s="91" t="e">
        <f t="shared" si="20"/>
        <v>#REF!</v>
      </c>
      <c r="W93" s="91" t="e">
        <f t="shared" si="20"/>
        <v>#REF!</v>
      </c>
      <c r="X93" s="91">
        <f t="shared" si="20"/>
        <v>0</v>
      </c>
      <c r="Y93" s="91" t="e">
        <f t="shared" ref="Y93:Y105" si="25">+W93+X93</f>
        <v>#REF!</v>
      </c>
      <c r="Z93" s="91"/>
      <c r="AA93" s="91" t="e">
        <f t="shared" ref="AA93:AA105" si="26">+S93+V93</f>
        <v>#REF!</v>
      </c>
      <c r="AB93" s="91">
        <v>0</v>
      </c>
      <c r="AC93" s="91" t="e">
        <f t="shared" ref="AC93:AC105" si="27">+C93+P93+AA93+AB93</f>
        <v>#REF!</v>
      </c>
      <c r="AD93" s="104" t="e">
        <f t="shared" ref="AD93:AD105" si="28">+N93+Y93</f>
        <v>#REF!</v>
      </c>
    </row>
    <row r="94" spans="1:30" s="405" customFormat="1" ht="15" x14ac:dyDescent="0.25">
      <c r="A94" s="1" t="s">
        <v>95</v>
      </c>
      <c r="B94" s="132"/>
      <c r="C94" s="91">
        <f t="shared" si="21"/>
        <v>-594669</v>
      </c>
      <c r="D94" s="91"/>
      <c r="E94" s="132"/>
      <c r="F94" s="91"/>
      <c r="G94" s="91">
        <f t="shared" si="17"/>
        <v>76753.036019395106</v>
      </c>
      <c r="H94" s="91">
        <f t="shared" si="17"/>
        <v>4266</v>
      </c>
      <c r="I94" s="91">
        <f t="shared" si="22"/>
        <v>81019.036019395106</v>
      </c>
      <c r="J94" s="91"/>
      <c r="K94" s="91">
        <f t="shared" si="18"/>
        <v>124380.7944907574</v>
      </c>
      <c r="L94" s="91">
        <f t="shared" si="18"/>
        <v>42970.701292484438</v>
      </c>
      <c r="M94" s="91">
        <f t="shared" si="18"/>
        <v>0</v>
      </c>
      <c r="N94" s="91">
        <f t="shared" si="23"/>
        <v>42970.701292484438</v>
      </c>
      <c r="O94" s="91"/>
      <c r="P94" s="91">
        <f t="shared" si="24"/>
        <v>205399.8305101525</v>
      </c>
      <c r="Q94" s="132"/>
      <c r="R94" s="132"/>
      <c r="S94" s="91" t="e">
        <f t="shared" si="19"/>
        <v>#REF!</v>
      </c>
      <c r="T94" s="132"/>
      <c r="U94" s="132"/>
      <c r="V94" s="91" t="e">
        <f t="shared" si="20"/>
        <v>#REF!</v>
      </c>
      <c r="W94" s="91" t="e">
        <f t="shared" si="20"/>
        <v>#REF!</v>
      </c>
      <c r="X94" s="91">
        <f t="shared" si="20"/>
        <v>0</v>
      </c>
      <c r="Y94" s="91" t="e">
        <f t="shared" si="25"/>
        <v>#REF!</v>
      </c>
      <c r="Z94" s="91"/>
      <c r="AA94" s="91" t="e">
        <f t="shared" si="26"/>
        <v>#REF!</v>
      </c>
      <c r="AB94" s="91">
        <v>0</v>
      </c>
      <c r="AC94" s="91" t="e">
        <f t="shared" si="27"/>
        <v>#REF!</v>
      </c>
      <c r="AD94" s="104" t="e">
        <f t="shared" si="28"/>
        <v>#REF!</v>
      </c>
    </row>
    <row r="95" spans="1:30" s="405" customFormat="1" ht="15" x14ac:dyDescent="0.25">
      <c r="A95" s="1" t="s">
        <v>96</v>
      </c>
      <c r="B95" s="132"/>
      <c r="C95" s="91">
        <f t="shared" si="21"/>
        <v>-7751.0152768935077</v>
      </c>
      <c r="D95" s="91"/>
      <c r="E95" s="132"/>
      <c r="F95" s="91"/>
      <c r="G95" s="91">
        <f t="shared" si="17"/>
        <v>-12031.984723106259</v>
      </c>
      <c r="H95" s="91">
        <f t="shared" si="17"/>
        <v>35120.85</v>
      </c>
      <c r="I95" s="91">
        <f t="shared" si="22"/>
        <v>23088.865276893739</v>
      </c>
      <c r="J95" s="91"/>
      <c r="K95" s="91">
        <f t="shared" si="18"/>
        <v>-34093</v>
      </c>
      <c r="L95" s="91">
        <f t="shared" si="18"/>
        <v>-259</v>
      </c>
      <c r="M95" s="91">
        <f t="shared" si="18"/>
        <v>0</v>
      </c>
      <c r="N95" s="91">
        <f t="shared" si="23"/>
        <v>-259</v>
      </c>
      <c r="O95" s="91"/>
      <c r="P95" s="91">
        <f t="shared" si="24"/>
        <v>-11004.134723106261</v>
      </c>
      <c r="Q95" s="132"/>
      <c r="R95" s="132"/>
      <c r="S95" s="91" t="e">
        <f t="shared" si="19"/>
        <v>#REF!</v>
      </c>
      <c r="T95" s="132"/>
      <c r="U95" s="132"/>
      <c r="V95" s="91" t="e">
        <f t="shared" si="20"/>
        <v>#REF!</v>
      </c>
      <c r="W95" s="91" t="e">
        <f t="shared" si="20"/>
        <v>#REF!</v>
      </c>
      <c r="X95" s="91">
        <f t="shared" si="20"/>
        <v>0</v>
      </c>
      <c r="Y95" s="91" t="e">
        <f t="shared" si="25"/>
        <v>#REF!</v>
      </c>
      <c r="Z95" s="91"/>
      <c r="AA95" s="91" t="e">
        <f t="shared" si="26"/>
        <v>#REF!</v>
      </c>
      <c r="AB95" s="91">
        <v>0</v>
      </c>
      <c r="AC95" s="91" t="e">
        <f t="shared" si="27"/>
        <v>#REF!</v>
      </c>
      <c r="AD95" s="104" t="e">
        <f t="shared" si="28"/>
        <v>#REF!</v>
      </c>
    </row>
    <row r="96" spans="1:30" s="405" customFormat="1" ht="15" x14ac:dyDescent="0.25">
      <c r="A96" s="1" t="s">
        <v>97</v>
      </c>
      <c r="B96" s="132"/>
      <c r="C96" s="91">
        <f t="shared" si="21"/>
        <v>-64901.352005092427</v>
      </c>
      <c r="D96" s="91"/>
      <c r="E96" s="132"/>
      <c r="F96" s="91"/>
      <c r="G96" s="91">
        <f t="shared" si="17"/>
        <v>-131486.64799490781</v>
      </c>
      <c r="H96" s="91">
        <f t="shared" si="17"/>
        <v>-2618</v>
      </c>
      <c r="I96" s="91">
        <f t="shared" si="22"/>
        <v>-134104.64799490781</v>
      </c>
      <c r="J96" s="91"/>
      <c r="K96" s="91">
        <f t="shared" si="18"/>
        <v>-4064390</v>
      </c>
      <c r="L96" s="91">
        <f t="shared" si="18"/>
        <v>-9340</v>
      </c>
      <c r="M96" s="91">
        <f t="shared" si="18"/>
        <v>0</v>
      </c>
      <c r="N96" s="91">
        <f t="shared" si="23"/>
        <v>-9340</v>
      </c>
      <c r="O96" s="91"/>
      <c r="P96" s="91">
        <f t="shared" si="24"/>
        <v>-4198494.6479949076</v>
      </c>
      <c r="Q96" s="132"/>
      <c r="R96" s="132"/>
      <c r="S96" s="91" t="e">
        <f t="shared" si="19"/>
        <v>#REF!</v>
      </c>
      <c r="T96" s="132"/>
      <c r="U96" s="132"/>
      <c r="V96" s="91" t="e">
        <f t="shared" si="20"/>
        <v>#REF!</v>
      </c>
      <c r="W96" s="91" t="e">
        <f t="shared" si="20"/>
        <v>#REF!</v>
      </c>
      <c r="X96" s="91">
        <f t="shared" si="20"/>
        <v>0</v>
      </c>
      <c r="Y96" s="91" t="e">
        <f t="shared" si="25"/>
        <v>#REF!</v>
      </c>
      <c r="Z96" s="91"/>
      <c r="AA96" s="91" t="e">
        <f t="shared" si="26"/>
        <v>#REF!</v>
      </c>
      <c r="AB96" s="91">
        <v>0</v>
      </c>
      <c r="AC96" s="91" t="e">
        <f t="shared" si="27"/>
        <v>#REF!</v>
      </c>
      <c r="AD96" s="104" t="e">
        <f t="shared" si="28"/>
        <v>#REF!</v>
      </c>
    </row>
    <row r="97" spans="1:30" s="405" customFormat="1" ht="15" x14ac:dyDescent="0.25">
      <c r="A97" s="1" t="s">
        <v>98</v>
      </c>
      <c r="B97" s="132"/>
      <c r="C97" s="91">
        <f t="shared" si="21"/>
        <v>-300663.70019096136</v>
      </c>
      <c r="D97" s="91"/>
      <c r="E97" s="132"/>
      <c r="F97" s="91"/>
      <c r="G97" s="91">
        <f t="shared" si="17"/>
        <v>-75146.840898948722</v>
      </c>
      <c r="H97" s="91">
        <f t="shared" si="17"/>
        <v>0</v>
      </c>
      <c r="I97" s="91">
        <f t="shared" si="22"/>
        <v>-75146.840898948722</v>
      </c>
      <c r="J97" s="91"/>
      <c r="K97" s="91">
        <f t="shared" si="18"/>
        <v>417582.04108991101</v>
      </c>
      <c r="L97" s="91">
        <f t="shared" si="18"/>
        <v>-9708.3199999999924</v>
      </c>
      <c r="M97" s="91">
        <f t="shared" si="18"/>
        <v>0</v>
      </c>
      <c r="N97" s="91">
        <f t="shared" si="23"/>
        <v>-9708.3199999999924</v>
      </c>
      <c r="O97" s="91"/>
      <c r="P97" s="91">
        <f t="shared" si="24"/>
        <v>342435.20019096229</v>
      </c>
      <c r="Q97" s="132"/>
      <c r="R97" s="132"/>
      <c r="S97" s="91" t="e">
        <f t="shared" si="19"/>
        <v>#REF!</v>
      </c>
      <c r="T97" s="132"/>
      <c r="U97" s="132"/>
      <c r="V97" s="91">
        <f t="shared" si="20"/>
        <v>737452</v>
      </c>
      <c r="W97" s="91">
        <f t="shared" si="20"/>
        <v>18602.22</v>
      </c>
      <c r="X97" s="91">
        <f t="shared" si="20"/>
        <v>0</v>
      </c>
      <c r="Y97" s="91">
        <f t="shared" si="25"/>
        <v>18602.22</v>
      </c>
      <c r="Z97" s="91"/>
      <c r="AA97" s="91" t="e">
        <f t="shared" si="26"/>
        <v>#REF!</v>
      </c>
      <c r="AB97" s="91">
        <v>0</v>
      </c>
      <c r="AC97" s="91" t="e">
        <f t="shared" si="27"/>
        <v>#REF!</v>
      </c>
      <c r="AD97" s="104">
        <f t="shared" si="28"/>
        <v>8893.9000000000087</v>
      </c>
    </row>
    <row r="98" spans="1:30" s="405" customFormat="1" ht="15" x14ac:dyDescent="0.25">
      <c r="A98" s="1" t="s">
        <v>99</v>
      </c>
      <c r="B98" s="132"/>
      <c r="C98" s="91">
        <f t="shared" si="21"/>
        <v>-2586434.4702100568</v>
      </c>
      <c r="D98" s="91"/>
      <c r="E98" s="132"/>
      <c r="F98" s="91"/>
      <c r="G98" s="91">
        <f t="shared" si="17"/>
        <v>-10928089.729789943</v>
      </c>
      <c r="H98" s="91">
        <f t="shared" si="17"/>
        <v>-414</v>
      </c>
      <c r="I98" s="91">
        <f t="shared" si="22"/>
        <v>-10928503.729789943</v>
      </c>
      <c r="J98" s="91"/>
      <c r="K98" s="91" t="e">
        <f t="shared" si="18"/>
        <v>#REF!</v>
      </c>
      <c r="L98" s="91" t="e">
        <f t="shared" si="18"/>
        <v>#REF!</v>
      </c>
      <c r="M98" s="91">
        <f t="shared" si="18"/>
        <v>0</v>
      </c>
      <c r="N98" s="91" t="e">
        <f t="shared" si="23"/>
        <v>#REF!</v>
      </c>
      <c r="O98" s="91"/>
      <c r="P98" s="91" t="e">
        <f t="shared" si="24"/>
        <v>#REF!</v>
      </c>
      <c r="Q98" s="132"/>
      <c r="R98" s="132"/>
      <c r="S98" s="91" t="e">
        <f t="shared" si="19"/>
        <v>#REF!</v>
      </c>
      <c r="T98" s="132"/>
      <c r="U98" s="132"/>
      <c r="V98" s="91" t="e">
        <f t="shared" si="20"/>
        <v>#REF!</v>
      </c>
      <c r="W98" s="91" t="e">
        <f t="shared" si="20"/>
        <v>#REF!</v>
      </c>
      <c r="X98" s="91">
        <f t="shared" si="20"/>
        <v>0</v>
      </c>
      <c r="Y98" s="91" t="e">
        <f t="shared" si="25"/>
        <v>#REF!</v>
      </c>
      <c r="Z98" s="91"/>
      <c r="AA98" s="91" t="e">
        <f t="shared" si="26"/>
        <v>#REF!</v>
      </c>
      <c r="AB98" s="91">
        <v>0</v>
      </c>
      <c r="AC98" s="91" t="e">
        <f t="shared" si="27"/>
        <v>#REF!</v>
      </c>
      <c r="AD98" s="104" t="e">
        <f t="shared" si="28"/>
        <v>#REF!</v>
      </c>
    </row>
    <row r="99" spans="1:30" s="405" customFormat="1" ht="15" x14ac:dyDescent="0.25">
      <c r="A99" s="1" t="s">
        <v>100</v>
      </c>
      <c r="B99" s="132"/>
      <c r="C99" s="91">
        <f t="shared" si="21"/>
        <v>-193.262889880687</v>
      </c>
      <c r="D99" s="91"/>
      <c r="E99" s="132"/>
      <c r="F99" s="91"/>
      <c r="G99" s="91">
        <f t="shared" si="17"/>
        <v>-204113.73711012118</v>
      </c>
      <c r="H99" s="91">
        <f t="shared" si="17"/>
        <v>704</v>
      </c>
      <c r="I99" s="91">
        <f t="shared" si="22"/>
        <v>-203409.73711012118</v>
      </c>
      <c r="J99" s="91"/>
      <c r="K99" s="91">
        <f t="shared" si="18"/>
        <v>-165679</v>
      </c>
      <c r="L99" s="91">
        <f t="shared" si="18"/>
        <v>-252.40000000000146</v>
      </c>
      <c r="M99" s="91">
        <f t="shared" si="18"/>
        <v>0</v>
      </c>
      <c r="N99" s="91">
        <f t="shared" si="23"/>
        <v>-252.40000000000146</v>
      </c>
      <c r="O99" s="91"/>
      <c r="P99" s="91">
        <f t="shared" si="24"/>
        <v>-369088.73711012118</v>
      </c>
      <c r="Q99" s="132"/>
      <c r="R99" s="132"/>
      <c r="S99" s="91" t="e">
        <f t="shared" si="19"/>
        <v>#REF!</v>
      </c>
      <c r="T99" s="132"/>
      <c r="U99" s="132"/>
      <c r="V99" s="91" t="e">
        <f t="shared" si="20"/>
        <v>#REF!</v>
      </c>
      <c r="W99" s="91" t="e">
        <f t="shared" si="20"/>
        <v>#REF!</v>
      </c>
      <c r="X99" s="91">
        <f t="shared" si="20"/>
        <v>0</v>
      </c>
      <c r="Y99" s="91" t="e">
        <f t="shared" si="25"/>
        <v>#REF!</v>
      </c>
      <c r="Z99" s="91"/>
      <c r="AA99" s="91" t="e">
        <f t="shared" si="26"/>
        <v>#REF!</v>
      </c>
      <c r="AB99" s="91">
        <v>0</v>
      </c>
      <c r="AC99" s="91" t="e">
        <f t="shared" si="27"/>
        <v>#REF!</v>
      </c>
      <c r="AD99" s="104" t="e">
        <f t="shared" si="28"/>
        <v>#REF!</v>
      </c>
    </row>
    <row r="100" spans="1:30" s="405" customFormat="1" ht="15" x14ac:dyDescent="0.25">
      <c r="A100" s="1" t="s">
        <v>101</v>
      </c>
      <c r="B100" s="132"/>
      <c r="C100" s="91">
        <f t="shared" si="21"/>
        <v>82937.253978358582</v>
      </c>
      <c r="D100" s="91"/>
      <c r="E100" s="132"/>
      <c r="F100" s="91"/>
      <c r="G100" s="91">
        <f t="shared" si="17"/>
        <v>-2416148.7539783577</v>
      </c>
      <c r="H100" s="91">
        <f t="shared" si="17"/>
        <v>192</v>
      </c>
      <c r="I100" s="91">
        <f t="shared" si="22"/>
        <v>-2415956.7539783577</v>
      </c>
      <c r="J100" s="91"/>
      <c r="K100" s="91" t="e">
        <f t="shared" si="18"/>
        <v>#REF!</v>
      </c>
      <c r="L100" s="91" t="e">
        <f t="shared" si="18"/>
        <v>#REF!</v>
      </c>
      <c r="M100" s="91">
        <f t="shared" si="18"/>
        <v>0</v>
      </c>
      <c r="N100" s="91" t="e">
        <f t="shared" si="23"/>
        <v>#REF!</v>
      </c>
      <c r="O100" s="91"/>
      <c r="P100" s="91" t="e">
        <f t="shared" si="24"/>
        <v>#REF!</v>
      </c>
      <c r="Q100" s="132"/>
      <c r="R100" s="132"/>
      <c r="S100" s="91" t="e">
        <f t="shared" si="19"/>
        <v>#REF!</v>
      </c>
      <c r="T100" s="132"/>
      <c r="U100" s="132"/>
      <c r="V100" s="91" t="e">
        <f t="shared" si="20"/>
        <v>#REF!</v>
      </c>
      <c r="W100" s="91" t="e">
        <f t="shared" si="20"/>
        <v>#REF!</v>
      </c>
      <c r="X100" s="91">
        <f t="shared" si="20"/>
        <v>0</v>
      </c>
      <c r="Y100" s="91" t="e">
        <f t="shared" si="25"/>
        <v>#REF!</v>
      </c>
      <c r="Z100" s="91"/>
      <c r="AA100" s="91" t="e">
        <f t="shared" si="26"/>
        <v>#REF!</v>
      </c>
      <c r="AB100" s="91">
        <v>0</v>
      </c>
      <c r="AC100" s="91" t="e">
        <f t="shared" si="27"/>
        <v>#REF!</v>
      </c>
      <c r="AD100" s="104" t="e">
        <f t="shared" si="28"/>
        <v>#REF!</v>
      </c>
    </row>
    <row r="101" spans="1:30" s="405" customFormat="1" ht="15" x14ac:dyDescent="0.25">
      <c r="A101" s="1" t="s">
        <v>102</v>
      </c>
      <c r="B101" s="132"/>
      <c r="C101" s="91">
        <f t="shared" si="21"/>
        <v>-217333.18586887326</v>
      </c>
      <c r="D101" s="91"/>
      <c r="E101" s="132"/>
      <c r="F101" s="91"/>
      <c r="G101" s="91">
        <f t="shared" si="17"/>
        <v>-41431.814131126739</v>
      </c>
      <c r="H101" s="91">
        <f t="shared" si="17"/>
        <v>-25922</v>
      </c>
      <c r="I101" s="91">
        <f t="shared" si="22"/>
        <v>-67353.814131126739</v>
      </c>
      <c r="J101" s="91"/>
      <c r="K101" s="91" t="e">
        <f t="shared" si="18"/>
        <v>#REF!</v>
      </c>
      <c r="L101" s="91" t="e">
        <f t="shared" si="18"/>
        <v>#REF!</v>
      </c>
      <c r="M101" s="91">
        <f t="shared" si="18"/>
        <v>0</v>
      </c>
      <c r="N101" s="91" t="e">
        <f t="shared" si="23"/>
        <v>#REF!</v>
      </c>
      <c r="O101" s="91"/>
      <c r="P101" s="91" t="e">
        <f t="shared" si="24"/>
        <v>#REF!</v>
      </c>
      <c r="Q101" s="132"/>
      <c r="R101" s="132"/>
      <c r="S101" s="91" t="e">
        <f t="shared" si="19"/>
        <v>#REF!</v>
      </c>
      <c r="T101" s="132"/>
      <c r="U101" s="132"/>
      <c r="V101" s="91">
        <f t="shared" si="20"/>
        <v>-708000</v>
      </c>
      <c r="W101" s="91" t="e">
        <f t="shared" si="20"/>
        <v>#REF!</v>
      </c>
      <c r="X101" s="91">
        <f t="shared" si="20"/>
        <v>0</v>
      </c>
      <c r="Y101" s="91" t="e">
        <f t="shared" si="25"/>
        <v>#REF!</v>
      </c>
      <c r="Z101" s="91"/>
      <c r="AA101" s="91" t="e">
        <f t="shared" si="26"/>
        <v>#REF!</v>
      </c>
      <c r="AB101" s="91">
        <v>0</v>
      </c>
      <c r="AC101" s="91" t="e">
        <f t="shared" si="27"/>
        <v>#REF!</v>
      </c>
      <c r="AD101" s="104" t="e">
        <f t="shared" si="28"/>
        <v>#REF!</v>
      </c>
    </row>
    <row r="102" spans="1:30" s="405" customFormat="1" ht="15" x14ac:dyDescent="0.25">
      <c r="A102" s="1" t="s">
        <v>103</v>
      </c>
      <c r="B102" s="132"/>
      <c r="C102" s="91">
        <f t="shared" si="21"/>
        <v>1276904.6149999984</v>
      </c>
      <c r="D102" s="91"/>
      <c r="E102" s="132"/>
      <c r="F102" s="91"/>
      <c r="G102" s="91">
        <f t="shared" si="17"/>
        <v>-393220</v>
      </c>
      <c r="H102" s="91">
        <f t="shared" si="17"/>
        <v>1760</v>
      </c>
      <c r="I102" s="91">
        <f t="shared" si="22"/>
        <v>-391460</v>
      </c>
      <c r="J102" s="91"/>
      <c r="K102" s="91" t="e">
        <f t="shared" si="18"/>
        <v>#REF!</v>
      </c>
      <c r="L102" s="91" t="e">
        <f t="shared" si="18"/>
        <v>#REF!</v>
      </c>
      <c r="M102" s="91">
        <f t="shared" si="18"/>
        <v>0</v>
      </c>
      <c r="N102" s="91" t="e">
        <f t="shared" si="23"/>
        <v>#REF!</v>
      </c>
      <c r="O102" s="91"/>
      <c r="P102" s="91" t="e">
        <f t="shared" si="24"/>
        <v>#REF!</v>
      </c>
      <c r="Q102" s="132"/>
      <c r="R102" s="132"/>
      <c r="S102" s="91" t="e">
        <f t="shared" si="19"/>
        <v>#REF!</v>
      </c>
      <c r="T102" s="132"/>
      <c r="U102" s="132"/>
      <c r="V102" s="91" t="e">
        <f t="shared" si="20"/>
        <v>#REF!</v>
      </c>
      <c r="W102" s="91" t="e">
        <f t="shared" si="20"/>
        <v>#REF!</v>
      </c>
      <c r="X102" s="91">
        <f t="shared" si="20"/>
        <v>0</v>
      </c>
      <c r="Y102" s="91" t="e">
        <f t="shared" si="25"/>
        <v>#REF!</v>
      </c>
      <c r="Z102" s="91"/>
      <c r="AA102" s="91" t="e">
        <f t="shared" si="26"/>
        <v>#REF!</v>
      </c>
      <c r="AB102" s="91">
        <v>0</v>
      </c>
      <c r="AC102" s="91" t="e">
        <f t="shared" si="27"/>
        <v>#REF!</v>
      </c>
      <c r="AD102" s="104" t="e">
        <f t="shared" si="28"/>
        <v>#REF!</v>
      </c>
    </row>
    <row r="103" spans="1:30" s="405" customFormat="1" ht="15" x14ac:dyDescent="0.25">
      <c r="A103" s="1" t="s">
        <v>104</v>
      </c>
      <c r="B103" s="132"/>
      <c r="C103" s="91">
        <f t="shared" si="21"/>
        <v>-467620.18459579721</v>
      </c>
      <c r="D103" s="91"/>
      <c r="E103" s="132"/>
      <c r="F103" s="91"/>
      <c r="G103" s="91">
        <f t="shared" si="17"/>
        <v>-974741.31540420093</v>
      </c>
      <c r="H103" s="91">
        <f t="shared" si="17"/>
        <v>-9109</v>
      </c>
      <c r="I103" s="91">
        <f t="shared" si="22"/>
        <v>-983850.31540420093</v>
      </c>
      <c r="J103" s="91"/>
      <c r="K103" s="91">
        <f t="shared" si="18"/>
        <v>62884</v>
      </c>
      <c r="L103" s="91">
        <f t="shared" si="18"/>
        <v>4477.3899999999994</v>
      </c>
      <c r="M103" s="91">
        <f t="shared" si="18"/>
        <v>0</v>
      </c>
      <c r="N103" s="91">
        <f t="shared" si="23"/>
        <v>4477.3899999999994</v>
      </c>
      <c r="O103" s="91"/>
      <c r="P103" s="91">
        <f t="shared" si="24"/>
        <v>-920966.31540420093</v>
      </c>
      <c r="Q103" s="132"/>
      <c r="R103" s="132"/>
      <c r="S103" s="91" t="e">
        <f t="shared" si="19"/>
        <v>#REF!</v>
      </c>
      <c r="T103" s="132"/>
      <c r="U103" s="132"/>
      <c r="V103" s="91" t="e">
        <f t="shared" si="20"/>
        <v>#REF!</v>
      </c>
      <c r="W103" s="91" t="e">
        <f t="shared" si="20"/>
        <v>#REF!</v>
      </c>
      <c r="X103" s="91">
        <f t="shared" si="20"/>
        <v>0</v>
      </c>
      <c r="Y103" s="91" t="e">
        <f t="shared" si="25"/>
        <v>#REF!</v>
      </c>
      <c r="Z103" s="91"/>
      <c r="AA103" s="91" t="e">
        <f t="shared" si="26"/>
        <v>#REF!</v>
      </c>
      <c r="AB103" s="91">
        <v>0</v>
      </c>
      <c r="AC103" s="91" t="e">
        <f t="shared" si="27"/>
        <v>#REF!</v>
      </c>
      <c r="AD103" s="104" t="e">
        <f t="shared" si="28"/>
        <v>#REF!</v>
      </c>
    </row>
    <row r="104" spans="1:30" s="405" customFormat="1" ht="15" x14ac:dyDescent="0.25">
      <c r="A104" s="1" t="s">
        <v>105</v>
      </c>
      <c r="B104" s="145"/>
      <c r="C104" s="91">
        <f t="shared" si="21"/>
        <v>1732808.2347540855</v>
      </c>
      <c r="D104" s="91"/>
      <c r="E104" s="132"/>
      <c r="F104" s="91"/>
      <c r="G104" s="91">
        <f t="shared" si="17"/>
        <v>-2809486.1516393423</v>
      </c>
      <c r="H104" s="91">
        <f t="shared" si="17"/>
        <v>21179</v>
      </c>
      <c r="I104" s="91">
        <f t="shared" si="22"/>
        <v>-2788307.1516393423</v>
      </c>
      <c r="J104" s="91"/>
      <c r="K104" s="91">
        <f t="shared" si="18"/>
        <v>8797569</v>
      </c>
      <c r="L104" s="91">
        <f t="shared" si="18"/>
        <v>-28402</v>
      </c>
      <c r="M104" s="91">
        <f t="shared" si="18"/>
        <v>0</v>
      </c>
      <c r="N104" s="91">
        <f t="shared" si="23"/>
        <v>-28402</v>
      </c>
      <c r="O104" s="91"/>
      <c r="P104" s="91">
        <f t="shared" si="24"/>
        <v>6009261.8483606577</v>
      </c>
      <c r="Q104" s="132"/>
      <c r="R104" s="132"/>
      <c r="S104" s="91">
        <f t="shared" si="19"/>
        <v>-3124885</v>
      </c>
      <c r="T104" s="132"/>
      <c r="U104" s="132"/>
      <c r="V104" s="91">
        <f t="shared" si="20"/>
        <v>296779</v>
      </c>
      <c r="W104" s="91">
        <f t="shared" si="20"/>
        <v>2064</v>
      </c>
      <c r="X104" s="91">
        <f t="shared" si="20"/>
        <v>0</v>
      </c>
      <c r="Y104" s="91">
        <f t="shared" si="25"/>
        <v>2064</v>
      </c>
      <c r="Z104" s="91"/>
      <c r="AA104" s="91">
        <f t="shared" si="26"/>
        <v>-2828106</v>
      </c>
      <c r="AB104" s="91">
        <v>0</v>
      </c>
      <c r="AC104" s="91">
        <f t="shared" si="27"/>
        <v>4913964.0831147432</v>
      </c>
      <c r="AD104" s="104">
        <f t="shared" si="28"/>
        <v>-26338</v>
      </c>
    </row>
    <row r="105" spans="1:30" s="405" customFormat="1" ht="15" x14ac:dyDescent="0.25">
      <c r="A105" s="40" t="s">
        <v>106</v>
      </c>
      <c r="B105" s="400"/>
      <c r="C105" s="401">
        <f t="shared" si="21"/>
        <v>-4316546.5</v>
      </c>
      <c r="D105" s="401"/>
      <c r="E105" s="400"/>
      <c r="F105" s="401"/>
      <c r="G105" s="401">
        <f t="shared" si="17"/>
        <v>-127638</v>
      </c>
      <c r="H105" s="401">
        <f t="shared" si="17"/>
        <v>159479</v>
      </c>
      <c r="I105" s="401">
        <f t="shared" si="22"/>
        <v>31841</v>
      </c>
      <c r="J105" s="401"/>
      <c r="K105" s="401">
        <f t="shared" si="18"/>
        <v>0</v>
      </c>
      <c r="L105" s="401">
        <f t="shared" si="18"/>
        <v>0</v>
      </c>
      <c r="M105" s="401">
        <f t="shared" si="18"/>
        <v>0</v>
      </c>
      <c r="N105" s="401">
        <f t="shared" si="23"/>
        <v>0</v>
      </c>
      <c r="O105" s="401"/>
      <c r="P105" s="401">
        <f t="shared" si="24"/>
        <v>31841</v>
      </c>
      <c r="Q105" s="400"/>
      <c r="R105" s="400"/>
      <c r="S105" s="401" t="e">
        <f t="shared" si="19"/>
        <v>#REF!</v>
      </c>
      <c r="T105" s="400"/>
      <c r="U105" s="400"/>
      <c r="V105" s="401">
        <f t="shared" si="20"/>
        <v>-130885</v>
      </c>
      <c r="W105" s="401">
        <f t="shared" si="20"/>
        <v>331.84799999999996</v>
      </c>
      <c r="X105" s="401">
        <f t="shared" si="20"/>
        <v>0</v>
      </c>
      <c r="Y105" s="401">
        <f t="shared" si="25"/>
        <v>331.84799999999996</v>
      </c>
      <c r="Z105" s="401"/>
      <c r="AA105" s="401" t="e">
        <f t="shared" si="26"/>
        <v>#REF!</v>
      </c>
      <c r="AB105" s="401">
        <v>0</v>
      </c>
      <c r="AC105" s="401" t="e">
        <f t="shared" si="27"/>
        <v>#REF!</v>
      </c>
      <c r="AD105" s="402">
        <f t="shared" si="28"/>
        <v>331.84799999999996</v>
      </c>
    </row>
    <row r="106" spans="1:30" ht="15" x14ac:dyDescent="0.25">
      <c r="A106" s="90" t="s">
        <v>107</v>
      </c>
      <c r="B106" s="146"/>
      <c r="C106" s="147">
        <f>SUM(C90:C105)</f>
        <v>-8597645.7390136234</v>
      </c>
      <c r="D106" s="147"/>
      <c r="E106" s="146"/>
      <c r="F106" s="147"/>
      <c r="G106" s="147">
        <f>SUM(G90:G105)</f>
        <v>-14866127.366302775</v>
      </c>
      <c r="H106" s="147">
        <f>SUM(H90:H105)</f>
        <v>-504369.67000000004</v>
      </c>
      <c r="I106" s="147">
        <f>G106+H106</f>
        <v>-15370497.036302775</v>
      </c>
      <c r="J106" s="147"/>
      <c r="K106" s="147" t="e">
        <f>SUM(K90:K105)</f>
        <v>#REF!</v>
      </c>
      <c r="L106" s="147" t="e">
        <f>SUM(L90:L105)</f>
        <v>#REF!</v>
      </c>
      <c r="M106" s="147">
        <f>SUM(M90:M105)</f>
        <v>-14831</v>
      </c>
      <c r="N106" s="147" t="e">
        <f t="shared" si="23"/>
        <v>#REF!</v>
      </c>
      <c r="O106" s="147"/>
      <c r="P106" s="147" t="e">
        <f>SUM(P90:P105)</f>
        <v>#REF!</v>
      </c>
      <c r="Q106" s="147"/>
      <c r="R106" s="147"/>
      <c r="S106" s="147" t="e">
        <f>SUM(S90:S105)</f>
        <v>#REF!</v>
      </c>
      <c r="T106" s="147"/>
      <c r="U106" s="147"/>
      <c r="V106" s="147" t="e">
        <f>SUM(V90:V105)</f>
        <v>#REF!</v>
      </c>
      <c r="W106" s="147" t="e">
        <f>SUM(W90:W105)</f>
        <v>#REF!</v>
      </c>
      <c r="X106" s="147">
        <f>SUM(X90:X105)</f>
        <v>335111</v>
      </c>
      <c r="Y106" s="147" t="e">
        <f>SUM(Y90:Y105)</f>
        <v>#REF!</v>
      </c>
      <c r="Z106" s="147"/>
      <c r="AA106" s="147" t="e">
        <f>SUM(AA90:AA105)</f>
        <v>#REF!</v>
      </c>
      <c r="AB106" s="147">
        <f>SUM(AB90:AB105)</f>
        <v>0</v>
      </c>
      <c r="AC106" s="147" t="e">
        <f>SUM(AC90:AC105)</f>
        <v>#REF!</v>
      </c>
      <c r="AD106" s="148" t="e">
        <f>SUM(AD90:AD105)</f>
        <v>#REF!</v>
      </c>
    </row>
    <row r="107" spans="1:30" ht="15" x14ac:dyDescent="0.25">
      <c r="A107" s="90"/>
      <c r="B107" s="132"/>
      <c r="C107" s="91"/>
      <c r="D107" s="132"/>
      <c r="E107" s="132"/>
      <c r="F107" s="132"/>
      <c r="G107" s="132"/>
      <c r="H107" s="91"/>
      <c r="I107" s="91"/>
      <c r="J107" s="132"/>
      <c r="K107" s="132"/>
      <c r="L107" s="132"/>
      <c r="M107" s="132"/>
      <c r="N107" s="132"/>
      <c r="O107" s="132"/>
      <c r="P107" s="132"/>
      <c r="Q107" s="132"/>
      <c r="R107" s="132"/>
      <c r="S107" s="132"/>
      <c r="T107" s="132"/>
      <c r="U107" s="132"/>
      <c r="V107" s="132"/>
      <c r="W107" s="132"/>
      <c r="X107" s="132"/>
      <c r="Y107" s="132"/>
      <c r="Z107" s="132"/>
      <c r="AA107" s="132"/>
      <c r="AB107" s="132"/>
      <c r="AC107" s="91"/>
      <c r="AD107" s="145"/>
    </row>
    <row r="108" spans="1:30" ht="15" x14ac:dyDescent="0.25">
      <c r="A108" s="90" t="s">
        <v>108</v>
      </c>
      <c r="B108" s="132"/>
      <c r="C108" s="91">
        <f>C87+C106</f>
        <v>-8597645.7390136234</v>
      </c>
      <c r="D108" s="91"/>
      <c r="E108" s="91"/>
      <c r="F108" s="91"/>
      <c r="G108" s="91">
        <f>G87+G106</f>
        <v>-14866127.366302775</v>
      </c>
      <c r="H108" s="91">
        <f>H87+H106</f>
        <v>-504369.67000000004</v>
      </c>
      <c r="I108" s="91">
        <f>I87+I106</f>
        <v>-15370497.036302775</v>
      </c>
      <c r="J108" s="91"/>
      <c r="K108" s="91" t="e">
        <f>K87+K106</f>
        <v>#REF!</v>
      </c>
      <c r="L108" s="91" t="e">
        <f>L87+L106</f>
        <v>#REF!</v>
      </c>
      <c r="M108" s="91">
        <f>M87+M106</f>
        <v>-14831</v>
      </c>
      <c r="N108" s="91" t="e">
        <f>N87+N106</f>
        <v>#REF!</v>
      </c>
      <c r="O108" s="91"/>
      <c r="P108" s="91" t="e">
        <f>P87+P106</f>
        <v>#REF!</v>
      </c>
      <c r="Q108" s="91"/>
      <c r="R108" s="91"/>
      <c r="S108" s="91" t="e">
        <f>S87+S106</f>
        <v>#REF!</v>
      </c>
      <c r="T108" s="91"/>
      <c r="U108" s="91"/>
      <c r="V108" s="91" t="e">
        <f>V87+V106</f>
        <v>#REF!</v>
      </c>
      <c r="W108" s="91" t="e">
        <f>W87+W106</f>
        <v>#REF!</v>
      </c>
      <c r="X108" s="91">
        <f>X87+X106</f>
        <v>1252550</v>
      </c>
      <c r="Y108" s="91" t="e">
        <f>Y87+Y106</f>
        <v>#REF!</v>
      </c>
      <c r="Z108" s="91"/>
      <c r="AA108" s="91" t="e">
        <f>AA87+AA106</f>
        <v>#REF!</v>
      </c>
      <c r="AB108" s="91">
        <f>AB87+AB106</f>
        <v>0</v>
      </c>
      <c r="AC108" s="91" t="e">
        <f>AC87+AC106</f>
        <v>#REF!</v>
      </c>
      <c r="AD108" s="104" t="e">
        <f>AD87+AD106</f>
        <v>#REF!</v>
      </c>
    </row>
    <row r="110" spans="1:30" x14ac:dyDescent="0.2">
      <c r="C110" s="329"/>
    </row>
  </sheetData>
  <mergeCells count="30">
    <mergeCell ref="AC78:AD78"/>
    <mergeCell ref="G77:I77"/>
    <mergeCell ref="K77:O77"/>
    <mergeCell ref="R77:T77"/>
    <mergeCell ref="U77:Z77"/>
    <mergeCell ref="L78:N78"/>
    <mergeCell ref="W78:Y78"/>
    <mergeCell ref="L42:N42"/>
    <mergeCell ref="W42:Y42"/>
    <mergeCell ref="AC42:AD42"/>
    <mergeCell ref="B76:D76"/>
    <mergeCell ref="F76:P76"/>
    <mergeCell ref="R76:AA76"/>
    <mergeCell ref="AC7:AD7"/>
    <mergeCell ref="B40:D40"/>
    <mergeCell ref="F40:P40"/>
    <mergeCell ref="R40:AA40"/>
    <mergeCell ref="G41:I41"/>
    <mergeCell ref="K41:O41"/>
    <mergeCell ref="R41:T41"/>
    <mergeCell ref="U41:Z41"/>
    <mergeCell ref="L7:N7"/>
    <mergeCell ref="W7:Y7"/>
    <mergeCell ref="B5:D5"/>
    <mergeCell ref="F5:P5"/>
    <mergeCell ref="R5:AA5"/>
    <mergeCell ref="G6:I6"/>
    <mergeCell ref="K6:O6"/>
    <mergeCell ref="R6:T6"/>
    <mergeCell ref="U6:Z6"/>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L106"/>
  <sheetViews>
    <sheetView tabSelected="1" workbookViewId="0"/>
  </sheetViews>
  <sheetFormatPr defaultColWidth="13.140625" defaultRowHeight="15" x14ac:dyDescent="0.25"/>
  <cols>
    <col min="1" max="1" width="34" style="1" customWidth="1"/>
    <col min="2" max="2" width="14" style="1" customWidth="1"/>
    <col min="3" max="3" width="14.140625" style="18" customWidth="1"/>
    <col min="4" max="4" width="15.28515625" style="1" customWidth="1"/>
    <col min="5" max="5" width="5.85546875" style="1" customWidth="1"/>
    <col min="6" max="6" width="14.140625" style="1" customWidth="1"/>
    <col min="7" max="7" width="15.28515625" style="1" bestFit="1" customWidth="1"/>
    <col min="8" max="8" width="15" style="1" customWidth="1"/>
    <col min="9" max="9" width="14.85546875" style="1" customWidth="1"/>
    <col min="10" max="10" width="13.42578125" style="1" customWidth="1"/>
    <col min="11" max="11" width="16.85546875" style="1" bestFit="1" customWidth="1"/>
    <col min="12" max="12" width="12.85546875" style="1" customWidth="1"/>
    <col min="13" max="13" width="11.5703125" style="1" customWidth="1"/>
    <col min="14" max="14" width="14.42578125" style="1" customWidth="1"/>
    <col min="15" max="15" width="13.28515625" style="25" customWidth="1"/>
    <col min="16" max="16" width="14.7109375" style="1" customWidth="1"/>
    <col min="17" max="17" width="3" style="1" customWidth="1"/>
    <col min="18" max="18" width="9.42578125" style="1" bestFit="1" customWidth="1"/>
    <col min="19" max="19" width="12.42578125" style="17" customWidth="1"/>
    <col min="20" max="20" width="11.5703125" style="17" customWidth="1"/>
    <col min="21" max="21" width="10.140625" style="17" customWidth="1"/>
    <col min="22" max="22" width="15.140625" style="1" bestFit="1" customWidth="1"/>
    <col min="23" max="23" width="12.5703125" style="1" bestFit="1" customWidth="1"/>
    <col min="24" max="24" width="13.7109375" style="1" customWidth="1"/>
    <col min="25" max="25" width="12.5703125" style="1" bestFit="1" customWidth="1"/>
    <col min="26" max="26" width="13.7109375" style="1" customWidth="1"/>
    <col min="27" max="27" width="14.42578125" style="1" customWidth="1"/>
    <col min="28" max="28" width="9.7109375" style="1" customWidth="1"/>
    <col min="29" max="29" width="14" style="1" customWidth="1"/>
    <col min="30" max="30" width="12.7109375" style="1" customWidth="1"/>
    <col min="31" max="31" width="15.5703125" style="1" customWidth="1"/>
    <col min="32" max="32" width="14.140625" style="1" customWidth="1"/>
    <col min="33" max="33" width="15.28515625" style="1" bestFit="1" customWidth="1"/>
    <col min="34" max="34" width="13.28515625" style="1" bestFit="1" customWidth="1"/>
    <col min="35" max="36" width="14.28515625" style="1" bestFit="1" customWidth="1"/>
    <col min="37" max="38" width="13.140625" style="1"/>
    <col min="39" max="39" width="15.28515625" style="1" customWidth="1"/>
    <col min="40" max="40" width="16.28515625" style="1" customWidth="1"/>
    <col min="41" max="42" width="13.140625" style="1"/>
    <col min="43" max="44" width="14.28515625" style="1" bestFit="1" customWidth="1"/>
    <col min="45" max="51" width="13.140625" style="1"/>
    <col min="52" max="54" width="15.42578125" style="1" customWidth="1"/>
    <col min="55" max="55" width="13.140625" style="1"/>
    <col min="56" max="58" width="16.140625" style="1" customWidth="1"/>
    <col min="59" max="16384" width="13.140625" style="1"/>
  </cols>
  <sheetData>
    <row r="1" spans="1:30" ht="13.5" customHeight="1" x14ac:dyDescent="0.25">
      <c r="A1" s="6" t="s">
        <v>110</v>
      </c>
      <c r="C1" s="1"/>
      <c r="O1" s="1"/>
      <c r="S1" s="1"/>
      <c r="T1" s="1"/>
      <c r="U1" s="1"/>
    </row>
    <row r="2" spans="1:30" ht="13.5" customHeight="1" x14ac:dyDescent="0.25">
      <c r="A2" s="1" t="s">
        <v>111</v>
      </c>
      <c r="C2" s="1"/>
      <c r="O2" s="1"/>
      <c r="S2" s="1"/>
      <c r="T2" s="1"/>
      <c r="U2" s="1"/>
    </row>
    <row r="3" spans="1:30" ht="13.5" customHeight="1" x14ac:dyDescent="0.25">
      <c r="A3" s="1" t="s">
        <v>112</v>
      </c>
      <c r="C3" s="1"/>
      <c r="O3" s="1"/>
      <c r="S3" s="1"/>
      <c r="T3" s="1"/>
      <c r="U3" s="1"/>
    </row>
    <row r="4" spans="1:30" ht="13.5" customHeight="1" x14ac:dyDescent="0.25">
      <c r="A4" s="1" t="s">
        <v>750</v>
      </c>
      <c r="C4" s="1"/>
      <c r="O4" s="1"/>
      <c r="S4" s="1"/>
      <c r="T4" s="1"/>
      <c r="U4" s="1"/>
    </row>
    <row r="5" spans="1:30" ht="13.5" customHeight="1" x14ac:dyDescent="0.25">
      <c r="A5" s="1" t="s">
        <v>113</v>
      </c>
      <c r="C5" s="1"/>
      <c r="O5" s="1"/>
      <c r="S5" s="1"/>
      <c r="T5" s="1"/>
      <c r="U5" s="1"/>
    </row>
    <row r="6" spans="1:30" ht="13.5" customHeight="1" x14ac:dyDescent="0.25">
      <c r="A6" s="28" t="s">
        <v>114</v>
      </c>
      <c r="C6" s="1"/>
      <c r="O6" s="1"/>
      <c r="S6" s="1"/>
      <c r="T6" s="1"/>
      <c r="U6" s="1"/>
    </row>
    <row r="7" spans="1:30" ht="13.5" customHeight="1" x14ac:dyDescent="0.25">
      <c r="A7" s="229" t="s">
        <v>115</v>
      </c>
      <c r="C7" s="1"/>
      <c r="O7" s="1"/>
      <c r="S7" s="1"/>
      <c r="T7" s="1"/>
      <c r="U7" s="1"/>
    </row>
    <row r="8" spans="1:30" s="19" customFormat="1" ht="15.75" thickBot="1" x14ac:dyDescent="0.3">
      <c r="A8" s="19" t="s">
        <v>116</v>
      </c>
      <c r="B8" s="19" t="s">
        <v>117</v>
      </c>
      <c r="C8" s="72" t="s">
        <v>118</v>
      </c>
      <c r="D8" s="19" t="s">
        <v>119</v>
      </c>
      <c r="E8" s="19" t="s">
        <v>120</v>
      </c>
      <c r="F8" s="19" t="s">
        <v>121</v>
      </c>
      <c r="G8" s="19" t="s">
        <v>122</v>
      </c>
      <c r="H8" s="19" t="s">
        <v>123</v>
      </c>
      <c r="I8" s="19" t="s">
        <v>124</v>
      </c>
      <c r="J8" s="19" t="s">
        <v>125</v>
      </c>
      <c r="K8" s="19" t="s">
        <v>126</v>
      </c>
      <c r="L8" s="19" t="s">
        <v>127</v>
      </c>
      <c r="M8" s="19" t="s">
        <v>128</v>
      </c>
      <c r="N8" s="19" t="s">
        <v>129</v>
      </c>
      <c r="O8" s="73" t="s">
        <v>130</v>
      </c>
      <c r="P8" s="19" t="s">
        <v>131</v>
      </c>
      <c r="Q8" s="19" t="s">
        <v>132</v>
      </c>
      <c r="R8" s="19" t="s">
        <v>133</v>
      </c>
      <c r="S8" s="74" t="s">
        <v>134</v>
      </c>
      <c r="T8" s="74" t="s">
        <v>135</v>
      </c>
      <c r="U8" s="74" t="s">
        <v>136</v>
      </c>
      <c r="V8" s="74" t="s">
        <v>137</v>
      </c>
      <c r="W8" s="74" t="s">
        <v>138</v>
      </c>
      <c r="X8" s="74" t="s">
        <v>139</v>
      </c>
      <c r="Y8" s="74" t="s">
        <v>140</v>
      </c>
      <c r="Z8" s="74" t="s">
        <v>141</v>
      </c>
      <c r="AA8" s="74" t="s">
        <v>142</v>
      </c>
      <c r="AB8" s="74" t="s">
        <v>143</v>
      </c>
      <c r="AC8" s="74" t="s">
        <v>144</v>
      </c>
      <c r="AD8" s="74" t="s">
        <v>145</v>
      </c>
    </row>
    <row r="9" spans="1:30" ht="15.75" thickBot="1" x14ac:dyDescent="0.3">
      <c r="A9" s="984" t="s">
        <v>751</v>
      </c>
      <c r="B9" s="985"/>
      <c r="C9" s="985"/>
      <c r="D9" s="985"/>
      <c r="E9" s="985"/>
      <c r="F9" s="985"/>
      <c r="G9" s="985"/>
      <c r="H9" s="985"/>
      <c r="I9" s="985"/>
      <c r="J9" s="985"/>
      <c r="K9" s="985"/>
      <c r="L9" s="985"/>
      <c r="M9" s="985"/>
      <c r="N9" s="985"/>
      <c r="O9" s="985"/>
      <c r="P9" s="985"/>
      <c r="Q9" s="985"/>
      <c r="R9" s="985"/>
      <c r="S9" s="985"/>
      <c r="T9" s="985"/>
      <c r="U9" s="985"/>
      <c r="V9" s="985"/>
      <c r="W9" s="985"/>
      <c r="X9" s="985"/>
      <c r="Y9" s="985"/>
      <c r="Z9" s="985"/>
      <c r="AA9" s="985"/>
      <c r="AB9" s="985"/>
      <c r="AC9" s="985"/>
      <c r="AD9" s="986"/>
    </row>
    <row r="10" spans="1:30" s="19" customFormat="1" ht="12.75" customHeight="1" x14ac:dyDescent="0.25">
      <c r="A10" s="75"/>
      <c r="B10" s="968" t="s">
        <v>16</v>
      </c>
      <c r="C10" s="969"/>
      <c r="D10" s="970"/>
      <c r="F10" s="968" t="s">
        <v>146</v>
      </c>
      <c r="G10" s="969"/>
      <c r="H10" s="969"/>
      <c r="I10" s="969"/>
      <c r="J10" s="969"/>
      <c r="K10" s="969"/>
      <c r="L10" s="969"/>
      <c r="M10" s="969"/>
      <c r="N10" s="969"/>
      <c r="O10" s="969"/>
      <c r="P10" s="970"/>
      <c r="Q10" s="76"/>
      <c r="R10" s="968" t="s">
        <v>59</v>
      </c>
      <c r="S10" s="969"/>
      <c r="T10" s="969"/>
      <c r="U10" s="969"/>
      <c r="V10" s="969"/>
      <c r="W10" s="969"/>
      <c r="X10" s="969"/>
      <c r="Y10" s="969"/>
      <c r="Z10" s="969"/>
      <c r="AA10" s="970"/>
      <c r="AB10" s="75"/>
      <c r="AC10" s="77"/>
      <c r="AD10" s="78"/>
    </row>
    <row r="11" spans="1:30" s="19" customFormat="1" ht="12.75" customHeight="1" x14ac:dyDescent="0.25">
      <c r="A11" s="75"/>
      <c r="B11" s="75"/>
      <c r="C11" s="79"/>
      <c r="D11" s="80"/>
      <c r="E11" s="75"/>
      <c r="F11" s="973" t="s">
        <v>60</v>
      </c>
      <c r="G11" s="974"/>
      <c r="H11" s="974"/>
      <c r="I11" s="975"/>
      <c r="J11" s="973" t="s">
        <v>61</v>
      </c>
      <c r="K11" s="974"/>
      <c r="L11" s="974"/>
      <c r="M11" s="974"/>
      <c r="N11" s="974"/>
      <c r="O11" s="975"/>
      <c r="Q11" s="75"/>
      <c r="R11" s="973" t="s">
        <v>60</v>
      </c>
      <c r="S11" s="974"/>
      <c r="T11" s="975"/>
      <c r="U11" s="973" t="s">
        <v>61</v>
      </c>
      <c r="V11" s="974"/>
      <c r="W11" s="982"/>
      <c r="X11" s="982"/>
      <c r="Y11" s="982"/>
      <c r="Z11" s="974"/>
      <c r="AA11" s="81"/>
      <c r="AB11" s="78"/>
      <c r="AC11" s="78"/>
      <c r="AD11" s="78" t="s">
        <v>147</v>
      </c>
    </row>
    <row r="12" spans="1:30" s="20" customFormat="1" x14ac:dyDescent="0.25">
      <c r="A12" s="82"/>
      <c r="B12" s="75" t="s">
        <v>148</v>
      </c>
      <c r="C12" s="83" t="s">
        <v>64</v>
      </c>
      <c r="D12" s="84"/>
      <c r="E12" s="82"/>
      <c r="F12" s="75" t="s">
        <v>149</v>
      </c>
      <c r="G12" s="75" t="s">
        <v>65</v>
      </c>
      <c r="H12" s="82"/>
      <c r="I12" s="82"/>
      <c r="J12" s="75" t="s">
        <v>149</v>
      </c>
      <c r="K12" s="85"/>
      <c r="L12" s="978" t="s">
        <v>66</v>
      </c>
      <c r="M12" s="979"/>
      <c r="N12" s="980"/>
      <c r="O12" s="86"/>
      <c r="P12" s="75" t="s">
        <v>62</v>
      </c>
      <c r="Q12" s="82"/>
      <c r="R12" s="75" t="s">
        <v>149</v>
      </c>
      <c r="S12" s="75" t="s">
        <v>65</v>
      </c>
      <c r="T12" s="82"/>
      <c r="U12" s="75" t="s">
        <v>149</v>
      </c>
      <c r="V12" s="82"/>
      <c r="W12" s="978" t="s">
        <v>66</v>
      </c>
      <c r="X12" s="979"/>
      <c r="Y12" s="980"/>
      <c r="AA12" s="78" t="s">
        <v>62</v>
      </c>
      <c r="AB12" s="75" t="s">
        <v>63</v>
      </c>
      <c r="AC12" s="78" t="s">
        <v>62</v>
      </c>
      <c r="AD12" s="78" t="s">
        <v>150</v>
      </c>
    </row>
    <row r="13" spans="1:30" s="20" customFormat="1" x14ac:dyDescent="0.25">
      <c r="A13" s="82" t="s">
        <v>70</v>
      </c>
      <c r="B13" s="82" t="s">
        <v>151</v>
      </c>
      <c r="C13" s="87" t="s">
        <v>71</v>
      </c>
      <c r="D13" s="84" t="s">
        <v>152</v>
      </c>
      <c r="E13" s="75"/>
      <c r="F13" s="82" t="s">
        <v>151</v>
      </c>
      <c r="G13" s="82" t="s">
        <v>71</v>
      </c>
      <c r="H13" s="82" t="s">
        <v>72</v>
      </c>
      <c r="I13" s="82" t="s">
        <v>62</v>
      </c>
      <c r="J13" s="82" t="s">
        <v>151</v>
      </c>
      <c r="K13" s="82" t="s">
        <v>73</v>
      </c>
      <c r="L13" s="82" t="s">
        <v>74</v>
      </c>
      <c r="M13" s="82" t="s">
        <v>75</v>
      </c>
      <c r="N13" s="82" t="s">
        <v>62</v>
      </c>
      <c r="O13" s="82" t="s">
        <v>153</v>
      </c>
      <c r="P13" s="82" t="s">
        <v>76</v>
      </c>
      <c r="Q13" s="75"/>
      <c r="R13" s="82" t="s">
        <v>151</v>
      </c>
      <c r="S13" s="82" t="s">
        <v>71</v>
      </c>
      <c r="T13" s="82" t="s">
        <v>62</v>
      </c>
      <c r="U13" s="82" t="s">
        <v>151</v>
      </c>
      <c r="V13" s="82" t="s">
        <v>73</v>
      </c>
      <c r="W13" s="82" t="s">
        <v>74</v>
      </c>
      <c r="X13" s="82" t="s">
        <v>75</v>
      </c>
      <c r="Y13" s="82" t="s">
        <v>62</v>
      </c>
      <c r="Z13" s="82" t="s">
        <v>153</v>
      </c>
      <c r="AA13" s="84" t="s">
        <v>68</v>
      </c>
      <c r="AB13" s="82" t="s">
        <v>11</v>
      </c>
      <c r="AC13" s="84" t="s">
        <v>70</v>
      </c>
      <c r="AD13" s="84" t="s">
        <v>154</v>
      </c>
    </row>
    <row r="14" spans="1:30" x14ac:dyDescent="0.25">
      <c r="A14" s="23" t="s">
        <v>77</v>
      </c>
      <c r="B14" s="82" t="s">
        <v>155</v>
      </c>
      <c r="C14" s="87" t="s">
        <v>155</v>
      </c>
      <c r="D14" s="78" t="s">
        <v>155</v>
      </c>
      <c r="E14" s="23"/>
      <c r="F14" s="75" t="s">
        <v>155</v>
      </c>
      <c r="G14" s="75" t="s">
        <v>155</v>
      </c>
      <c r="H14" s="75" t="s">
        <v>155</v>
      </c>
      <c r="I14" s="75" t="s">
        <v>155</v>
      </c>
      <c r="J14" s="75" t="s">
        <v>155</v>
      </c>
      <c r="K14" s="75" t="s">
        <v>155</v>
      </c>
      <c r="L14" s="75" t="s">
        <v>155</v>
      </c>
      <c r="M14" s="75" t="s">
        <v>155</v>
      </c>
      <c r="N14" s="75" t="s">
        <v>155</v>
      </c>
      <c r="O14" s="75" t="s">
        <v>155</v>
      </c>
      <c r="P14" s="75" t="s">
        <v>155</v>
      </c>
      <c r="Q14" s="88"/>
      <c r="R14" s="75" t="s">
        <v>155</v>
      </c>
      <c r="S14" s="75" t="s">
        <v>155</v>
      </c>
      <c r="T14" s="75" t="s">
        <v>155</v>
      </c>
      <c r="U14" s="75" t="s">
        <v>155</v>
      </c>
      <c r="V14" s="75" t="s">
        <v>155</v>
      </c>
      <c r="W14" s="75" t="s">
        <v>155</v>
      </c>
      <c r="X14" s="75" t="s">
        <v>155</v>
      </c>
      <c r="Y14" s="75" t="s">
        <v>155</v>
      </c>
      <c r="Z14" s="75" t="s">
        <v>155</v>
      </c>
      <c r="AA14" s="75" t="s">
        <v>155</v>
      </c>
      <c r="AB14" s="75" t="s">
        <v>155</v>
      </c>
      <c r="AC14" s="78" t="s">
        <v>155</v>
      </c>
      <c r="AD14" s="78" t="s">
        <v>155</v>
      </c>
    </row>
    <row r="15" spans="1:30" x14ac:dyDescent="0.25">
      <c r="A15" s="23" t="s">
        <v>79</v>
      </c>
      <c r="B15" s="82"/>
      <c r="C15" s="87"/>
      <c r="D15" s="78" t="s">
        <v>156</v>
      </c>
      <c r="E15" s="23"/>
      <c r="F15" s="75"/>
      <c r="G15" s="75"/>
      <c r="H15" s="75"/>
      <c r="I15" s="75" t="s">
        <v>157</v>
      </c>
      <c r="J15" s="75"/>
      <c r="K15" s="75"/>
      <c r="L15" s="75"/>
      <c r="M15" s="75"/>
      <c r="N15" s="75" t="s">
        <v>81</v>
      </c>
      <c r="O15" s="75" t="s">
        <v>158</v>
      </c>
      <c r="P15" s="75" t="s">
        <v>159</v>
      </c>
      <c r="Q15" s="88"/>
      <c r="R15" s="75"/>
      <c r="S15" s="75"/>
      <c r="T15" s="75" t="s">
        <v>160</v>
      </c>
      <c r="U15" s="75"/>
      <c r="V15" s="75"/>
      <c r="W15" s="75"/>
      <c r="X15" s="75"/>
      <c r="Y15" s="75" t="s">
        <v>83</v>
      </c>
      <c r="Z15" s="75" t="s">
        <v>161</v>
      </c>
      <c r="AA15" s="75" t="s">
        <v>162</v>
      </c>
      <c r="AB15" s="75"/>
      <c r="AC15" s="75" t="s">
        <v>163</v>
      </c>
      <c r="AD15" s="24"/>
    </row>
    <row r="16" spans="1:30" s="21" customFormat="1" x14ac:dyDescent="0.25">
      <c r="A16" s="89" t="s">
        <v>87</v>
      </c>
      <c r="B16" s="90"/>
      <c r="C16" s="91"/>
      <c r="D16" s="92"/>
      <c r="E16" s="90"/>
      <c r="F16" s="90"/>
      <c r="G16" s="90"/>
      <c r="H16" s="90"/>
      <c r="I16" s="90"/>
      <c r="J16" s="90"/>
      <c r="K16" s="90"/>
      <c r="L16" s="90"/>
      <c r="M16" s="90"/>
      <c r="N16" s="90"/>
      <c r="O16" s="93"/>
      <c r="P16" s="90"/>
      <c r="Q16" s="90"/>
      <c r="R16" s="90"/>
      <c r="S16" s="90"/>
      <c r="T16" s="90"/>
      <c r="U16" s="90"/>
      <c r="V16" s="90"/>
      <c r="W16" s="90"/>
      <c r="X16" s="90"/>
      <c r="Y16" s="90"/>
      <c r="Z16" s="90"/>
      <c r="AA16" s="90"/>
      <c r="AB16" s="90"/>
      <c r="AC16" s="90"/>
      <c r="AD16" s="92"/>
    </row>
    <row r="17" spans="1:32" s="21" customFormat="1" x14ac:dyDescent="0.25">
      <c r="A17" s="90"/>
      <c r="B17" s="90"/>
      <c r="C17" s="90"/>
      <c r="D17" s="92"/>
      <c r="E17" s="90"/>
      <c r="F17" s="90"/>
      <c r="G17" s="90"/>
      <c r="H17" s="90"/>
      <c r="I17" s="90"/>
      <c r="J17" s="90"/>
      <c r="K17" s="90"/>
      <c r="L17" s="90"/>
      <c r="M17" s="90"/>
      <c r="N17" s="90"/>
      <c r="O17" s="93"/>
      <c r="P17" s="90"/>
      <c r="Q17" s="90"/>
      <c r="R17" s="90"/>
      <c r="S17" s="90"/>
      <c r="T17" s="90"/>
      <c r="U17" s="90"/>
      <c r="V17" s="90"/>
      <c r="W17" s="90"/>
      <c r="X17" s="90"/>
      <c r="Y17" s="90"/>
      <c r="Z17" s="90"/>
      <c r="AA17" s="90"/>
      <c r="AB17" s="90"/>
      <c r="AC17" s="90"/>
      <c r="AD17" s="92"/>
    </row>
    <row r="18" spans="1:32" s="21" customFormat="1" x14ac:dyDescent="0.25">
      <c r="A18" s="90" t="s">
        <v>164</v>
      </c>
      <c r="B18" s="90">
        <v>0</v>
      </c>
      <c r="C18" s="90">
        <v>0</v>
      </c>
      <c r="D18" s="94">
        <f>+C18+B18</f>
        <v>0</v>
      </c>
      <c r="E18" s="90"/>
      <c r="F18" s="90">
        <v>0</v>
      </c>
      <c r="G18" s="90">
        <v>0</v>
      </c>
      <c r="H18" s="90">
        <v>0</v>
      </c>
      <c r="I18" s="94">
        <f>+F18+G18+H18</f>
        <v>0</v>
      </c>
      <c r="J18" s="90">
        <v>0</v>
      </c>
      <c r="K18" s="90">
        <v>0</v>
      </c>
      <c r="L18" s="90">
        <v>0</v>
      </c>
      <c r="M18" s="90">
        <v>0</v>
      </c>
      <c r="N18" s="94">
        <f>+L18+M18</f>
        <v>0</v>
      </c>
      <c r="O18" s="94">
        <f>+J18+K18+N18</f>
        <v>0</v>
      </c>
      <c r="P18" s="94">
        <f>+I18+O18</f>
        <v>0</v>
      </c>
      <c r="Q18" s="90"/>
      <c r="R18" s="90">
        <v>0</v>
      </c>
      <c r="S18" s="90">
        <v>0</v>
      </c>
      <c r="T18" s="540">
        <f>+S18+R18</f>
        <v>0</v>
      </c>
      <c r="U18" s="540">
        <v>61016</v>
      </c>
      <c r="V18" s="540">
        <v>41134063</v>
      </c>
      <c r="W18" s="540">
        <v>5851358</v>
      </c>
      <c r="X18" s="540">
        <v>2610320</v>
      </c>
      <c r="Y18" s="542">
        <f>+W18+X18</f>
        <v>8461678</v>
      </c>
      <c r="Z18" s="541">
        <f>+U18+V18+Y18</f>
        <v>49656757</v>
      </c>
      <c r="AA18" s="542">
        <f>+T18+Z18</f>
        <v>49656757</v>
      </c>
      <c r="AB18" s="540"/>
      <c r="AC18" s="542">
        <f>D18+P18+AA18+AB18</f>
        <v>49656757</v>
      </c>
      <c r="AD18" s="92"/>
    </row>
    <row r="19" spans="1:32" s="21" customFormat="1" x14ac:dyDescent="0.25">
      <c r="A19" s="90" t="s">
        <v>165</v>
      </c>
      <c r="B19" s="90">
        <v>0</v>
      </c>
      <c r="C19" s="90">
        <v>0</v>
      </c>
      <c r="D19" s="94">
        <f>+C19+B19</f>
        <v>0</v>
      </c>
      <c r="E19" s="90"/>
      <c r="F19" s="90">
        <v>0</v>
      </c>
      <c r="G19" s="90">
        <v>0</v>
      </c>
      <c r="H19" s="90">
        <v>0</v>
      </c>
      <c r="I19" s="94">
        <f>+F19+G19+H19</f>
        <v>0</v>
      </c>
      <c r="J19" s="90">
        <v>0</v>
      </c>
      <c r="K19" s="90">
        <v>0</v>
      </c>
      <c r="L19" s="90">
        <v>0</v>
      </c>
      <c r="M19" s="90">
        <v>0</v>
      </c>
      <c r="N19" s="94">
        <f>+L19+M19</f>
        <v>0</v>
      </c>
      <c r="O19" s="94">
        <f>+J19+K19+N19</f>
        <v>0</v>
      </c>
      <c r="P19" s="94">
        <f>+I19+O19</f>
        <v>0</v>
      </c>
      <c r="Q19" s="90"/>
      <c r="R19" s="90">
        <v>0</v>
      </c>
      <c r="S19" s="90">
        <v>0</v>
      </c>
      <c r="T19" s="540">
        <f>+S19+R19</f>
        <v>0</v>
      </c>
      <c r="U19" s="540"/>
      <c r="V19" s="540"/>
      <c r="W19" s="540"/>
      <c r="X19" s="540"/>
      <c r="Y19" s="542">
        <f>+W19+X19</f>
        <v>0</v>
      </c>
      <c r="Z19" s="541">
        <f>+U19+V19+Y19</f>
        <v>0</v>
      </c>
      <c r="AA19" s="542">
        <f>+T19+Z19</f>
        <v>0</v>
      </c>
      <c r="AB19" s="540"/>
      <c r="AC19" s="542">
        <f>D19+P19+AA19+AB19</f>
        <v>0</v>
      </c>
      <c r="AD19" s="92"/>
    </row>
    <row r="20" spans="1:32" s="21" customFormat="1" x14ac:dyDescent="0.25">
      <c r="B20" s="95"/>
      <c r="C20" s="96"/>
      <c r="D20" s="89"/>
      <c r="E20" s="95"/>
      <c r="F20" s="95"/>
      <c r="G20" s="95"/>
      <c r="H20" s="95"/>
      <c r="I20" s="95"/>
      <c r="J20" s="95"/>
      <c r="K20" s="95"/>
      <c r="L20" s="95"/>
      <c r="M20" s="95"/>
      <c r="N20" s="95"/>
      <c r="O20" s="97"/>
      <c r="P20" s="95"/>
      <c r="Q20" s="95"/>
      <c r="R20" s="95"/>
      <c r="S20" s="95"/>
      <c r="T20" s="95"/>
      <c r="U20" s="95"/>
      <c r="V20" s="95"/>
      <c r="W20" s="95"/>
      <c r="X20" s="95"/>
      <c r="Y20" s="95"/>
      <c r="Z20" s="95"/>
      <c r="AA20" s="95"/>
      <c r="AB20" s="95"/>
      <c r="AC20" s="95"/>
      <c r="AD20" s="89"/>
    </row>
    <row r="21" spans="1:32" s="21" customFormat="1" x14ac:dyDescent="0.25">
      <c r="A21" s="90" t="s">
        <v>166</v>
      </c>
      <c r="B21" s="98"/>
      <c r="C21" s="99"/>
      <c r="D21" s="99">
        <f>+D18</f>
        <v>0</v>
      </c>
      <c r="E21" s="98"/>
      <c r="F21" s="98"/>
      <c r="G21" s="98"/>
      <c r="H21" s="98"/>
      <c r="I21" s="98">
        <f>+I18</f>
        <v>0</v>
      </c>
      <c r="J21" s="98"/>
      <c r="K21" s="98"/>
      <c r="L21" s="98"/>
      <c r="M21" s="98"/>
      <c r="N21" s="98">
        <f>+N18</f>
        <v>0</v>
      </c>
      <c r="O21" s="98">
        <f>+O18</f>
        <v>0</v>
      </c>
      <c r="P21" s="98">
        <f>+P18</f>
        <v>0</v>
      </c>
      <c r="Q21" s="98"/>
      <c r="R21" s="98"/>
      <c r="S21" s="98"/>
      <c r="T21" s="98">
        <f>+T18</f>
        <v>0</v>
      </c>
      <c r="U21" s="98"/>
      <c r="V21" s="98"/>
      <c r="W21" s="98"/>
      <c r="X21" s="98"/>
      <c r="Y21" s="98">
        <f>+Y19+Y18</f>
        <v>8461678</v>
      </c>
      <c r="Z21" s="98">
        <f>+Z19+Z18</f>
        <v>49656757</v>
      </c>
      <c r="AA21" s="98">
        <f>+AA19+AA18</f>
        <v>49656757</v>
      </c>
      <c r="AB21" s="98"/>
      <c r="AC21" s="98">
        <f>+AC19+AC18</f>
        <v>49656757</v>
      </c>
      <c r="AD21" s="100"/>
    </row>
    <row r="22" spans="1:32" s="21" customFormat="1" x14ac:dyDescent="0.25">
      <c r="A22" s="90"/>
      <c r="B22" s="90"/>
      <c r="C22" s="91"/>
      <c r="D22" s="90"/>
      <c r="E22" s="90"/>
      <c r="F22" s="90"/>
      <c r="G22" s="90"/>
      <c r="H22" s="90"/>
      <c r="I22" s="90"/>
      <c r="J22" s="90"/>
      <c r="K22" s="90"/>
      <c r="L22" s="90"/>
      <c r="M22" s="90"/>
      <c r="N22" s="90"/>
      <c r="O22" s="90"/>
      <c r="P22" s="90"/>
      <c r="Q22" s="90"/>
      <c r="R22" s="90"/>
      <c r="S22" s="90"/>
      <c r="T22" s="90"/>
      <c r="U22" s="90"/>
      <c r="V22" s="90"/>
      <c r="W22" s="90"/>
      <c r="X22" s="90"/>
      <c r="Y22" s="90"/>
      <c r="Z22" s="90"/>
      <c r="AA22" s="90"/>
      <c r="AB22" s="90"/>
      <c r="AC22" s="90"/>
      <c r="AD22" s="92"/>
    </row>
    <row r="23" spans="1:32" s="21" customFormat="1" x14ac:dyDescent="0.25">
      <c r="A23" s="89" t="s">
        <v>167</v>
      </c>
      <c r="B23" s="101"/>
      <c r="C23" s="91"/>
      <c r="D23" s="90"/>
      <c r="E23" s="90"/>
      <c r="F23" s="90"/>
      <c r="G23" s="90"/>
      <c r="H23" s="90"/>
      <c r="I23" s="90"/>
      <c r="J23" s="90"/>
      <c r="K23" s="90"/>
      <c r="L23" s="90"/>
      <c r="M23" s="90"/>
      <c r="N23" s="90"/>
      <c r="O23" s="90"/>
      <c r="P23" s="90"/>
      <c r="Q23" s="90"/>
      <c r="R23" s="90"/>
      <c r="S23" s="90"/>
      <c r="T23" s="90"/>
      <c r="U23" s="90"/>
      <c r="V23" s="90"/>
      <c r="W23" s="90"/>
      <c r="X23" s="92"/>
      <c r="Z23" s="92"/>
      <c r="AB23" s="92"/>
      <c r="AD23" s="92"/>
    </row>
    <row r="24" spans="1:32" s="21" customFormat="1" x14ac:dyDescent="0.25">
      <c r="A24" s="181" t="s">
        <v>91</v>
      </c>
      <c r="B24" s="540">
        <v>249891.03999999998</v>
      </c>
      <c r="C24" s="540">
        <v>1842184.4865714284</v>
      </c>
      <c r="D24" s="540">
        <f>+C24+B24</f>
        <v>2092075.5265714284</v>
      </c>
      <c r="E24" s="540"/>
      <c r="F24" s="540">
        <v>24409.439999999999</v>
      </c>
      <c r="G24" s="540">
        <v>179896.3524100504</v>
      </c>
      <c r="H24" s="540">
        <v>30637.25</v>
      </c>
      <c r="I24" s="540">
        <f>+F24+G24+H24</f>
        <v>234943.0424100504</v>
      </c>
      <c r="J24" s="540">
        <v>25178.879999999997</v>
      </c>
      <c r="K24" s="540">
        <v>319146.22158994956</v>
      </c>
      <c r="L24" s="540">
        <v>83749.599999999991</v>
      </c>
      <c r="M24" s="540">
        <v>0</v>
      </c>
      <c r="N24" s="540">
        <f>+L24+M24</f>
        <v>83749.599999999991</v>
      </c>
      <c r="O24" s="540">
        <f>+J24+K24+N24</f>
        <v>428074.70158994955</v>
      </c>
      <c r="P24" s="540">
        <f>+I24+O24</f>
        <v>663017.74399999995</v>
      </c>
      <c r="Q24" s="540"/>
      <c r="R24" s="540">
        <v>0</v>
      </c>
      <c r="S24" s="540">
        <v>0</v>
      </c>
      <c r="T24" s="540">
        <f>+S24+R24</f>
        <v>0</v>
      </c>
      <c r="U24" s="540">
        <v>0</v>
      </c>
      <c r="V24" s="540">
        <v>0</v>
      </c>
      <c r="W24" s="540">
        <v>0</v>
      </c>
      <c r="X24" s="541">
        <v>0</v>
      </c>
      <c r="Y24" s="542">
        <f>+W24+X24</f>
        <v>0</v>
      </c>
      <c r="Z24" s="541">
        <f>+U24+V24+Y24</f>
        <v>0</v>
      </c>
      <c r="AA24" s="542">
        <f>+T24+Z24</f>
        <v>0</v>
      </c>
      <c r="AB24" s="541">
        <v>0</v>
      </c>
      <c r="AC24" s="542">
        <f>D24+P24+AA24+AB24</f>
        <v>2755093.2705714284</v>
      </c>
      <c r="AD24" s="102"/>
    </row>
    <row r="25" spans="1:32" s="21" customFormat="1" x14ac:dyDescent="0.25">
      <c r="A25" s="181" t="s">
        <v>92</v>
      </c>
      <c r="B25" s="540">
        <v>182700</v>
      </c>
      <c r="C25" s="540">
        <v>2238103</v>
      </c>
      <c r="D25" s="540">
        <f>+C25+B25</f>
        <v>2420803</v>
      </c>
      <c r="E25" s="540"/>
      <c r="F25" s="540">
        <v>33834.68</v>
      </c>
      <c r="G25" s="540">
        <v>349677.98</v>
      </c>
      <c r="H25" s="540">
        <v>14763.5</v>
      </c>
      <c r="I25" s="540">
        <f>+F25+G25+H25</f>
        <v>398276.16</v>
      </c>
      <c r="J25" s="540">
        <v>13985.6</v>
      </c>
      <c r="K25" s="540">
        <v>1173031</v>
      </c>
      <c r="L25" s="540">
        <v>316575.74999999994</v>
      </c>
      <c r="M25" s="540">
        <v>0</v>
      </c>
      <c r="N25" s="540">
        <f>+L25+M25</f>
        <v>316575.74999999994</v>
      </c>
      <c r="O25" s="540">
        <f>+J25+K25+N25</f>
        <v>1503592.35</v>
      </c>
      <c r="P25" s="540">
        <f>+I25+O25</f>
        <v>1901868.51</v>
      </c>
      <c r="Q25" s="540"/>
      <c r="R25" s="540">
        <v>0</v>
      </c>
      <c r="S25" s="540">
        <v>0</v>
      </c>
      <c r="T25" s="540">
        <f>+S25+R25</f>
        <v>0</v>
      </c>
      <c r="U25" s="540">
        <v>0</v>
      </c>
      <c r="V25" s="540">
        <v>0</v>
      </c>
      <c r="W25" s="540">
        <v>0</v>
      </c>
      <c r="X25" s="541">
        <v>0</v>
      </c>
      <c r="Y25" s="542">
        <f>+W25+X25</f>
        <v>0</v>
      </c>
      <c r="Z25" s="541">
        <f>+U25+V25+Y25</f>
        <v>0</v>
      </c>
      <c r="AA25" s="542">
        <f>+T25+Z25</f>
        <v>0</v>
      </c>
      <c r="AB25" s="541">
        <v>0</v>
      </c>
      <c r="AC25" s="542">
        <f>D25+P25+AA25+AB25</f>
        <v>4322671.51</v>
      </c>
      <c r="AD25" s="92"/>
      <c r="AF25" s="1"/>
    </row>
    <row r="26" spans="1:32" s="21" customFormat="1" x14ac:dyDescent="0.25">
      <c r="A26" s="181" t="s">
        <v>93</v>
      </c>
      <c r="B26" s="540">
        <v>42477968</v>
      </c>
      <c r="C26" s="540">
        <v>264165988</v>
      </c>
      <c r="D26" s="540">
        <f>+C26+B26</f>
        <v>306643956</v>
      </c>
      <c r="E26" s="540"/>
      <c r="F26" s="540">
        <v>8846966</v>
      </c>
      <c r="G26" s="540">
        <v>50607699</v>
      </c>
      <c r="H26" s="540">
        <v>4531696</v>
      </c>
      <c r="I26" s="540">
        <f>+F26+G26+H26</f>
        <v>63986361</v>
      </c>
      <c r="J26" s="540">
        <v>7057016</v>
      </c>
      <c r="K26" s="540">
        <v>107217921</v>
      </c>
      <c r="L26" s="540">
        <v>55476578</v>
      </c>
      <c r="M26" s="540">
        <v>8149948</v>
      </c>
      <c r="N26" s="540">
        <f>+L26+M26</f>
        <v>63626526</v>
      </c>
      <c r="O26" s="540">
        <f>+J26+K26+N26</f>
        <v>177901463</v>
      </c>
      <c r="P26" s="540">
        <f>+I26+O26</f>
        <v>241887824</v>
      </c>
      <c r="Q26" s="540"/>
      <c r="R26" s="540">
        <v>0</v>
      </c>
      <c r="S26" s="540">
        <v>0</v>
      </c>
      <c r="T26" s="540">
        <f>+S26+R26</f>
        <v>0</v>
      </c>
      <c r="U26" s="540">
        <v>386615</v>
      </c>
      <c r="V26" s="540">
        <v>47900428</v>
      </c>
      <c r="W26" s="540">
        <v>20003338</v>
      </c>
      <c r="X26" s="541">
        <v>4380946</v>
      </c>
      <c r="Y26" s="542">
        <f>+W26+X26</f>
        <v>24384284</v>
      </c>
      <c r="Z26" s="541">
        <f>+U26+V26+Y26</f>
        <v>72671327</v>
      </c>
      <c r="AA26" s="542">
        <f>+T26+Z26</f>
        <v>72671327</v>
      </c>
      <c r="AB26" s="541">
        <v>0</v>
      </c>
      <c r="AC26" s="542">
        <f>D26+P26+AA26+AB26</f>
        <v>621203107</v>
      </c>
      <c r="AD26" s="92"/>
      <c r="AE26" s="539">
        <f>AA26/'[1]Util Rev and Load Data'!$AA$26-1</f>
        <v>1.0036524794498458E-2</v>
      </c>
    </row>
    <row r="27" spans="1:32" s="21" customFormat="1" x14ac:dyDescent="0.25">
      <c r="A27" s="181" t="s">
        <v>94</v>
      </c>
      <c r="B27" s="540">
        <v>540680</v>
      </c>
      <c r="C27" s="540">
        <v>3706136.14</v>
      </c>
      <c r="D27" s="540">
        <f t="shared" ref="D27:D39" si="0">+C27+B27</f>
        <v>4246816.1400000006</v>
      </c>
      <c r="E27" s="540"/>
      <c r="F27" s="540">
        <v>75741</v>
      </c>
      <c r="G27" s="540">
        <v>824832.48</v>
      </c>
      <c r="H27" s="540">
        <v>42892</v>
      </c>
      <c r="I27" s="540">
        <f t="shared" ref="I27:I39" si="1">+F27+G27+H27</f>
        <v>943465.48</v>
      </c>
      <c r="J27" s="540">
        <v>57880.59</v>
      </c>
      <c r="K27" s="540">
        <v>522551.63</v>
      </c>
      <c r="L27" s="540">
        <v>366387.95</v>
      </c>
      <c r="M27" s="540">
        <v>0</v>
      </c>
      <c r="N27" s="540">
        <f t="shared" ref="N27:N39" si="2">+L27+M27</f>
        <v>366387.95</v>
      </c>
      <c r="O27" s="540">
        <f t="shared" ref="O27:O39" si="3">+J27+K27+N27</f>
        <v>946820.16999999993</v>
      </c>
      <c r="P27" s="540">
        <f t="shared" ref="P27:P39" si="4">+I27+O27</f>
        <v>1890285.65</v>
      </c>
      <c r="Q27" s="540"/>
      <c r="R27" s="540">
        <v>0</v>
      </c>
      <c r="S27" s="540">
        <v>0</v>
      </c>
      <c r="T27" s="540">
        <f t="shared" ref="T27:T39" si="5">+S27+R27</f>
        <v>0</v>
      </c>
      <c r="U27" s="540">
        <v>0</v>
      </c>
      <c r="V27" s="540">
        <v>0</v>
      </c>
      <c r="W27" s="540">
        <v>0</v>
      </c>
      <c r="X27" s="541">
        <v>0</v>
      </c>
      <c r="Y27" s="542">
        <f t="shared" ref="Y27:Y39" si="6">+W27+X27</f>
        <v>0</v>
      </c>
      <c r="Z27" s="541">
        <f t="shared" ref="Z27:Z39" si="7">+U27+V27+Y27</f>
        <v>0</v>
      </c>
      <c r="AA27" s="542">
        <f t="shared" ref="AA27:AA39" si="8">+T27+Z27</f>
        <v>0</v>
      </c>
      <c r="AB27" s="541">
        <v>0</v>
      </c>
      <c r="AC27" s="542">
        <f t="shared" ref="AC27:AC39" si="9">D27+P27+AA27+AB27</f>
        <v>6137101.790000001</v>
      </c>
      <c r="AD27" s="92"/>
    </row>
    <row r="28" spans="1:32" s="21" customFormat="1" x14ac:dyDescent="0.25">
      <c r="A28" s="181" t="s">
        <v>95</v>
      </c>
      <c r="B28" s="540">
        <v>227017.54</v>
      </c>
      <c r="C28" s="540">
        <v>1327581.3400000001</v>
      </c>
      <c r="D28" s="540">
        <f t="shared" si="0"/>
        <v>1554598.8800000001</v>
      </c>
      <c r="E28" s="540"/>
      <c r="F28" s="540">
        <v>38977.199999999997</v>
      </c>
      <c r="G28" s="540">
        <v>573963.62</v>
      </c>
      <c r="H28" s="540">
        <v>12018.869999999999</v>
      </c>
      <c r="I28" s="540">
        <f t="shared" si="1"/>
        <v>624959.68999999994</v>
      </c>
      <c r="J28" s="540">
        <v>10052.64</v>
      </c>
      <c r="K28" s="540">
        <v>161472.9</v>
      </c>
      <c r="L28" s="540">
        <v>103972.89000000001</v>
      </c>
      <c r="M28" s="540">
        <v>0</v>
      </c>
      <c r="N28" s="540">
        <f t="shared" si="2"/>
        <v>103972.89000000001</v>
      </c>
      <c r="O28" s="540">
        <f t="shared" si="3"/>
        <v>275498.43</v>
      </c>
      <c r="P28" s="540">
        <f t="shared" si="4"/>
        <v>900458.11999999988</v>
      </c>
      <c r="Q28" s="540"/>
      <c r="R28" s="540">
        <v>0</v>
      </c>
      <c r="S28" s="540">
        <v>0</v>
      </c>
      <c r="T28" s="540">
        <f t="shared" si="5"/>
        <v>0</v>
      </c>
      <c r="U28" s="540">
        <v>0</v>
      </c>
      <c r="V28" s="540">
        <v>0</v>
      </c>
      <c r="W28" s="540">
        <v>0</v>
      </c>
      <c r="X28" s="541">
        <v>0</v>
      </c>
      <c r="Y28" s="542">
        <f t="shared" si="6"/>
        <v>0</v>
      </c>
      <c r="Z28" s="541">
        <f t="shared" si="7"/>
        <v>0</v>
      </c>
      <c r="AA28" s="542">
        <f t="shared" si="8"/>
        <v>0</v>
      </c>
      <c r="AB28" s="541">
        <v>0</v>
      </c>
      <c r="AC28" s="542">
        <f t="shared" si="9"/>
        <v>2455057</v>
      </c>
      <c r="AD28" s="92"/>
    </row>
    <row r="29" spans="1:32" s="21" customFormat="1" x14ac:dyDescent="0.25">
      <c r="A29" s="181" t="s">
        <v>96</v>
      </c>
      <c r="B29" s="540">
        <v>64094.739999999991</v>
      </c>
      <c r="C29" s="540">
        <v>583655.24999999988</v>
      </c>
      <c r="D29" s="540">
        <f t="shared" si="0"/>
        <v>647749.98999999987</v>
      </c>
      <c r="E29" s="540"/>
      <c r="F29" s="540">
        <v>4365.2099999999991</v>
      </c>
      <c r="G29" s="540">
        <v>108544.16999999998</v>
      </c>
      <c r="H29" s="540">
        <v>3444.8600000000006</v>
      </c>
      <c r="I29" s="540">
        <f t="shared" si="1"/>
        <v>116354.23999999998</v>
      </c>
      <c r="J29" s="540">
        <v>984.96000000000015</v>
      </c>
      <c r="K29" s="540">
        <v>77904.350000000006</v>
      </c>
      <c r="L29" s="540">
        <v>61485.279999999999</v>
      </c>
      <c r="M29" s="540">
        <v>0</v>
      </c>
      <c r="N29" s="540">
        <f t="shared" si="2"/>
        <v>61485.279999999999</v>
      </c>
      <c r="O29" s="540">
        <f t="shared" si="3"/>
        <v>140374.59000000003</v>
      </c>
      <c r="P29" s="540">
        <f t="shared" si="4"/>
        <v>256728.83000000002</v>
      </c>
      <c r="Q29" s="540"/>
      <c r="R29" s="540">
        <v>0</v>
      </c>
      <c r="S29" s="540">
        <v>0</v>
      </c>
      <c r="T29" s="540">
        <f t="shared" si="5"/>
        <v>0</v>
      </c>
      <c r="U29" s="540">
        <v>0</v>
      </c>
      <c r="V29" s="540">
        <v>0</v>
      </c>
      <c r="W29" s="540">
        <v>0</v>
      </c>
      <c r="X29" s="541">
        <v>0</v>
      </c>
      <c r="Y29" s="542">
        <f t="shared" si="6"/>
        <v>0</v>
      </c>
      <c r="Z29" s="541">
        <f t="shared" si="7"/>
        <v>0</v>
      </c>
      <c r="AA29" s="542">
        <f t="shared" si="8"/>
        <v>0</v>
      </c>
      <c r="AB29" s="541">
        <v>0</v>
      </c>
      <c r="AC29" s="542">
        <f t="shared" si="9"/>
        <v>904478.81999999983</v>
      </c>
      <c r="AD29" s="92"/>
    </row>
    <row r="30" spans="1:32" s="21" customFormat="1" x14ac:dyDescent="0.25">
      <c r="A30" s="181" t="s">
        <v>97</v>
      </c>
      <c r="B30" s="540">
        <v>119081</v>
      </c>
      <c r="C30" s="540">
        <v>817908</v>
      </c>
      <c r="D30" s="540">
        <f t="shared" si="0"/>
        <v>936989</v>
      </c>
      <c r="E30" s="540"/>
      <c r="F30" s="540">
        <v>32851</v>
      </c>
      <c r="G30" s="540">
        <v>221392</v>
      </c>
      <c r="H30" s="540">
        <v>15227</v>
      </c>
      <c r="I30" s="540">
        <f t="shared" si="1"/>
        <v>269470</v>
      </c>
      <c r="J30" s="540">
        <v>13487</v>
      </c>
      <c r="K30" s="540">
        <v>565684</v>
      </c>
      <c r="L30" s="540">
        <v>291873</v>
      </c>
      <c r="M30" s="540">
        <v>0</v>
      </c>
      <c r="N30" s="540">
        <f t="shared" si="2"/>
        <v>291873</v>
      </c>
      <c r="O30" s="540">
        <f t="shared" si="3"/>
        <v>871044</v>
      </c>
      <c r="P30" s="540">
        <f t="shared" si="4"/>
        <v>1140514</v>
      </c>
      <c r="Q30" s="540"/>
      <c r="R30" s="540">
        <v>0</v>
      </c>
      <c r="S30" s="540">
        <v>0</v>
      </c>
      <c r="T30" s="540">
        <f t="shared" si="5"/>
        <v>0</v>
      </c>
      <c r="U30" s="540">
        <v>0</v>
      </c>
      <c r="V30" s="540">
        <v>0</v>
      </c>
      <c r="W30" s="540">
        <v>0</v>
      </c>
      <c r="X30" s="541">
        <v>0</v>
      </c>
      <c r="Y30" s="542">
        <f t="shared" si="6"/>
        <v>0</v>
      </c>
      <c r="Z30" s="541">
        <f t="shared" si="7"/>
        <v>0</v>
      </c>
      <c r="AA30" s="542">
        <f t="shared" si="8"/>
        <v>0</v>
      </c>
      <c r="AB30" s="541">
        <v>0</v>
      </c>
      <c r="AC30" s="542">
        <f t="shared" si="9"/>
        <v>2077503</v>
      </c>
      <c r="AD30" s="104"/>
    </row>
    <row r="31" spans="1:32" s="21" customFormat="1" x14ac:dyDescent="0.25">
      <c r="A31" s="181" t="s">
        <v>98</v>
      </c>
      <c r="B31" s="540">
        <v>349281</v>
      </c>
      <c r="C31" s="540">
        <v>1976487</v>
      </c>
      <c r="D31" s="540">
        <f t="shared" si="0"/>
        <v>2325768</v>
      </c>
      <c r="E31" s="540"/>
      <c r="F31" s="540">
        <v>157055</v>
      </c>
      <c r="G31" s="540">
        <v>526442</v>
      </c>
      <c r="H31" s="540">
        <v>92365</v>
      </c>
      <c r="I31" s="540">
        <f t="shared" si="1"/>
        <v>775862</v>
      </c>
      <c r="J31" s="540">
        <v>156884</v>
      </c>
      <c r="K31" s="540">
        <v>1067959</v>
      </c>
      <c r="L31" s="540">
        <v>668101</v>
      </c>
      <c r="M31" s="540">
        <v>0</v>
      </c>
      <c r="N31" s="540">
        <f t="shared" si="2"/>
        <v>668101</v>
      </c>
      <c r="O31" s="540">
        <f t="shared" si="3"/>
        <v>1892944</v>
      </c>
      <c r="P31" s="540">
        <f t="shared" si="4"/>
        <v>2668806</v>
      </c>
      <c r="Q31" s="540"/>
      <c r="R31" s="540">
        <v>0</v>
      </c>
      <c r="S31" s="540">
        <v>0</v>
      </c>
      <c r="T31" s="540">
        <f t="shared" si="5"/>
        <v>0</v>
      </c>
      <c r="U31" s="540">
        <v>54362</v>
      </c>
      <c r="V31" s="540">
        <v>1369775</v>
      </c>
      <c r="W31" s="541">
        <v>1106851</v>
      </c>
      <c r="X31" s="541">
        <v>0</v>
      </c>
      <c r="Y31" s="542">
        <f t="shared" si="6"/>
        <v>1106851</v>
      </c>
      <c r="Z31" s="541">
        <f t="shared" si="7"/>
        <v>2530988</v>
      </c>
      <c r="AA31" s="542">
        <f t="shared" si="8"/>
        <v>2530988</v>
      </c>
      <c r="AB31" s="541">
        <v>0</v>
      </c>
      <c r="AC31" s="542">
        <f t="shared" si="9"/>
        <v>7525562</v>
      </c>
      <c r="AD31" s="92"/>
    </row>
    <row r="32" spans="1:32" s="21" customFormat="1" x14ac:dyDescent="0.25">
      <c r="A32" s="181" t="s">
        <v>99</v>
      </c>
      <c r="B32" s="540">
        <v>549504.35</v>
      </c>
      <c r="C32" s="540">
        <v>4498387.7784730736</v>
      </c>
      <c r="D32" s="540">
        <f>+C32+B32</f>
        <v>5047892.1284730732</v>
      </c>
      <c r="E32" s="540"/>
      <c r="F32" s="540">
        <v>173450.05</v>
      </c>
      <c r="G32" s="540">
        <v>1662562.4985402625</v>
      </c>
      <c r="H32" s="540">
        <v>100727.97259940956</v>
      </c>
      <c r="I32" s="540">
        <f>+F32+G32+H32</f>
        <v>1936740.521139672</v>
      </c>
      <c r="J32" s="540">
        <v>87552.760000000009</v>
      </c>
      <c r="K32" s="540">
        <v>1297561.4368854989</v>
      </c>
      <c r="L32" s="540">
        <v>954812.72379999992</v>
      </c>
      <c r="M32" s="540">
        <v>0</v>
      </c>
      <c r="N32" s="540">
        <f>+L32+M32</f>
        <v>954812.72379999992</v>
      </c>
      <c r="O32" s="540">
        <f>+J32+K32+N32</f>
        <v>2339926.920685499</v>
      </c>
      <c r="P32" s="540">
        <f>+I32+O32</f>
        <v>4276667.441825171</v>
      </c>
      <c r="Q32" s="540"/>
      <c r="R32" s="540">
        <v>0</v>
      </c>
      <c r="S32" s="540">
        <v>0</v>
      </c>
      <c r="T32" s="540">
        <f>+S32+R32</f>
        <v>0</v>
      </c>
      <c r="U32" s="540">
        <v>0</v>
      </c>
      <c r="V32" s="540">
        <v>0</v>
      </c>
      <c r="W32" s="540">
        <v>0</v>
      </c>
      <c r="X32" s="541">
        <v>0</v>
      </c>
      <c r="Y32" s="542">
        <f>+W32+X32</f>
        <v>0</v>
      </c>
      <c r="Z32" s="541">
        <f>+U32+V32+Y32</f>
        <v>0</v>
      </c>
      <c r="AA32" s="542">
        <f>+T32+Z32</f>
        <v>0</v>
      </c>
      <c r="AB32" s="541">
        <v>0</v>
      </c>
      <c r="AC32" s="542">
        <f>D32+P32+AA32+AB32</f>
        <v>9324559.5702982433</v>
      </c>
      <c r="AD32" s="92"/>
      <c r="AF32" s="35"/>
    </row>
    <row r="33" spans="1:34" s="21" customFormat="1" x14ac:dyDescent="0.25">
      <c r="A33" s="181" t="s">
        <v>100</v>
      </c>
      <c r="B33" s="540">
        <v>378432.73</v>
      </c>
      <c r="C33" s="540">
        <v>3235247.26</v>
      </c>
      <c r="D33" s="540">
        <f t="shared" si="0"/>
        <v>3613679.9899999998</v>
      </c>
      <c r="E33" s="540"/>
      <c r="F33" s="540">
        <v>76332.030000000013</v>
      </c>
      <c r="G33" s="540">
        <v>668013.12</v>
      </c>
      <c r="H33" s="540">
        <v>22555.86</v>
      </c>
      <c r="I33" s="540">
        <f t="shared" si="1"/>
        <v>766901.01</v>
      </c>
      <c r="J33" s="540">
        <v>64773.24</v>
      </c>
      <c r="K33" s="540">
        <v>2102544.7000000002</v>
      </c>
      <c r="L33" s="540">
        <v>553231.89999999991</v>
      </c>
      <c r="M33" s="540">
        <v>0</v>
      </c>
      <c r="N33" s="540">
        <f t="shared" si="2"/>
        <v>553231.89999999991</v>
      </c>
      <c r="O33" s="540">
        <f t="shared" si="3"/>
        <v>2720549.8400000003</v>
      </c>
      <c r="P33" s="540">
        <f t="shared" si="4"/>
        <v>3487450.8500000006</v>
      </c>
      <c r="Q33" s="540"/>
      <c r="R33" s="540">
        <v>0</v>
      </c>
      <c r="S33" s="540">
        <v>0</v>
      </c>
      <c r="T33" s="540">
        <f t="shared" si="5"/>
        <v>0</v>
      </c>
      <c r="U33" s="540">
        <v>0</v>
      </c>
      <c r="V33" s="540">
        <v>0</v>
      </c>
      <c r="W33" s="540">
        <v>0</v>
      </c>
      <c r="X33" s="541">
        <v>0</v>
      </c>
      <c r="Y33" s="542">
        <f t="shared" si="6"/>
        <v>0</v>
      </c>
      <c r="Z33" s="541">
        <f t="shared" si="7"/>
        <v>0</v>
      </c>
      <c r="AA33" s="542">
        <f t="shared" si="8"/>
        <v>0</v>
      </c>
      <c r="AB33" s="541">
        <v>0</v>
      </c>
      <c r="AC33" s="542">
        <f t="shared" si="9"/>
        <v>7101130.8399999999</v>
      </c>
      <c r="AD33" s="92"/>
    </row>
    <row r="34" spans="1:34" s="21" customFormat="1" x14ac:dyDescent="0.25">
      <c r="A34" s="181" t="s">
        <v>101</v>
      </c>
      <c r="B34" s="540">
        <v>155866.59</v>
      </c>
      <c r="C34" s="540">
        <v>1303225.3999999999</v>
      </c>
      <c r="D34" s="540">
        <f>+C34+B34</f>
        <v>1459091.99</v>
      </c>
      <c r="E34" s="540"/>
      <c r="F34" s="540">
        <v>37296.620000000003</v>
      </c>
      <c r="G34" s="540">
        <v>322098.48517135473</v>
      </c>
      <c r="H34" s="540">
        <v>25476.22</v>
      </c>
      <c r="I34" s="540">
        <f>+F34+G34+H34</f>
        <v>384871.32517135469</v>
      </c>
      <c r="J34" s="540">
        <v>5928.12</v>
      </c>
      <c r="K34" s="540">
        <v>672030.57482864545</v>
      </c>
      <c r="L34" s="540">
        <v>172031.21000000002</v>
      </c>
      <c r="M34" s="540">
        <v>0</v>
      </c>
      <c r="N34" s="540">
        <f>+L34+M34</f>
        <v>172031.21000000002</v>
      </c>
      <c r="O34" s="540">
        <f>+J34+K34+N34</f>
        <v>849989.90482864552</v>
      </c>
      <c r="P34" s="540">
        <f>+I34+O34</f>
        <v>1234861.2300000002</v>
      </c>
      <c r="Q34" s="540"/>
      <c r="R34" s="540">
        <v>0</v>
      </c>
      <c r="S34" s="540">
        <v>0</v>
      </c>
      <c r="T34" s="540">
        <f>+S34+R34</f>
        <v>0</v>
      </c>
      <c r="U34" s="540">
        <v>6088.68</v>
      </c>
      <c r="V34" s="540">
        <v>871534.83000000007</v>
      </c>
      <c r="W34" s="540">
        <v>111414.68</v>
      </c>
      <c r="X34" s="541">
        <v>0</v>
      </c>
      <c r="Y34" s="542">
        <f>+W34+X34</f>
        <v>111414.68</v>
      </c>
      <c r="Z34" s="541">
        <f>+U34+V34+Y34</f>
        <v>989038.19000000018</v>
      </c>
      <c r="AA34" s="542">
        <f>+T34+Z34</f>
        <v>989038.19000000018</v>
      </c>
      <c r="AB34" s="541">
        <v>0</v>
      </c>
      <c r="AC34" s="542">
        <f>D34+P34+AA34+AB34</f>
        <v>3682991.41</v>
      </c>
      <c r="AD34" s="103"/>
    </row>
    <row r="35" spans="1:34" s="21" customFormat="1" x14ac:dyDescent="0.25">
      <c r="A35" s="181" t="s">
        <v>102</v>
      </c>
      <c r="B35" s="540">
        <v>68784.95</v>
      </c>
      <c r="C35" s="540">
        <v>456910.5</v>
      </c>
      <c r="D35" s="540">
        <f t="shared" si="0"/>
        <v>525695.44999999995</v>
      </c>
      <c r="E35" s="540"/>
      <c r="F35" s="540">
        <v>25111.200000000001</v>
      </c>
      <c r="G35" s="540">
        <v>270853.24</v>
      </c>
      <c r="H35" s="540">
        <v>15797</v>
      </c>
      <c r="I35" s="540">
        <f t="shared" si="1"/>
        <v>311761.44</v>
      </c>
      <c r="J35" s="540">
        <v>0</v>
      </c>
      <c r="K35" s="540">
        <v>0</v>
      </c>
      <c r="L35" s="540">
        <v>0</v>
      </c>
      <c r="M35" s="540">
        <v>0</v>
      </c>
      <c r="N35" s="540">
        <f t="shared" si="2"/>
        <v>0</v>
      </c>
      <c r="O35" s="540">
        <f t="shared" si="3"/>
        <v>0</v>
      </c>
      <c r="P35" s="540">
        <f t="shared" si="4"/>
        <v>311761.44</v>
      </c>
      <c r="Q35" s="540"/>
      <c r="R35" s="540">
        <v>0</v>
      </c>
      <c r="S35" s="540">
        <v>0</v>
      </c>
      <c r="T35" s="540">
        <f t="shared" si="5"/>
        <v>0</v>
      </c>
      <c r="U35" s="540">
        <v>15816.53</v>
      </c>
      <c r="V35" s="540">
        <v>666907.28</v>
      </c>
      <c r="W35" s="540">
        <v>309978.44</v>
      </c>
      <c r="X35" s="541">
        <v>0</v>
      </c>
      <c r="Y35" s="542">
        <f t="shared" si="6"/>
        <v>309978.44</v>
      </c>
      <c r="Z35" s="541">
        <f t="shared" si="7"/>
        <v>992702.25</v>
      </c>
      <c r="AA35" s="542">
        <f t="shared" si="8"/>
        <v>992702.25</v>
      </c>
      <c r="AB35" s="541">
        <v>0</v>
      </c>
      <c r="AC35" s="542">
        <f t="shared" si="9"/>
        <v>1830159.14</v>
      </c>
      <c r="AD35" s="92"/>
    </row>
    <row r="36" spans="1:34" s="21" customFormat="1" x14ac:dyDescent="0.25">
      <c r="A36" s="181" t="s">
        <v>168</v>
      </c>
      <c r="B36" s="540">
        <v>624351.24</v>
      </c>
      <c r="C36" s="540">
        <v>4288323.95</v>
      </c>
      <c r="D36" s="540">
        <f t="shared" si="0"/>
        <v>4912675.1900000004</v>
      </c>
      <c r="E36" s="540"/>
      <c r="F36" s="540">
        <v>126206.64</v>
      </c>
      <c r="G36" s="540">
        <v>1234740.5900000001</v>
      </c>
      <c r="H36" s="540">
        <v>2418.52</v>
      </c>
      <c r="I36" s="540">
        <f t="shared" si="1"/>
        <v>1363365.75</v>
      </c>
      <c r="J36" s="540">
        <v>195027.84</v>
      </c>
      <c r="K36" s="540">
        <v>3028967.21</v>
      </c>
      <c r="L36" s="540">
        <v>1501125.83</v>
      </c>
      <c r="M36" s="540">
        <v>0</v>
      </c>
      <c r="N36" s="540">
        <f t="shared" si="2"/>
        <v>1501125.83</v>
      </c>
      <c r="O36" s="540">
        <f t="shared" si="3"/>
        <v>4725120.88</v>
      </c>
      <c r="P36" s="540">
        <f t="shared" si="4"/>
        <v>6088486.6299999999</v>
      </c>
      <c r="Q36" s="540"/>
      <c r="R36" s="540">
        <v>0</v>
      </c>
      <c r="S36" s="540">
        <v>0</v>
      </c>
      <c r="T36" s="540">
        <f t="shared" si="5"/>
        <v>0</v>
      </c>
      <c r="U36" s="540">
        <v>108181.08</v>
      </c>
      <c r="V36" s="540">
        <v>588721.15</v>
      </c>
      <c r="W36" s="540">
        <v>497496.12</v>
      </c>
      <c r="X36" s="541">
        <v>0</v>
      </c>
      <c r="Y36" s="542">
        <f t="shared" si="6"/>
        <v>497496.12</v>
      </c>
      <c r="Z36" s="541">
        <f t="shared" si="7"/>
        <v>1194398.3500000001</v>
      </c>
      <c r="AA36" s="542">
        <f t="shared" si="8"/>
        <v>1194398.3500000001</v>
      </c>
      <c r="AB36" s="541">
        <v>0</v>
      </c>
      <c r="AC36" s="542">
        <f t="shared" si="9"/>
        <v>12195560.17</v>
      </c>
      <c r="AD36" s="103"/>
    </row>
    <row r="37" spans="1:34" s="21" customFormat="1" x14ac:dyDescent="0.25">
      <c r="A37" s="181" t="s">
        <v>104</v>
      </c>
      <c r="B37" s="843">
        <v>277399.01</v>
      </c>
      <c r="C37" s="843">
        <v>3333602.17</v>
      </c>
      <c r="D37" s="540">
        <f t="shared" si="0"/>
        <v>3611001.1799999997</v>
      </c>
      <c r="E37" s="540"/>
      <c r="F37" s="540">
        <v>32456.16</v>
      </c>
      <c r="G37" s="540">
        <v>415920.45</v>
      </c>
      <c r="H37" s="540">
        <v>26887.01</v>
      </c>
      <c r="I37" s="540">
        <f t="shared" si="1"/>
        <v>475263.62</v>
      </c>
      <c r="J37" s="540">
        <v>31779.440000000002</v>
      </c>
      <c r="K37" s="540">
        <v>1498611.9</v>
      </c>
      <c r="L37" s="540">
        <v>1264423.1300000001</v>
      </c>
      <c r="M37" s="540">
        <v>0</v>
      </c>
      <c r="N37" s="540">
        <f t="shared" si="2"/>
        <v>1264423.1300000001</v>
      </c>
      <c r="O37" s="540">
        <f t="shared" si="3"/>
        <v>2794814.4699999997</v>
      </c>
      <c r="P37" s="540">
        <f t="shared" si="4"/>
        <v>3270078.09</v>
      </c>
      <c r="Q37" s="540"/>
      <c r="R37" s="540">
        <v>0</v>
      </c>
      <c r="S37" s="540">
        <v>0</v>
      </c>
      <c r="T37" s="540">
        <f t="shared" si="5"/>
        <v>0</v>
      </c>
      <c r="U37" s="540">
        <v>0</v>
      </c>
      <c r="V37" s="540">
        <v>0</v>
      </c>
      <c r="W37" s="540">
        <v>0</v>
      </c>
      <c r="X37" s="541">
        <v>0</v>
      </c>
      <c r="Y37" s="542">
        <f t="shared" si="6"/>
        <v>0</v>
      </c>
      <c r="Z37" s="541">
        <f t="shared" si="7"/>
        <v>0</v>
      </c>
      <c r="AA37" s="542">
        <f t="shared" si="8"/>
        <v>0</v>
      </c>
      <c r="AB37" s="541">
        <v>0</v>
      </c>
      <c r="AC37" s="542">
        <f t="shared" si="9"/>
        <v>6881079.2699999996</v>
      </c>
      <c r="AD37" s="92"/>
    </row>
    <row r="38" spans="1:34" s="21" customFormat="1" x14ac:dyDescent="0.25">
      <c r="A38" s="181" t="s">
        <v>105</v>
      </c>
      <c r="B38" s="540">
        <v>7595721</v>
      </c>
      <c r="C38" s="540">
        <v>37892280</v>
      </c>
      <c r="D38" s="540">
        <f t="shared" si="0"/>
        <v>45488001</v>
      </c>
      <c r="E38" s="540"/>
      <c r="F38" s="540">
        <v>1041266</v>
      </c>
      <c r="G38" s="540">
        <v>10377746</v>
      </c>
      <c r="H38" s="540">
        <v>674399</v>
      </c>
      <c r="I38" s="540">
        <f t="shared" si="1"/>
        <v>12093411</v>
      </c>
      <c r="J38" s="540">
        <v>56063</v>
      </c>
      <c r="K38" s="540">
        <v>6935498</v>
      </c>
      <c r="L38" s="540">
        <v>2122502</v>
      </c>
      <c r="M38" s="540">
        <v>0</v>
      </c>
      <c r="N38" s="540">
        <f t="shared" si="2"/>
        <v>2122502</v>
      </c>
      <c r="O38" s="540">
        <f t="shared" si="3"/>
        <v>9114063</v>
      </c>
      <c r="P38" s="540">
        <f t="shared" si="4"/>
        <v>21207474</v>
      </c>
      <c r="Q38" s="540"/>
      <c r="R38" s="540">
        <v>11528</v>
      </c>
      <c r="S38" s="540">
        <v>784030</v>
      </c>
      <c r="T38" s="540">
        <f t="shared" si="5"/>
        <v>795558</v>
      </c>
      <c r="U38" s="540">
        <v>28819</v>
      </c>
      <c r="V38" s="540">
        <v>6794233</v>
      </c>
      <c r="W38" s="540">
        <v>1956120</v>
      </c>
      <c r="X38" s="541">
        <v>0</v>
      </c>
      <c r="Y38" s="542">
        <f t="shared" si="6"/>
        <v>1956120</v>
      </c>
      <c r="Z38" s="541">
        <f t="shared" si="7"/>
        <v>8779172</v>
      </c>
      <c r="AA38" s="542">
        <f t="shared" si="8"/>
        <v>9574730</v>
      </c>
      <c r="AB38" s="541">
        <v>0</v>
      </c>
      <c r="AC38" s="542">
        <f t="shared" si="9"/>
        <v>76270205</v>
      </c>
      <c r="AD38" s="103"/>
    </row>
    <row r="39" spans="1:34" s="226" customFormat="1" x14ac:dyDescent="0.25">
      <c r="A39" s="391" t="s">
        <v>106</v>
      </c>
      <c r="B39" s="860">
        <v>2619522</v>
      </c>
      <c r="C39" s="860">
        <v>12454351</v>
      </c>
      <c r="D39" s="860">
        <f t="shared" si="0"/>
        <v>15073873</v>
      </c>
      <c r="E39" s="860"/>
      <c r="F39" s="860">
        <v>181079</v>
      </c>
      <c r="G39" s="860">
        <v>1006879</v>
      </c>
      <c r="H39" s="860">
        <v>83355</v>
      </c>
      <c r="I39" s="860">
        <f t="shared" si="1"/>
        <v>1271313</v>
      </c>
      <c r="J39" s="860">
        <v>4504</v>
      </c>
      <c r="K39" s="860">
        <v>321736</v>
      </c>
      <c r="L39" s="860">
        <v>182170.47</v>
      </c>
      <c r="M39" s="860">
        <v>0</v>
      </c>
      <c r="N39" s="860">
        <f t="shared" si="2"/>
        <v>182170.47</v>
      </c>
      <c r="O39" s="860">
        <f t="shared" si="3"/>
        <v>508410.47</v>
      </c>
      <c r="P39" s="860">
        <f t="shared" si="4"/>
        <v>1779723.47</v>
      </c>
      <c r="Q39" s="860"/>
      <c r="R39" s="860">
        <v>0</v>
      </c>
      <c r="S39" s="860">
        <v>0</v>
      </c>
      <c r="T39" s="860">
        <f t="shared" si="5"/>
        <v>0</v>
      </c>
      <c r="U39" s="860">
        <v>0</v>
      </c>
      <c r="V39" s="860">
        <v>0</v>
      </c>
      <c r="W39" s="860">
        <v>0</v>
      </c>
      <c r="X39" s="863">
        <v>0</v>
      </c>
      <c r="Y39" s="864">
        <f t="shared" si="6"/>
        <v>0</v>
      </c>
      <c r="Z39" s="863">
        <f t="shared" si="7"/>
        <v>0</v>
      </c>
      <c r="AA39" s="864">
        <f t="shared" si="8"/>
        <v>0</v>
      </c>
      <c r="AB39" s="863">
        <v>0</v>
      </c>
      <c r="AC39" s="864">
        <f t="shared" si="9"/>
        <v>16853596.469999999</v>
      </c>
      <c r="AD39" s="225"/>
    </row>
    <row r="40" spans="1:34" s="29" customFormat="1" x14ac:dyDescent="0.25">
      <c r="A40" s="845" t="s">
        <v>107</v>
      </c>
      <c r="B40" s="846">
        <f>SUM(B24:B39)</f>
        <v>56480295.190000005</v>
      </c>
      <c r="C40" s="846">
        <f>SUM(C24:C39)</f>
        <v>344120371.27504444</v>
      </c>
      <c r="D40" s="846">
        <f>B40+C40</f>
        <v>400600666.46504444</v>
      </c>
      <c r="E40" s="846"/>
      <c r="F40" s="846">
        <f>SUM(F24:F39)</f>
        <v>10907397.229999999</v>
      </c>
      <c r="G40" s="846">
        <f>SUM(G24:G39)</f>
        <v>69351260.986121669</v>
      </c>
      <c r="H40" s="846">
        <f>SUM(H24:H39)</f>
        <v>5694661.0625994094</v>
      </c>
      <c r="I40" s="846">
        <f>F40+G40+H40</f>
        <v>85953319.278721079</v>
      </c>
      <c r="J40" s="846">
        <f>SUM(J24:J39)</f>
        <v>7781098.0700000003</v>
      </c>
      <c r="K40" s="846">
        <f>SUM(K24:K39)</f>
        <v>126962619.9233041</v>
      </c>
      <c r="L40" s="846">
        <f>SUM(L24:L39)</f>
        <v>64119020.733800009</v>
      </c>
      <c r="M40" s="846">
        <f>SUM(M24:M39)</f>
        <v>8149948</v>
      </c>
      <c r="N40" s="846">
        <f>L40+M40</f>
        <v>72268968.733800009</v>
      </c>
      <c r="O40" s="846">
        <f>J40+K40+N40</f>
        <v>207012686.72710413</v>
      </c>
      <c r="P40" s="846">
        <f>I40+O40</f>
        <v>292966006.00582522</v>
      </c>
      <c r="Q40" s="846"/>
      <c r="R40" s="846">
        <f>SUM(R24:R39)</f>
        <v>11528</v>
      </c>
      <c r="S40" s="846">
        <f>SUM(S24:S39)</f>
        <v>784030</v>
      </c>
      <c r="T40" s="846">
        <f>R40+S40</f>
        <v>795558</v>
      </c>
      <c r="U40" s="846">
        <f>SUM(U24:U39)</f>
        <v>599882.29</v>
      </c>
      <c r="V40" s="846">
        <f>SUM(V24:V39)</f>
        <v>58191599.259999998</v>
      </c>
      <c r="W40" s="846">
        <f>SUM(W24:W39)</f>
        <v>23985198.240000002</v>
      </c>
      <c r="X40" s="846">
        <f>SUM(X24:X39)</f>
        <v>4380946</v>
      </c>
      <c r="Y40" s="846">
        <f>W40+X40</f>
        <v>28366144.240000002</v>
      </c>
      <c r="Z40" s="846">
        <f>U40+V40+Y40</f>
        <v>87157625.789999992</v>
      </c>
      <c r="AA40" s="846">
        <f>T40+Z40</f>
        <v>87953183.789999992</v>
      </c>
      <c r="AB40" s="846">
        <f>SUM(AB24:AB39)</f>
        <v>0</v>
      </c>
      <c r="AC40" s="846">
        <f>SUM(AC24:AC39)</f>
        <v>781519856.26086962</v>
      </c>
      <c r="AD40" s="847">
        <f>SUM(AD24:AD39)</f>
        <v>0</v>
      </c>
    </row>
    <row r="41" spans="1:34" s="21" customFormat="1" x14ac:dyDescent="0.25">
      <c r="A41" s="90"/>
      <c r="B41" s="90"/>
      <c r="C41" s="91"/>
      <c r="D41" s="92"/>
      <c r="F41" s="90"/>
      <c r="G41" s="90"/>
      <c r="H41" s="90"/>
      <c r="I41" s="90"/>
      <c r="J41" s="90"/>
      <c r="K41" s="90"/>
      <c r="L41" s="90"/>
      <c r="M41" s="90"/>
      <c r="N41" s="90"/>
      <c r="O41" s="90"/>
      <c r="P41" s="90"/>
      <c r="Q41" s="90"/>
      <c r="R41" s="90"/>
      <c r="S41" s="90"/>
      <c r="T41" s="90"/>
      <c r="U41" s="90"/>
      <c r="V41" s="90"/>
      <c r="W41" s="90"/>
      <c r="X41" s="90"/>
      <c r="Y41" s="90"/>
      <c r="Z41" s="90"/>
      <c r="AA41" s="90"/>
      <c r="AB41" s="90"/>
      <c r="AC41" s="90"/>
      <c r="AD41" s="92"/>
    </row>
    <row r="42" spans="1:34" s="21" customFormat="1" x14ac:dyDescent="0.25">
      <c r="A42" s="90" t="s">
        <v>169</v>
      </c>
      <c r="B42" s="90">
        <f>B40</f>
        <v>56480295.190000005</v>
      </c>
      <c r="C42" s="90">
        <f t="shared" ref="C42:AD42" si="10">C40</f>
        <v>344120371.27504444</v>
      </c>
      <c r="D42" s="90">
        <f t="shared" si="10"/>
        <v>400600666.46504444</v>
      </c>
      <c r="E42" s="90"/>
      <c r="F42" s="90">
        <f t="shared" si="10"/>
        <v>10907397.229999999</v>
      </c>
      <c r="G42" s="90">
        <f t="shared" si="10"/>
        <v>69351260.986121669</v>
      </c>
      <c r="H42" s="90">
        <f t="shared" si="10"/>
        <v>5694661.0625994094</v>
      </c>
      <c r="I42" s="90">
        <f t="shared" si="10"/>
        <v>85953319.278721079</v>
      </c>
      <c r="J42" s="90">
        <f t="shared" si="10"/>
        <v>7781098.0700000003</v>
      </c>
      <c r="K42" s="90">
        <f t="shared" si="10"/>
        <v>126962619.9233041</v>
      </c>
      <c r="L42" s="90">
        <f t="shared" si="10"/>
        <v>64119020.733800009</v>
      </c>
      <c r="M42" s="90">
        <f t="shared" si="10"/>
        <v>8149948</v>
      </c>
      <c r="N42" s="90">
        <f t="shared" si="10"/>
        <v>72268968.733800009</v>
      </c>
      <c r="O42" s="90">
        <f t="shared" si="10"/>
        <v>207012686.72710413</v>
      </c>
      <c r="P42" s="90">
        <f t="shared" si="10"/>
        <v>292966006.00582522</v>
      </c>
      <c r="Q42" s="90"/>
      <c r="R42" s="90">
        <f t="shared" si="10"/>
        <v>11528</v>
      </c>
      <c r="S42" s="90">
        <f t="shared" si="10"/>
        <v>784030</v>
      </c>
      <c r="T42" s="90">
        <f t="shared" si="10"/>
        <v>795558</v>
      </c>
      <c r="U42" s="90">
        <f t="shared" si="10"/>
        <v>599882.29</v>
      </c>
      <c r="V42" s="90">
        <f t="shared" si="10"/>
        <v>58191599.259999998</v>
      </c>
      <c r="W42" s="90">
        <f t="shared" si="10"/>
        <v>23985198.240000002</v>
      </c>
      <c r="X42" s="90">
        <f t="shared" si="10"/>
        <v>4380946</v>
      </c>
      <c r="Y42" s="90">
        <f t="shared" si="10"/>
        <v>28366144.240000002</v>
      </c>
      <c r="Z42" s="90">
        <f t="shared" si="10"/>
        <v>87157625.789999992</v>
      </c>
      <c r="AA42" s="90">
        <f t="shared" si="10"/>
        <v>87953183.789999992</v>
      </c>
      <c r="AB42" s="90">
        <f t="shared" si="10"/>
        <v>0</v>
      </c>
      <c r="AC42" s="90">
        <f t="shared" si="10"/>
        <v>781519856.26086962</v>
      </c>
      <c r="AD42" s="92">
        <f t="shared" si="10"/>
        <v>0</v>
      </c>
      <c r="AH42" s="1"/>
    </row>
    <row r="43" spans="1:34" s="21" customFormat="1" x14ac:dyDescent="0.25">
      <c r="A43" s="90"/>
      <c r="B43" s="90"/>
      <c r="C43" s="91"/>
      <c r="D43" s="92"/>
      <c r="F43" s="90"/>
      <c r="G43" s="90"/>
      <c r="H43" s="90"/>
      <c r="I43" s="90"/>
      <c r="J43" s="90"/>
      <c r="K43" s="90"/>
      <c r="L43" s="90"/>
      <c r="M43" s="90"/>
      <c r="N43" s="90"/>
      <c r="O43" s="90"/>
      <c r="P43" s="90"/>
      <c r="Q43" s="90"/>
      <c r="R43" s="90"/>
      <c r="S43" s="90"/>
      <c r="T43" s="90"/>
      <c r="U43" s="90"/>
      <c r="V43" s="90"/>
      <c r="W43" s="90"/>
      <c r="X43" s="90"/>
      <c r="Y43" s="90"/>
      <c r="Z43" s="90"/>
      <c r="AA43" s="90"/>
      <c r="AB43" s="90"/>
      <c r="AC43" s="90"/>
      <c r="AD43" s="92"/>
    </row>
    <row r="44" spans="1:34" s="21" customFormat="1" ht="13.5" customHeight="1" x14ac:dyDescent="0.25">
      <c r="A44" s="90" t="s">
        <v>108</v>
      </c>
      <c r="B44" s="105" t="s">
        <v>170</v>
      </c>
      <c r="C44" s="83" t="s">
        <v>170</v>
      </c>
      <c r="D44" s="89">
        <f>D40+D21</f>
        <v>400600666.46504444</v>
      </c>
      <c r="E44" s="90"/>
      <c r="F44" s="105" t="s">
        <v>170</v>
      </c>
      <c r="G44" s="105" t="s">
        <v>170</v>
      </c>
      <c r="H44" s="89">
        <f>H40+H21</f>
        <v>5694661.0625994094</v>
      </c>
      <c r="I44" s="105" t="s">
        <v>170</v>
      </c>
      <c r="J44" s="105" t="s">
        <v>170</v>
      </c>
      <c r="K44" s="105" t="s">
        <v>170</v>
      </c>
      <c r="L44" s="105" t="s">
        <v>170</v>
      </c>
      <c r="M44" s="105" t="s">
        <v>170</v>
      </c>
      <c r="N44" s="105" t="s">
        <v>170</v>
      </c>
      <c r="O44" s="106" t="s">
        <v>170</v>
      </c>
      <c r="P44" s="89">
        <f>P40+P21</f>
        <v>292966006.00582522</v>
      </c>
      <c r="Q44" s="105"/>
      <c r="R44" s="105" t="s">
        <v>170</v>
      </c>
      <c r="S44" s="105" t="s">
        <v>170</v>
      </c>
      <c r="T44" s="105" t="s">
        <v>170</v>
      </c>
      <c r="U44" s="105" t="s">
        <v>170</v>
      </c>
      <c r="V44" s="105" t="s">
        <v>170</v>
      </c>
      <c r="W44" s="105" t="s">
        <v>170</v>
      </c>
      <c r="X44" s="105" t="s">
        <v>170</v>
      </c>
      <c r="Y44" s="105" t="s">
        <v>170</v>
      </c>
      <c r="Z44" s="105" t="s">
        <v>170</v>
      </c>
      <c r="AA44" s="89">
        <f>AA40+AA21</f>
        <v>137609940.78999999</v>
      </c>
      <c r="AB44" s="90"/>
      <c r="AC44" s="89">
        <f>AC40+AC21</f>
        <v>831176613.26086962</v>
      </c>
      <c r="AD44" s="92"/>
    </row>
    <row r="45" spans="1:34" s="21" customFormat="1" x14ac:dyDescent="0.25">
      <c r="A45" s="90"/>
      <c r="B45" s="90"/>
      <c r="C45" s="91"/>
      <c r="D45" s="92"/>
      <c r="E45" s="90"/>
      <c r="F45" s="90"/>
      <c r="G45" s="90"/>
      <c r="H45" s="90"/>
      <c r="I45" s="90"/>
      <c r="J45" s="90"/>
      <c r="K45" s="90"/>
      <c r="L45" s="90"/>
      <c r="M45" s="90"/>
      <c r="N45" s="90"/>
      <c r="O45" s="93"/>
      <c r="P45" s="90"/>
      <c r="Q45" s="90"/>
      <c r="R45" s="90"/>
      <c r="S45" s="90"/>
      <c r="T45" s="90"/>
      <c r="U45" s="90"/>
      <c r="V45" s="90"/>
      <c r="W45" s="90"/>
      <c r="X45" s="90"/>
      <c r="Y45" s="90"/>
      <c r="Z45" s="90"/>
      <c r="AA45" s="90"/>
      <c r="AB45" s="90"/>
      <c r="AC45" s="90"/>
      <c r="AD45" s="92"/>
    </row>
    <row r="46" spans="1:34" s="113" customFormat="1" x14ac:dyDescent="0.25">
      <c r="A46" s="107" t="s">
        <v>171</v>
      </c>
      <c r="B46" s="108" t="s">
        <v>170</v>
      </c>
      <c r="C46" s="109" t="s">
        <v>170</v>
      </c>
      <c r="D46" s="110"/>
      <c r="E46" s="108"/>
      <c r="F46" s="108" t="s">
        <v>170</v>
      </c>
      <c r="G46" s="108" t="s">
        <v>170</v>
      </c>
      <c r="H46" s="108"/>
      <c r="I46" s="108" t="s">
        <v>170</v>
      </c>
      <c r="J46" s="108" t="s">
        <v>170</v>
      </c>
      <c r="K46" s="108" t="s">
        <v>170</v>
      </c>
      <c r="L46" s="108" t="s">
        <v>170</v>
      </c>
      <c r="M46" s="108" t="s">
        <v>170</v>
      </c>
      <c r="N46" s="108" t="s">
        <v>170</v>
      </c>
      <c r="O46" s="111" t="s">
        <v>170</v>
      </c>
      <c r="P46" s="112"/>
      <c r="Q46" s="108"/>
      <c r="R46" s="108" t="s">
        <v>170</v>
      </c>
      <c r="S46" s="108" t="s">
        <v>170</v>
      </c>
      <c r="T46" s="108" t="s">
        <v>170</v>
      </c>
      <c r="U46" s="108" t="s">
        <v>170</v>
      </c>
      <c r="V46" s="108" t="s">
        <v>170</v>
      </c>
      <c r="W46" s="108" t="s">
        <v>170</v>
      </c>
      <c r="X46" s="108" t="s">
        <v>170</v>
      </c>
      <c r="Y46" s="108" t="s">
        <v>170</v>
      </c>
      <c r="Z46" s="108" t="s">
        <v>170</v>
      </c>
      <c r="AA46" s="112"/>
      <c r="AB46" s="108"/>
      <c r="AC46" s="112"/>
      <c r="AD46" s="110"/>
    </row>
    <row r="47" spans="1:34" s="21" customFormat="1" x14ac:dyDescent="0.25">
      <c r="A47" s="90"/>
      <c r="B47" s="90"/>
      <c r="C47" s="114"/>
      <c r="D47" s="92"/>
      <c r="E47" s="90"/>
      <c r="F47" s="90"/>
      <c r="G47" s="90"/>
      <c r="H47" s="90"/>
      <c r="I47" s="90"/>
      <c r="J47" s="90"/>
      <c r="K47" s="90"/>
      <c r="L47" s="90"/>
      <c r="M47" s="90"/>
      <c r="N47" s="90"/>
      <c r="O47" s="115"/>
      <c r="P47" s="90"/>
      <c r="Q47" s="90"/>
      <c r="R47" s="90"/>
      <c r="S47" s="90"/>
      <c r="T47" s="90"/>
      <c r="U47" s="90"/>
      <c r="V47" s="90"/>
      <c r="W47" s="90"/>
      <c r="X47" s="90"/>
      <c r="Y47" s="90"/>
      <c r="Z47" s="90"/>
      <c r="AA47" s="90"/>
      <c r="AB47" s="90"/>
      <c r="AC47" s="90"/>
      <c r="AD47" s="116"/>
    </row>
    <row r="48" spans="1:34" s="121" customFormat="1" ht="15.75" thickBot="1" x14ac:dyDescent="0.3">
      <c r="A48" s="117" t="s">
        <v>172</v>
      </c>
      <c r="B48" s="118" t="s">
        <v>170</v>
      </c>
      <c r="C48" s="119" t="s">
        <v>170</v>
      </c>
      <c r="D48" s="117">
        <f>D44-D46</f>
        <v>400600666.46504444</v>
      </c>
      <c r="E48" s="118"/>
      <c r="F48" s="118" t="s">
        <v>170</v>
      </c>
      <c r="G48" s="118" t="s">
        <v>170</v>
      </c>
      <c r="H48" s="117">
        <f>H44-H46</f>
        <v>5694661.0625994094</v>
      </c>
      <c r="I48" s="118" t="s">
        <v>170</v>
      </c>
      <c r="J48" s="118" t="s">
        <v>170</v>
      </c>
      <c r="K48" s="118" t="s">
        <v>170</v>
      </c>
      <c r="L48" s="118" t="s">
        <v>170</v>
      </c>
      <c r="M48" s="118" t="s">
        <v>170</v>
      </c>
      <c r="N48" s="118" t="s">
        <v>170</v>
      </c>
      <c r="O48" s="120" t="s">
        <v>170</v>
      </c>
      <c r="P48" s="117">
        <f>P44-P46</f>
        <v>292966006.00582522</v>
      </c>
      <c r="Q48" s="118"/>
      <c r="R48" s="118" t="s">
        <v>170</v>
      </c>
      <c r="S48" s="118" t="s">
        <v>170</v>
      </c>
      <c r="T48" s="118" t="s">
        <v>170</v>
      </c>
      <c r="U48" s="118" t="s">
        <v>170</v>
      </c>
      <c r="V48" s="118" t="s">
        <v>170</v>
      </c>
      <c r="W48" s="118" t="s">
        <v>170</v>
      </c>
      <c r="X48" s="118" t="s">
        <v>170</v>
      </c>
      <c r="Y48" s="118" t="s">
        <v>170</v>
      </c>
      <c r="Z48" s="118" t="s">
        <v>170</v>
      </c>
      <c r="AA48" s="117">
        <f>AA44-AA46</f>
        <v>137609940.78999999</v>
      </c>
      <c r="AB48" s="117">
        <f>AB44-AB46</f>
        <v>0</v>
      </c>
      <c r="AC48" s="117">
        <f>AC44-AC46</f>
        <v>831176613.26086962</v>
      </c>
      <c r="AD48" s="117"/>
    </row>
    <row r="49" spans="1:40" s="121" customFormat="1" ht="15.75" thickTop="1" x14ac:dyDescent="0.25">
      <c r="B49" s="1"/>
      <c r="C49" s="122"/>
      <c r="O49" s="123"/>
    </row>
    <row r="50" spans="1:40" x14ac:dyDescent="0.25">
      <c r="A50" s="3"/>
      <c r="B50" s="3"/>
      <c r="C50" s="3"/>
      <c r="D50" s="3"/>
      <c r="E50" s="3"/>
      <c r="F50" s="3"/>
      <c r="G50" s="3"/>
      <c r="H50" s="3"/>
      <c r="I50" s="3"/>
      <c r="J50" s="3"/>
      <c r="K50" s="3"/>
      <c r="L50" s="3"/>
      <c r="M50" s="3"/>
      <c r="N50" s="3"/>
      <c r="O50" s="3"/>
      <c r="P50" s="3"/>
      <c r="Q50" s="3"/>
      <c r="R50" s="3"/>
      <c r="S50" s="3"/>
      <c r="T50" s="3"/>
      <c r="U50" s="3"/>
      <c r="V50" s="3"/>
      <c r="W50" s="21"/>
      <c r="X50" s="3"/>
      <c r="Y50" s="3"/>
      <c r="Z50" s="3"/>
      <c r="AA50" s="3"/>
      <c r="AB50" s="3"/>
      <c r="AC50" s="3"/>
      <c r="AD50" s="3"/>
    </row>
    <row r="51" spans="1:40" x14ac:dyDescent="0.25">
      <c r="A51" s="3"/>
      <c r="B51" s="3"/>
      <c r="C51" s="3"/>
      <c r="D51" s="3"/>
      <c r="E51" s="3"/>
      <c r="F51" s="3"/>
      <c r="G51" s="3"/>
      <c r="H51" s="3"/>
      <c r="I51" s="3"/>
      <c r="J51" s="3"/>
      <c r="K51" s="3"/>
      <c r="L51" s="3"/>
      <c r="M51" s="3"/>
      <c r="N51" s="3"/>
      <c r="O51" s="3"/>
      <c r="P51" s="3"/>
      <c r="Q51" s="3"/>
      <c r="R51" s="3"/>
      <c r="S51" s="3"/>
      <c r="T51" s="3"/>
      <c r="U51" s="3"/>
      <c r="V51" s="3"/>
      <c r="W51" s="22"/>
      <c r="Y51" s="3"/>
      <c r="Z51" s="3"/>
      <c r="AA51" s="3"/>
      <c r="AB51" s="3"/>
      <c r="AC51" s="3"/>
      <c r="AD51" s="3"/>
    </row>
    <row r="52" spans="1:40" x14ac:dyDescent="0.25">
      <c r="A52" s="3"/>
      <c r="B52" s="3"/>
      <c r="C52" s="3"/>
      <c r="D52" s="3"/>
      <c r="E52" s="3"/>
      <c r="F52" s="3"/>
      <c r="G52" s="3"/>
      <c r="H52" s="3"/>
      <c r="I52" s="3"/>
      <c r="J52" s="3"/>
      <c r="K52" s="3"/>
      <c r="L52" s="3"/>
      <c r="M52" s="3"/>
      <c r="N52" s="3"/>
      <c r="O52" s="3"/>
      <c r="P52" s="3"/>
      <c r="Q52" s="3"/>
      <c r="R52" s="3"/>
      <c r="S52" s="3"/>
      <c r="T52" s="3"/>
      <c r="U52" s="3"/>
      <c r="V52" s="124"/>
      <c r="W52" s="125"/>
      <c r="X52" s="3"/>
      <c r="Y52" s="3"/>
      <c r="Z52" s="3"/>
      <c r="AA52" s="3"/>
      <c r="AB52" s="3"/>
      <c r="AC52" s="3"/>
      <c r="AD52" s="3"/>
    </row>
    <row r="53" spans="1:40"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row>
    <row r="54" spans="1:40" s="19" customFormat="1" ht="15.75" thickBot="1" x14ac:dyDescent="0.3">
      <c r="A54" s="19" t="s">
        <v>116</v>
      </c>
      <c r="B54" s="19" t="s">
        <v>117</v>
      </c>
      <c r="C54" s="72" t="s">
        <v>118</v>
      </c>
      <c r="D54" s="19" t="s">
        <v>119</v>
      </c>
      <c r="E54" s="19" t="s">
        <v>120</v>
      </c>
      <c r="F54" s="19" t="s">
        <v>121</v>
      </c>
      <c r="G54" s="19" t="s">
        <v>122</v>
      </c>
      <c r="H54" s="19" t="s">
        <v>123</v>
      </c>
      <c r="I54" s="19" t="s">
        <v>124</v>
      </c>
      <c r="J54" s="19" t="s">
        <v>125</v>
      </c>
      <c r="K54" s="19" t="s">
        <v>126</v>
      </c>
      <c r="L54" s="19" t="s">
        <v>127</v>
      </c>
      <c r="M54" s="19" t="s">
        <v>128</v>
      </c>
      <c r="N54" s="19" t="s">
        <v>129</v>
      </c>
      <c r="O54" s="73" t="s">
        <v>130</v>
      </c>
      <c r="P54" s="19" t="s">
        <v>131</v>
      </c>
      <c r="Q54" s="19" t="s">
        <v>132</v>
      </c>
      <c r="R54" s="19" t="s">
        <v>133</v>
      </c>
      <c r="S54" s="74" t="s">
        <v>134</v>
      </c>
      <c r="T54" s="74" t="s">
        <v>135</v>
      </c>
      <c r="U54" s="74" t="s">
        <v>136</v>
      </c>
      <c r="V54" s="74" t="s">
        <v>137</v>
      </c>
      <c r="W54" s="74" t="s">
        <v>138</v>
      </c>
      <c r="X54" s="74" t="s">
        <v>139</v>
      </c>
      <c r="Y54" s="74" t="s">
        <v>140</v>
      </c>
      <c r="Z54" s="74" t="s">
        <v>141</v>
      </c>
      <c r="AA54" s="74" t="s">
        <v>142</v>
      </c>
      <c r="AB54" s="74" t="s">
        <v>143</v>
      </c>
      <c r="AC54" s="74" t="s">
        <v>144</v>
      </c>
      <c r="AD54" s="74" t="s">
        <v>145</v>
      </c>
    </row>
    <row r="55" spans="1:40" ht="15.75" thickBot="1" x14ac:dyDescent="0.3">
      <c r="A55" s="984" t="s">
        <v>752</v>
      </c>
      <c r="B55" s="985"/>
      <c r="C55" s="985"/>
      <c r="D55" s="985"/>
      <c r="E55" s="985"/>
      <c r="F55" s="985"/>
      <c r="G55" s="985"/>
      <c r="H55" s="985"/>
      <c r="I55" s="985"/>
      <c r="J55" s="985"/>
      <c r="K55" s="985"/>
      <c r="L55" s="985"/>
      <c r="M55" s="985"/>
      <c r="N55" s="985"/>
      <c r="O55" s="985"/>
      <c r="P55" s="985"/>
      <c r="Q55" s="985"/>
      <c r="R55" s="985"/>
      <c r="S55" s="985"/>
      <c r="T55" s="985"/>
      <c r="U55" s="985"/>
      <c r="V55" s="985"/>
      <c r="W55" s="985"/>
      <c r="X55" s="985"/>
      <c r="Y55" s="985"/>
      <c r="Z55" s="985"/>
      <c r="AA55" s="985"/>
      <c r="AB55" s="985"/>
      <c r="AC55" s="985"/>
      <c r="AD55" s="986"/>
    </row>
    <row r="56" spans="1:40" ht="12.75" customHeight="1" x14ac:dyDescent="0.25">
      <c r="A56" s="23"/>
      <c r="B56" s="968" t="s">
        <v>16</v>
      </c>
      <c r="C56" s="969"/>
      <c r="D56" s="970"/>
      <c r="E56" s="19"/>
      <c r="F56" s="968" t="s">
        <v>58</v>
      </c>
      <c r="G56" s="969"/>
      <c r="H56" s="969"/>
      <c r="I56" s="969"/>
      <c r="J56" s="969"/>
      <c r="K56" s="969"/>
      <c r="L56" s="969"/>
      <c r="M56" s="969"/>
      <c r="N56" s="969"/>
      <c r="O56" s="969"/>
      <c r="P56" s="970"/>
      <c r="Q56" s="392"/>
      <c r="R56" s="968" t="s">
        <v>59</v>
      </c>
      <c r="S56" s="969"/>
      <c r="T56" s="969"/>
      <c r="U56" s="969"/>
      <c r="V56" s="969"/>
      <c r="W56" s="969"/>
      <c r="X56" s="969"/>
      <c r="Y56" s="969"/>
      <c r="Z56" s="969"/>
      <c r="AA56" s="970"/>
      <c r="AB56" s="23"/>
      <c r="AC56" s="126"/>
      <c r="AD56" s="127"/>
    </row>
    <row r="57" spans="1:40" s="19" customFormat="1" ht="12.75" customHeight="1" x14ac:dyDescent="0.25">
      <c r="A57" s="75"/>
      <c r="B57" s="75"/>
      <c r="C57" s="128"/>
      <c r="D57" s="78"/>
      <c r="E57" s="75"/>
      <c r="F57" s="75"/>
      <c r="G57" s="971" t="s">
        <v>60</v>
      </c>
      <c r="H57" s="972"/>
      <c r="I57" s="972"/>
      <c r="J57" s="76"/>
      <c r="K57" s="971" t="s">
        <v>61</v>
      </c>
      <c r="L57" s="972"/>
      <c r="M57" s="972"/>
      <c r="N57" s="972"/>
      <c r="O57" s="972"/>
      <c r="P57" s="129"/>
      <c r="R57" s="973" t="s">
        <v>49</v>
      </c>
      <c r="S57" s="974"/>
      <c r="T57" s="975"/>
      <c r="U57" s="973" t="s">
        <v>61</v>
      </c>
      <c r="V57" s="974"/>
      <c r="W57" s="974"/>
      <c r="X57" s="974"/>
      <c r="Y57" s="974"/>
      <c r="Z57" s="975"/>
      <c r="AA57" s="75" t="s">
        <v>62</v>
      </c>
      <c r="AB57" s="75" t="s">
        <v>63</v>
      </c>
      <c r="AC57" s="75"/>
      <c r="AD57" s="80"/>
    </row>
    <row r="58" spans="1:40" s="20" customFormat="1" x14ac:dyDescent="0.25">
      <c r="A58" s="82"/>
      <c r="B58" s="82"/>
      <c r="C58" s="128" t="s">
        <v>64</v>
      </c>
      <c r="D58" s="84"/>
      <c r="E58" s="82"/>
      <c r="F58" s="82"/>
      <c r="G58" s="75" t="s">
        <v>65</v>
      </c>
      <c r="H58" s="82"/>
      <c r="I58" s="82"/>
      <c r="J58" s="82"/>
      <c r="K58" s="82"/>
      <c r="L58" s="978" t="s">
        <v>66</v>
      </c>
      <c r="M58" s="979"/>
      <c r="N58" s="980"/>
      <c r="O58" s="85"/>
      <c r="P58" s="75" t="s">
        <v>62</v>
      </c>
      <c r="Q58" s="82"/>
      <c r="R58" s="82"/>
      <c r="S58" s="75" t="s">
        <v>65</v>
      </c>
      <c r="T58" s="82"/>
      <c r="U58" s="82"/>
      <c r="V58" s="85"/>
      <c r="W58" s="978" t="s">
        <v>67</v>
      </c>
      <c r="X58" s="979"/>
      <c r="Y58" s="980"/>
      <c r="Z58" s="85"/>
      <c r="AA58" s="82" t="s">
        <v>68</v>
      </c>
      <c r="AB58" s="82" t="s">
        <v>11</v>
      </c>
      <c r="AC58" s="976" t="s">
        <v>69</v>
      </c>
      <c r="AD58" s="977"/>
    </row>
    <row r="59" spans="1:40" s="19" customFormat="1" x14ac:dyDescent="0.25">
      <c r="A59" s="82" t="s">
        <v>70</v>
      </c>
      <c r="B59" s="75" t="s">
        <v>173</v>
      </c>
      <c r="C59" s="130" t="s">
        <v>71</v>
      </c>
      <c r="D59" s="78"/>
      <c r="E59" s="75"/>
      <c r="F59" s="75" t="s">
        <v>173</v>
      </c>
      <c r="G59" s="82" t="s">
        <v>71</v>
      </c>
      <c r="H59" s="82" t="s">
        <v>72</v>
      </c>
      <c r="I59" s="82" t="s">
        <v>62</v>
      </c>
      <c r="J59" s="75" t="s">
        <v>173</v>
      </c>
      <c r="K59" s="82" t="s">
        <v>73</v>
      </c>
      <c r="L59" s="82" t="s">
        <v>74</v>
      </c>
      <c r="M59" s="82" t="s">
        <v>75</v>
      </c>
      <c r="N59" s="82" t="s">
        <v>62</v>
      </c>
      <c r="O59" s="75"/>
      <c r="P59" s="82" t="s">
        <v>76</v>
      </c>
      <c r="Q59" s="75"/>
      <c r="R59" s="75" t="s">
        <v>173</v>
      </c>
      <c r="S59" s="82" t="s">
        <v>71</v>
      </c>
      <c r="T59" s="75"/>
      <c r="U59" s="75" t="s">
        <v>173</v>
      </c>
      <c r="V59" s="82" t="s">
        <v>73</v>
      </c>
      <c r="W59" s="82" t="s">
        <v>74</v>
      </c>
      <c r="X59" s="82" t="s">
        <v>75</v>
      </c>
      <c r="Y59" s="82" t="s">
        <v>62</v>
      </c>
      <c r="Z59" s="75"/>
      <c r="AA59" s="75"/>
      <c r="AB59" s="75"/>
      <c r="AC59" s="75"/>
      <c r="AD59" s="78"/>
    </row>
    <row r="60" spans="1:40" x14ac:dyDescent="0.25">
      <c r="A60" s="23" t="s">
        <v>77</v>
      </c>
      <c r="B60" s="23"/>
      <c r="C60" s="128" t="s">
        <v>78</v>
      </c>
      <c r="D60" s="24"/>
      <c r="E60" s="23"/>
      <c r="F60" s="23"/>
      <c r="G60" s="75" t="s">
        <v>47</v>
      </c>
      <c r="H60" s="75" t="s">
        <v>47</v>
      </c>
      <c r="I60" s="75" t="s">
        <v>47</v>
      </c>
      <c r="J60" s="23"/>
      <c r="K60" s="75" t="s">
        <v>78</v>
      </c>
      <c r="L60" s="75" t="s">
        <v>51</v>
      </c>
      <c r="M60" s="75" t="s">
        <v>51</v>
      </c>
      <c r="N60" s="75" t="s">
        <v>51</v>
      </c>
      <c r="O60" s="131"/>
      <c r="P60" s="75" t="s">
        <v>78</v>
      </c>
      <c r="Q60" s="23"/>
      <c r="R60" s="23"/>
      <c r="S60" s="75" t="s">
        <v>78</v>
      </c>
      <c r="T60" s="75"/>
      <c r="U60" s="75"/>
      <c r="V60" s="75" t="s">
        <v>78</v>
      </c>
      <c r="W60" s="75" t="s">
        <v>51</v>
      </c>
      <c r="X60" s="75" t="s">
        <v>51</v>
      </c>
      <c r="Y60" s="75" t="s">
        <v>51</v>
      </c>
      <c r="Z60" s="75"/>
      <c r="AA60" s="75" t="s">
        <v>47</v>
      </c>
      <c r="AB60" s="75" t="s">
        <v>78</v>
      </c>
      <c r="AC60" s="75" t="s">
        <v>47</v>
      </c>
      <c r="AD60" s="78" t="s">
        <v>51</v>
      </c>
    </row>
    <row r="61" spans="1:40" x14ac:dyDescent="0.25">
      <c r="A61" s="23" t="s">
        <v>79</v>
      </c>
      <c r="B61" s="82"/>
      <c r="C61" s="130"/>
      <c r="D61" s="78"/>
      <c r="E61" s="23"/>
      <c r="F61" s="75"/>
      <c r="G61" s="75"/>
      <c r="H61" s="75"/>
      <c r="I61" s="75" t="s">
        <v>80</v>
      </c>
      <c r="J61" s="75"/>
      <c r="K61" s="75"/>
      <c r="L61" s="75"/>
      <c r="M61" s="75"/>
      <c r="N61" s="75" t="s">
        <v>81</v>
      </c>
      <c r="O61" s="75"/>
      <c r="P61" s="75" t="s">
        <v>82</v>
      </c>
      <c r="Q61" s="88"/>
      <c r="R61" s="75"/>
      <c r="S61" s="75"/>
      <c r="T61" s="75"/>
      <c r="U61" s="75"/>
      <c r="V61" s="75"/>
      <c r="W61" s="75"/>
      <c r="X61" s="75"/>
      <c r="Y61" s="75" t="s">
        <v>83</v>
      </c>
      <c r="Z61" s="75"/>
      <c r="AA61" s="75" t="s">
        <v>84</v>
      </c>
      <c r="AB61" s="75"/>
      <c r="AC61" s="75" t="s">
        <v>85</v>
      </c>
      <c r="AD61" s="78" t="s">
        <v>86</v>
      </c>
    </row>
    <row r="62" spans="1:40" x14ac:dyDescent="0.25">
      <c r="A62" s="90" t="s">
        <v>87</v>
      </c>
      <c r="B62" s="23"/>
      <c r="C62" s="114"/>
      <c r="D62" s="23"/>
      <c r="E62" s="23"/>
      <c r="F62" s="23"/>
      <c r="G62" s="23"/>
      <c r="H62" s="23"/>
      <c r="I62" s="23"/>
      <c r="J62" s="23"/>
      <c r="K62" s="23"/>
      <c r="L62" s="23"/>
      <c r="M62" s="23"/>
      <c r="N62" s="23"/>
      <c r="O62" s="131"/>
      <c r="P62" s="23"/>
      <c r="Q62" s="23"/>
      <c r="R62" s="23"/>
      <c r="S62" s="88"/>
      <c r="T62" s="88"/>
      <c r="U62" s="88"/>
      <c r="V62" s="23"/>
      <c r="W62" s="23"/>
      <c r="X62" s="23"/>
      <c r="Y62" s="23"/>
      <c r="Z62" s="23"/>
      <c r="AA62" s="23"/>
      <c r="AB62" s="23"/>
      <c r="AC62" s="23"/>
      <c r="AD62" s="24"/>
    </row>
    <row r="63" spans="1:40" x14ac:dyDescent="0.25">
      <c r="A63" s="90"/>
      <c r="B63" s="23"/>
      <c r="C63" s="132"/>
      <c r="D63" s="23"/>
      <c r="E63" s="23"/>
      <c r="F63" s="23"/>
      <c r="G63" s="132"/>
      <c r="H63" s="132"/>
      <c r="I63" s="132"/>
      <c r="J63" s="132"/>
      <c r="K63" s="132"/>
      <c r="L63" s="132"/>
      <c r="M63" s="132"/>
      <c r="N63" s="91"/>
      <c r="O63" s="114"/>
      <c r="P63" s="91"/>
      <c r="Q63" s="132"/>
      <c r="R63" s="91"/>
      <c r="S63" s="132"/>
      <c r="T63" s="91"/>
      <c r="U63" s="91"/>
      <c r="V63" s="132"/>
      <c r="W63" s="132"/>
      <c r="X63" s="132"/>
      <c r="Y63" s="132"/>
      <c r="Z63" s="132"/>
      <c r="AA63" s="91"/>
      <c r="AB63" s="132"/>
      <c r="AC63" s="91"/>
      <c r="AD63" s="104"/>
    </row>
    <row r="64" spans="1:40" x14ac:dyDescent="0.25">
      <c r="A64" s="90" t="s">
        <v>88</v>
      </c>
      <c r="B64" s="23"/>
      <c r="C64" s="91">
        <v>0</v>
      </c>
      <c r="D64" s="91"/>
      <c r="E64" s="91"/>
      <c r="F64" s="91"/>
      <c r="G64" s="91">
        <v>0</v>
      </c>
      <c r="H64" s="91">
        <v>0</v>
      </c>
      <c r="I64" s="133">
        <f>+G64+H64</f>
        <v>0</v>
      </c>
      <c r="J64" s="91"/>
      <c r="K64" s="91">
        <v>0</v>
      </c>
      <c r="L64" s="91">
        <v>0</v>
      </c>
      <c r="M64" s="91">
        <v>0</v>
      </c>
      <c r="N64" s="133">
        <f>+L64+M64</f>
        <v>0</v>
      </c>
      <c r="O64" s="91">
        <v>0</v>
      </c>
      <c r="P64" s="133">
        <f>+I64+K64</f>
        <v>0</v>
      </c>
      <c r="Q64" s="91"/>
      <c r="R64" s="91"/>
      <c r="S64" s="91">
        <v>0</v>
      </c>
      <c r="T64" s="91"/>
      <c r="U64" s="91">
        <v>2</v>
      </c>
      <c r="V64" s="91">
        <v>545343757</v>
      </c>
      <c r="W64" s="91">
        <v>899893</v>
      </c>
      <c r="X64" s="91">
        <v>864908</v>
      </c>
      <c r="Y64" s="91">
        <f>+W64+X64</f>
        <v>1764801</v>
      </c>
      <c r="Z64" s="91"/>
      <c r="AA64" s="91">
        <f>+S64+V64</f>
        <v>545343757</v>
      </c>
      <c r="AB64" s="91">
        <v>0</v>
      </c>
      <c r="AC64" s="91">
        <f>+C64+P64+AA64+AB64</f>
        <v>545343757</v>
      </c>
      <c r="AD64" s="104">
        <f>+N64+Y64</f>
        <v>1764801</v>
      </c>
      <c r="AN64" s="831"/>
    </row>
    <row r="65" spans="1:64" x14ac:dyDescent="0.25">
      <c r="A65" s="90"/>
      <c r="B65" s="23"/>
      <c r="C65" s="91"/>
      <c r="D65" s="23"/>
      <c r="E65" s="23"/>
      <c r="F65" s="23"/>
      <c r="G65" s="91"/>
      <c r="H65" s="91"/>
      <c r="I65" s="91"/>
      <c r="J65" s="132"/>
      <c r="K65" s="91"/>
      <c r="L65" s="91"/>
      <c r="M65" s="91"/>
      <c r="N65" s="91"/>
      <c r="O65" s="114"/>
      <c r="P65" s="91"/>
      <c r="Q65" s="132"/>
      <c r="R65" s="91"/>
      <c r="S65" s="91"/>
      <c r="T65" s="91"/>
      <c r="U65" s="91"/>
      <c r="V65" s="91"/>
      <c r="W65" s="91"/>
      <c r="X65" s="91"/>
      <c r="Y65" s="91">
        <f>+W65+X65</f>
        <v>0</v>
      </c>
      <c r="Z65" s="91"/>
      <c r="AA65" s="91">
        <f>+S65+V65</f>
        <v>0</v>
      </c>
      <c r="AB65" s="91">
        <v>0</v>
      </c>
      <c r="AC65" s="91">
        <f>+C65+P65+AA65+AB65</f>
        <v>0</v>
      </c>
      <c r="AD65" s="104">
        <f>+N65+Y65</f>
        <v>0</v>
      </c>
      <c r="AM65" s="831"/>
    </row>
    <row r="66" spans="1:64" x14ac:dyDescent="0.25">
      <c r="B66" s="135"/>
      <c r="C66" s="96"/>
      <c r="D66" s="136"/>
      <c r="E66" s="136"/>
      <c r="F66" s="136"/>
      <c r="G66" s="96"/>
      <c r="H66" s="96"/>
      <c r="I66" s="137"/>
      <c r="J66" s="136"/>
      <c r="K66" s="96"/>
      <c r="L66" s="96"/>
      <c r="M66" s="96"/>
      <c r="N66" s="137"/>
      <c r="O66" s="138"/>
      <c r="P66" s="137"/>
      <c r="Q66" s="136"/>
      <c r="R66" s="136"/>
      <c r="S66" s="139"/>
      <c r="T66" s="136"/>
      <c r="U66" s="136"/>
      <c r="V66" s="96"/>
      <c r="W66" s="96"/>
      <c r="X66" s="96"/>
      <c r="Y66" s="96"/>
      <c r="Z66" s="96"/>
      <c r="AA66" s="96"/>
      <c r="AB66" s="96"/>
      <c r="AC66" s="96"/>
      <c r="AD66" s="137"/>
    </row>
    <row r="67" spans="1:64" x14ac:dyDescent="0.25">
      <c r="A67" s="90" t="s">
        <v>166</v>
      </c>
      <c r="B67" s="140"/>
      <c r="C67" s="99">
        <f>+C64</f>
        <v>0</v>
      </c>
      <c r="D67" s="141"/>
      <c r="E67" s="141"/>
      <c r="F67" s="141"/>
      <c r="G67" s="99"/>
      <c r="H67" s="99"/>
      <c r="I67" s="99">
        <f>+G67+H67</f>
        <v>0</v>
      </c>
      <c r="J67" s="141"/>
      <c r="K67" s="99"/>
      <c r="L67" s="99"/>
      <c r="M67" s="99"/>
      <c r="N67" s="99">
        <f>+L67+M67</f>
        <v>0</v>
      </c>
      <c r="O67" s="99"/>
      <c r="P67" s="99">
        <f>+I67+K67</f>
        <v>0</v>
      </c>
      <c r="Q67" s="141"/>
      <c r="R67" s="141"/>
      <c r="S67" s="99">
        <f>+S64</f>
        <v>0</v>
      </c>
      <c r="T67" s="141"/>
      <c r="U67" s="141"/>
      <c r="V67" s="99">
        <f t="shared" ref="V67:AA67" si="11">SUM(V64:V66)</f>
        <v>545343757</v>
      </c>
      <c r="W67" s="99">
        <f t="shared" si="11"/>
        <v>899893</v>
      </c>
      <c r="X67" s="99">
        <f t="shared" si="11"/>
        <v>864908</v>
      </c>
      <c r="Y67" s="99">
        <f t="shared" si="11"/>
        <v>1764801</v>
      </c>
      <c r="Z67" s="99">
        <f t="shared" si="11"/>
        <v>0</v>
      </c>
      <c r="AA67" s="99">
        <f t="shared" si="11"/>
        <v>545343757</v>
      </c>
      <c r="AB67" s="99"/>
      <c r="AC67" s="99">
        <f>SUM(AC64:AC66)</f>
        <v>545343757</v>
      </c>
      <c r="AD67" s="142">
        <f>SUM(AD64:AD66)</f>
        <v>1764801</v>
      </c>
      <c r="AI67" s="973" t="s">
        <v>16</v>
      </c>
      <c r="AJ67" s="974"/>
      <c r="AK67" s="974"/>
      <c r="AL67" s="975"/>
      <c r="AM67" s="973" t="s">
        <v>17</v>
      </c>
      <c r="AN67" s="974"/>
      <c r="AO67" s="974"/>
      <c r="AP67" s="975"/>
      <c r="AQ67" s="973" t="s">
        <v>174</v>
      </c>
      <c r="AR67" s="974"/>
      <c r="AS67" s="974"/>
      <c r="AT67" s="975"/>
      <c r="AU67" s="973" t="s">
        <v>19</v>
      </c>
      <c r="AV67" s="974"/>
      <c r="AW67" s="974"/>
      <c r="AX67" s="975"/>
      <c r="AZ67" s="973" t="s">
        <v>21</v>
      </c>
      <c r="BA67" s="974"/>
      <c r="BB67" s="974"/>
      <c r="BC67" s="975"/>
      <c r="BD67" s="974" t="s">
        <v>23</v>
      </c>
      <c r="BE67" s="974"/>
      <c r="BF67" s="974"/>
      <c r="BG67" s="975"/>
      <c r="BI67" s="973" t="s">
        <v>25</v>
      </c>
      <c r="BJ67" s="974"/>
      <c r="BK67" s="974"/>
      <c r="BL67" s="975"/>
    </row>
    <row r="68" spans="1:64" x14ac:dyDescent="0.25">
      <c r="A68" s="90"/>
      <c r="B68" s="143"/>
      <c r="C68" s="91"/>
      <c r="D68" s="132"/>
      <c r="E68" s="132"/>
      <c r="F68" s="132"/>
      <c r="G68" s="91"/>
      <c r="H68" s="91"/>
      <c r="I68" s="91"/>
      <c r="J68" s="132"/>
      <c r="K68" s="91"/>
      <c r="L68" s="91"/>
      <c r="M68" s="91"/>
      <c r="N68" s="91"/>
      <c r="O68" s="91"/>
      <c r="P68" s="91"/>
      <c r="Q68" s="132"/>
      <c r="R68" s="132"/>
      <c r="S68" s="144"/>
      <c r="T68" s="132"/>
      <c r="U68" s="132"/>
      <c r="V68" s="91"/>
      <c r="W68" s="91"/>
      <c r="X68" s="91"/>
      <c r="Y68" s="91"/>
      <c r="Z68" s="91"/>
      <c r="AA68" s="91"/>
      <c r="AB68" s="91"/>
      <c r="AC68" s="91"/>
      <c r="AD68" s="104"/>
      <c r="AE68" s="981" t="s">
        <v>62</v>
      </c>
      <c r="AF68" s="982"/>
      <c r="AG68" s="983"/>
      <c r="AI68" s="85"/>
      <c r="AJ68" s="734"/>
      <c r="AK68" s="443"/>
      <c r="AL68" s="444"/>
      <c r="AM68" s="85"/>
      <c r="AN68" s="734"/>
      <c r="AO68" s="443"/>
      <c r="AP68" s="444"/>
      <c r="AQ68" s="85"/>
      <c r="AR68" s="734"/>
      <c r="AS68" s="443"/>
      <c r="AT68" s="444"/>
      <c r="AU68" s="23"/>
      <c r="AX68" s="669"/>
      <c r="AZ68" s="23"/>
      <c r="BC68" s="669"/>
      <c r="BG68" s="669"/>
      <c r="BI68" s="23"/>
      <c r="BL68" s="669"/>
    </row>
    <row r="69" spans="1:64" x14ac:dyDescent="0.25">
      <c r="A69" s="89" t="s">
        <v>90</v>
      </c>
      <c r="B69" s="158"/>
      <c r="C69" s="91"/>
      <c r="D69" s="132"/>
      <c r="E69" s="132"/>
      <c r="F69" s="132"/>
      <c r="G69" s="91"/>
      <c r="H69" s="91"/>
      <c r="I69" s="91"/>
      <c r="J69" s="132"/>
      <c r="K69" s="91"/>
      <c r="L69" s="91"/>
      <c r="M69" s="91"/>
      <c r="N69" s="91"/>
      <c r="O69" s="91"/>
      <c r="P69" s="91"/>
      <c r="Q69" s="132"/>
      <c r="R69" s="132"/>
      <c r="S69" s="144"/>
      <c r="T69" s="132"/>
      <c r="U69" s="132"/>
      <c r="V69" s="91"/>
      <c r="W69" s="91"/>
      <c r="X69" s="91"/>
      <c r="Y69" s="91"/>
      <c r="Z69" s="91"/>
      <c r="AA69" s="91"/>
      <c r="AB69" s="91"/>
      <c r="AC69" s="91"/>
      <c r="AD69" s="104"/>
      <c r="AE69" s="399" t="s">
        <v>175</v>
      </c>
      <c r="AF69" s="59" t="s">
        <v>176</v>
      </c>
      <c r="AG69" s="445" t="s">
        <v>177</v>
      </c>
      <c r="AI69" s="82" t="s">
        <v>178</v>
      </c>
      <c r="AJ69" s="20" t="s">
        <v>179</v>
      </c>
      <c r="AK69" s="20" t="s">
        <v>180</v>
      </c>
      <c r="AL69" s="728" t="s">
        <v>181</v>
      </c>
      <c r="AM69" s="82" t="s">
        <v>182</v>
      </c>
      <c r="AN69" s="20" t="s">
        <v>183</v>
      </c>
      <c r="AO69" s="20" t="s">
        <v>180</v>
      </c>
      <c r="AP69" s="728" t="s">
        <v>181</v>
      </c>
      <c r="AQ69" s="82" t="s">
        <v>184</v>
      </c>
      <c r="AR69" s="20" t="s">
        <v>185</v>
      </c>
      <c r="AS69" s="20" t="s">
        <v>180</v>
      </c>
      <c r="AT69" s="728" t="s">
        <v>181</v>
      </c>
      <c r="AU69" s="82" t="s">
        <v>186</v>
      </c>
      <c r="AV69" s="20" t="s">
        <v>187</v>
      </c>
      <c r="AW69" s="20" t="s">
        <v>180</v>
      </c>
      <c r="AX69" s="728" t="s">
        <v>188</v>
      </c>
      <c r="AZ69" s="82" t="s">
        <v>189</v>
      </c>
      <c r="BA69" s="20" t="s">
        <v>190</v>
      </c>
      <c r="BB69" s="20" t="s">
        <v>191</v>
      </c>
      <c r="BC69" s="728" t="s">
        <v>180</v>
      </c>
      <c r="BD69" s="20" t="s">
        <v>192</v>
      </c>
      <c r="BE69" s="20" t="s">
        <v>193</v>
      </c>
      <c r="BF69" s="20" t="s">
        <v>191</v>
      </c>
      <c r="BG69" s="728" t="s">
        <v>180</v>
      </c>
      <c r="BI69" s="82" t="s">
        <v>194</v>
      </c>
      <c r="BJ69" s="20" t="s">
        <v>195</v>
      </c>
      <c r="BK69" s="20" t="s">
        <v>196</v>
      </c>
      <c r="BL69" s="728" t="s">
        <v>180</v>
      </c>
    </row>
    <row r="70" spans="1:64" x14ac:dyDescent="0.25">
      <c r="A70" s="181" t="s">
        <v>91</v>
      </c>
      <c r="B70" s="386">
        <v>1978</v>
      </c>
      <c r="C70" s="386">
        <v>11205544</v>
      </c>
      <c r="D70" s="842"/>
      <c r="E70" s="385"/>
      <c r="F70" s="386">
        <v>187</v>
      </c>
      <c r="G70" s="386">
        <v>969661</v>
      </c>
      <c r="H70" s="386">
        <v>118088</v>
      </c>
      <c r="I70" s="386">
        <f>+G70+H70</f>
        <v>1087749</v>
      </c>
      <c r="J70" s="386">
        <v>26</v>
      </c>
      <c r="K70" s="386">
        <v>2207167</v>
      </c>
      <c r="L70" s="386">
        <v>6820</v>
      </c>
      <c r="M70" s="386">
        <v>0</v>
      </c>
      <c r="N70" s="386">
        <f>+L70+M70</f>
        <v>6820</v>
      </c>
      <c r="O70" s="386"/>
      <c r="P70" s="386">
        <f>+I70+K70</f>
        <v>3294916</v>
      </c>
      <c r="Q70" s="385"/>
      <c r="R70" s="385"/>
      <c r="S70" s="386">
        <v>0</v>
      </c>
      <c r="T70" s="385"/>
      <c r="U70" s="386"/>
      <c r="V70" s="386">
        <v>0</v>
      </c>
      <c r="W70" s="386">
        <v>0</v>
      </c>
      <c r="X70" s="386">
        <v>0</v>
      </c>
      <c r="Y70" s="386">
        <f>+W70+X70</f>
        <v>0</v>
      </c>
      <c r="Z70" s="386"/>
      <c r="AA70" s="386">
        <f>+S70+V70</f>
        <v>0</v>
      </c>
      <c r="AB70" s="386">
        <v>0</v>
      </c>
      <c r="AC70" s="386">
        <f>+C70+P70+AA70+AB70</f>
        <v>14500460</v>
      </c>
      <c r="AD70" s="387">
        <f>+N70+Y70</f>
        <v>6820</v>
      </c>
      <c r="AE70" s="91">
        <v>14232083</v>
      </c>
      <c r="AF70" s="22">
        <f t="shared" ref="AF70:AF80" si="12">AC70-AE70</f>
        <v>268377</v>
      </c>
      <c r="AG70" s="662">
        <f t="shared" ref="AG70:AG86" si="13">AC70/AE70-1</f>
        <v>1.8857183449534354E-2</v>
      </c>
      <c r="AI70" s="91">
        <v>11070882</v>
      </c>
      <c r="AJ70" s="22">
        <f t="shared" ref="AJ70:AJ85" si="14">C70</f>
        <v>11205544</v>
      </c>
      <c r="AK70" s="418">
        <f>(AJ70-AI70)/AI70</f>
        <v>1.2163619845284234E-2</v>
      </c>
      <c r="AL70" s="735">
        <f>AJ70-AI70</f>
        <v>134662</v>
      </c>
      <c r="AM70" s="91">
        <v>1032379</v>
      </c>
      <c r="AN70" s="22">
        <f t="shared" ref="AN70:AN85" si="15">I70</f>
        <v>1087749</v>
      </c>
      <c r="AO70" s="418">
        <f>(AN70-AM70)/AM70</f>
        <v>5.3633404011511274E-2</v>
      </c>
      <c r="AP70" s="735">
        <f>AN70-AM70</f>
        <v>55370</v>
      </c>
      <c r="AQ70" s="91">
        <v>2128822</v>
      </c>
      <c r="AR70" s="22">
        <f t="shared" ref="AR70:AR85" si="16">K70</f>
        <v>2207167</v>
      </c>
      <c r="AS70" s="418">
        <f>(AR70-AQ70)/AQ70</f>
        <v>3.680204357151514E-2</v>
      </c>
      <c r="AT70" s="735">
        <f>AR70-AQ70</f>
        <v>78345</v>
      </c>
      <c r="AU70" s="91">
        <v>6582</v>
      </c>
      <c r="AV70" s="22">
        <f t="shared" ref="AV70:AV85" si="17">L70</f>
        <v>6820</v>
      </c>
      <c r="AW70" s="418">
        <f>(AV70-AU70)/AU70</f>
        <v>3.6159222120935884E-2</v>
      </c>
      <c r="AX70" s="735">
        <f>AV70-AU70</f>
        <v>238</v>
      </c>
      <c r="AZ70" s="91">
        <v>0</v>
      </c>
      <c r="BA70" s="22">
        <f>S70</f>
        <v>0</v>
      </c>
      <c r="BB70" s="22">
        <f t="shared" ref="BB70:BB85" si="18">BA70-AZ70</f>
        <v>0</v>
      </c>
      <c r="BC70" s="819" t="e">
        <f>BB70/AZ70</f>
        <v>#DIV/0!</v>
      </c>
      <c r="BD70" s="384">
        <v>0</v>
      </c>
      <c r="BE70" s="22">
        <f>V70</f>
        <v>0</v>
      </c>
      <c r="BF70" s="22">
        <f t="shared" ref="BF70:BF85" si="19">BE70-BD70</f>
        <v>0</v>
      </c>
      <c r="BG70" s="819" t="e">
        <f>BF70/BD70</f>
        <v>#DIV/0!</v>
      </c>
      <c r="BI70" s="91">
        <v>0</v>
      </c>
      <c r="BJ70" s="22">
        <f>W70</f>
        <v>0</v>
      </c>
      <c r="BK70" s="22">
        <f t="shared" ref="BK70:BK85" si="20">BJ70-BI70</f>
        <v>0</v>
      </c>
      <c r="BL70" s="819" t="e">
        <f>BK70/BI70</f>
        <v>#DIV/0!</v>
      </c>
    </row>
    <row r="71" spans="1:64" x14ac:dyDescent="0.25">
      <c r="A71" s="181" t="s">
        <v>92</v>
      </c>
      <c r="B71" s="386">
        <v>1570</v>
      </c>
      <c r="C71" s="386">
        <v>14673998</v>
      </c>
      <c r="D71" s="842"/>
      <c r="E71" s="385"/>
      <c r="F71" s="386">
        <v>196</v>
      </c>
      <c r="G71" s="386">
        <v>2226114</v>
      </c>
      <c r="H71" s="386">
        <v>64260</v>
      </c>
      <c r="I71" s="386">
        <f>+G71+H71</f>
        <v>2290374</v>
      </c>
      <c r="J71" s="386">
        <v>24</v>
      </c>
      <c r="K71" s="386">
        <v>9946096</v>
      </c>
      <c r="L71" s="386">
        <v>23767.329999999998</v>
      </c>
      <c r="M71" s="386">
        <v>0</v>
      </c>
      <c r="N71" s="386">
        <f>+L71+M71</f>
        <v>23767.329999999998</v>
      </c>
      <c r="O71" s="386"/>
      <c r="P71" s="386">
        <f>+I71+K71</f>
        <v>12236470</v>
      </c>
      <c r="Q71" s="385"/>
      <c r="R71" s="385"/>
      <c r="S71" s="386">
        <v>0</v>
      </c>
      <c r="T71" s="385"/>
      <c r="U71" s="386"/>
      <c r="V71" s="386">
        <v>0</v>
      </c>
      <c r="W71" s="386">
        <v>0</v>
      </c>
      <c r="X71" s="386">
        <v>0</v>
      </c>
      <c r="Y71" s="386">
        <f>+W71+X71</f>
        <v>0</v>
      </c>
      <c r="Z71" s="386"/>
      <c r="AA71" s="386">
        <f>+S71+V71</f>
        <v>0</v>
      </c>
      <c r="AB71" s="386">
        <v>0</v>
      </c>
      <c r="AC71" s="386">
        <f>+C71+P71+AA71+AB71</f>
        <v>26910468</v>
      </c>
      <c r="AD71" s="387">
        <f>+N71+Y71</f>
        <v>23767.329999999998</v>
      </c>
      <c r="AE71" s="91">
        <v>26698755</v>
      </c>
      <c r="AF71" s="22">
        <f t="shared" si="12"/>
        <v>211713</v>
      </c>
      <c r="AG71" s="662">
        <f t="shared" si="13"/>
        <v>7.929695598165587E-3</v>
      </c>
      <c r="AH71" s="7"/>
      <c r="AI71" s="83">
        <v>14611699</v>
      </c>
      <c r="AJ71" s="22">
        <f t="shared" si="14"/>
        <v>14673998</v>
      </c>
      <c r="AK71" s="418">
        <f t="shared" ref="AK71:AK86" si="21">(AJ71-AI71)/AI71</f>
        <v>4.2636383352818857E-3</v>
      </c>
      <c r="AL71" s="735">
        <f t="shared" ref="AL71:AL86" si="22">AJ71-AI71</f>
        <v>62299</v>
      </c>
      <c r="AM71" s="83">
        <v>2213331</v>
      </c>
      <c r="AN71" s="22">
        <f t="shared" si="15"/>
        <v>2290374</v>
      </c>
      <c r="AO71" s="418">
        <f t="shared" ref="AO71:AO85" si="23">(AN71-AM71)/AM71</f>
        <v>3.4808621033184821E-2</v>
      </c>
      <c r="AP71" s="735">
        <f t="shared" ref="AP71:AP85" si="24">AN71-AM71</f>
        <v>77043</v>
      </c>
      <c r="AQ71" s="83">
        <v>9873725</v>
      </c>
      <c r="AR71" s="22">
        <f t="shared" si="16"/>
        <v>9946096</v>
      </c>
      <c r="AS71" s="418">
        <f t="shared" ref="AS71:AS86" si="25">(AR71-AQ71)/AQ71</f>
        <v>7.3296552213070552E-3</v>
      </c>
      <c r="AT71" s="735">
        <f t="shared" ref="AT71:AT86" si="26">AR71-AQ71</f>
        <v>72371</v>
      </c>
      <c r="AU71" s="83">
        <v>23463</v>
      </c>
      <c r="AV71" s="22">
        <f t="shared" si="17"/>
        <v>23767.329999999998</v>
      </c>
      <c r="AW71" s="418">
        <f t="shared" ref="AW71:AW85" si="27">(AV71-AU71)/AU71</f>
        <v>1.2970634616204155E-2</v>
      </c>
      <c r="AX71" s="735">
        <f t="shared" ref="AX71:AX85" si="28">AV71-AU71</f>
        <v>304.32999999999811</v>
      </c>
      <c r="AZ71" s="83">
        <v>0</v>
      </c>
      <c r="BA71" s="22">
        <f t="shared" ref="BA71:BA85" si="29">S71</f>
        <v>0</v>
      </c>
      <c r="BB71" s="22">
        <f t="shared" si="18"/>
        <v>0</v>
      </c>
      <c r="BC71" s="819" t="e">
        <f t="shared" ref="BC71:BC86" si="30">BB71/AZ71</f>
        <v>#DIV/0!</v>
      </c>
      <c r="BD71" s="464">
        <v>0</v>
      </c>
      <c r="BE71" s="22">
        <f t="shared" ref="BE71:BE85" si="31">V71</f>
        <v>0</v>
      </c>
      <c r="BF71" s="22">
        <f t="shared" si="19"/>
        <v>0</v>
      </c>
      <c r="BG71" s="819" t="e">
        <f t="shared" ref="BG71:BG86" si="32">BF71/BD71</f>
        <v>#DIV/0!</v>
      </c>
      <c r="BI71" s="83">
        <v>0</v>
      </c>
      <c r="BJ71" s="22">
        <f t="shared" ref="BJ71:BJ85" si="33">W71</f>
        <v>0</v>
      </c>
      <c r="BK71" s="22">
        <f t="shared" si="20"/>
        <v>0</v>
      </c>
      <c r="BL71" s="819" t="e">
        <f t="shared" ref="BL71:BL86" si="34">BK71/BI71</f>
        <v>#DIV/0!</v>
      </c>
    </row>
    <row r="72" spans="1:64" x14ac:dyDescent="0.25">
      <c r="A72" s="181" t="s">
        <v>93</v>
      </c>
      <c r="B72" s="386">
        <v>224519</v>
      </c>
      <c r="C72" s="386">
        <v>1642927366</v>
      </c>
      <c r="D72" s="842"/>
      <c r="E72" s="385"/>
      <c r="F72" s="386">
        <v>36295</v>
      </c>
      <c r="G72" s="386">
        <v>302677429</v>
      </c>
      <c r="H72" s="386">
        <v>8891000</v>
      </c>
      <c r="I72" s="386">
        <f>+G72+H72</f>
        <v>311568429</v>
      </c>
      <c r="J72" s="386">
        <v>8822</v>
      </c>
      <c r="K72" s="386">
        <v>1122771727</v>
      </c>
      <c r="L72" s="386">
        <v>3539956</v>
      </c>
      <c r="M72" s="386">
        <v>1881427</v>
      </c>
      <c r="N72" s="386">
        <f>+L72+M72</f>
        <v>5421383</v>
      </c>
      <c r="O72" s="386"/>
      <c r="P72" s="386">
        <f>+I72+K72</f>
        <v>1434340156</v>
      </c>
      <c r="Q72" s="385"/>
      <c r="R72" s="385"/>
      <c r="S72" s="386">
        <v>0</v>
      </c>
      <c r="T72" s="385"/>
      <c r="U72" s="386">
        <f>5+1+64</f>
        <v>70</v>
      </c>
      <c r="V72" s="386">
        <v>571161426</v>
      </c>
      <c r="W72" s="386">
        <v>1067253</v>
      </c>
      <c r="X72" s="386">
        <v>1112510</v>
      </c>
      <c r="Y72" s="386">
        <f>+W72+X72</f>
        <v>2179763</v>
      </c>
      <c r="Z72" s="386"/>
      <c r="AA72" s="386">
        <f>+S72+V72</f>
        <v>571161426</v>
      </c>
      <c r="AB72" s="386">
        <v>0</v>
      </c>
      <c r="AC72" s="386">
        <f>+C72+P72+AA72+AB72</f>
        <v>3648428948</v>
      </c>
      <c r="AD72" s="387">
        <f>+N72+Y72</f>
        <v>7601146</v>
      </c>
      <c r="AE72" s="91">
        <v>3572648614</v>
      </c>
      <c r="AF72" s="22">
        <f t="shared" si="12"/>
        <v>75780334</v>
      </c>
      <c r="AG72" s="662">
        <f t="shared" si="13"/>
        <v>2.121124750501413E-2</v>
      </c>
      <c r="AH72" s="384"/>
      <c r="AI72" s="91">
        <v>1621522727</v>
      </c>
      <c r="AJ72" s="22">
        <f t="shared" si="14"/>
        <v>1642927366</v>
      </c>
      <c r="AK72" s="418">
        <f t="shared" si="21"/>
        <v>1.3200332405825108E-2</v>
      </c>
      <c r="AL72" s="735">
        <f t="shared" si="22"/>
        <v>21404639</v>
      </c>
      <c r="AM72" s="91">
        <v>289622696</v>
      </c>
      <c r="AN72" s="22">
        <f t="shared" si="15"/>
        <v>311568429</v>
      </c>
      <c r="AO72" s="418">
        <f t="shared" si="23"/>
        <v>7.5773526395182783E-2</v>
      </c>
      <c r="AP72" s="735">
        <f t="shared" si="24"/>
        <v>21945733</v>
      </c>
      <c r="AQ72" s="91">
        <v>1093625037</v>
      </c>
      <c r="AR72" s="22">
        <f t="shared" si="16"/>
        <v>1122771727</v>
      </c>
      <c r="AS72" s="418">
        <f t="shared" si="25"/>
        <v>2.6651447263821192E-2</v>
      </c>
      <c r="AT72" s="735">
        <f t="shared" si="26"/>
        <v>29146690</v>
      </c>
      <c r="AU72" s="91">
        <v>3336989</v>
      </c>
      <c r="AV72" s="22">
        <f t="shared" si="17"/>
        <v>3539956</v>
      </c>
      <c r="AW72" s="828">
        <f t="shared" si="27"/>
        <v>6.0823394982722448E-2</v>
      </c>
      <c r="AX72" s="829">
        <f t="shared" si="28"/>
        <v>202967</v>
      </c>
      <c r="AY72" s="1" t="s">
        <v>197</v>
      </c>
      <c r="AZ72" s="91">
        <v>0</v>
      </c>
      <c r="BA72" s="22">
        <f t="shared" si="29"/>
        <v>0</v>
      </c>
      <c r="BB72" s="22">
        <f t="shared" si="18"/>
        <v>0</v>
      </c>
      <c r="BC72" s="819" t="e">
        <f t="shared" si="30"/>
        <v>#DIV/0!</v>
      </c>
      <c r="BD72" s="384">
        <v>567878154</v>
      </c>
      <c r="BE72" s="22">
        <f t="shared" si="31"/>
        <v>571161426</v>
      </c>
      <c r="BF72" s="22">
        <f t="shared" si="19"/>
        <v>3283272</v>
      </c>
      <c r="BG72" s="819">
        <f t="shared" si="32"/>
        <v>5.7816487161434279E-3</v>
      </c>
      <c r="BI72" s="91">
        <v>1074129</v>
      </c>
      <c r="BJ72" s="22">
        <f t="shared" si="33"/>
        <v>1067253</v>
      </c>
      <c r="BK72" s="22">
        <f t="shared" si="20"/>
        <v>-6876</v>
      </c>
      <c r="BL72" s="819">
        <f t="shared" si="34"/>
        <v>-6.401465745734451E-3</v>
      </c>
    </row>
    <row r="73" spans="1:64" x14ac:dyDescent="0.25">
      <c r="A73" s="181" t="s">
        <v>94</v>
      </c>
      <c r="B73" s="386">
        <v>4309</v>
      </c>
      <c r="C73" s="386">
        <v>25693297</v>
      </c>
      <c r="D73" s="842"/>
      <c r="E73" s="385"/>
      <c r="F73" s="386">
        <v>436</v>
      </c>
      <c r="G73" s="386">
        <v>4972597</v>
      </c>
      <c r="H73" s="386">
        <v>118294</v>
      </c>
      <c r="I73" s="386">
        <f>+G73+H73</f>
        <v>5090891</v>
      </c>
      <c r="J73" s="386">
        <v>39</v>
      </c>
      <c r="K73" s="386">
        <v>5527444</v>
      </c>
      <c r="L73" s="386">
        <v>22464</v>
      </c>
      <c r="M73" s="386">
        <v>0</v>
      </c>
      <c r="N73" s="386">
        <f>+L73+M73</f>
        <v>22464</v>
      </c>
      <c r="O73" s="386"/>
      <c r="P73" s="386">
        <f>+I73+K73</f>
        <v>10618335</v>
      </c>
      <c r="Q73" s="385"/>
      <c r="R73" s="385"/>
      <c r="S73" s="386">
        <v>0</v>
      </c>
      <c r="T73" s="385"/>
      <c r="U73" s="386"/>
      <c r="V73" s="386">
        <v>0</v>
      </c>
      <c r="W73" s="386">
        <v>0</v>
      </c>
      <c r="X73" s="386">
        <v>0</v>
      </c>
      <c r="Y73" s="386">
        <f>+W73+X73</f>
        <v>0</v>
      </c>
      <c r="Z73" s="386"/>
      <c r="AA73" s="386">
        <f>+S73+V73</f>
        <v>0</v>
      </c>
      <c r="AB73" s="386">
        <v>0</v>
      </c>
      <c r="AC73" s="386">
        <f t="shared" ref="AC73:AC85" si="35">+C73+P73+AA73+AB73</f>
        <v>36311632</v>
      </c>
      <c r="AD73" s="387">
        <f t="shared" ref="AD73:AD85" si="36">+N73+Y73</f>
        <v>22464</v>
      </c>
      <c r="AE73" s="91">
        <v>35240225.658529997</v>
      </c>
      <c r="AF73" s="22">
        <f t="shared" si="12"/>
        <v>1071406.3414700031</v>
      </c>
      <c r="AG73" s="662">
        <f t="shared" si="13"/>
        <v>3.0402936458230778E-2</v>
      </c>
      <c r="AH73" s="22"/>
      <c r="AI73" s="91">
        <v>25122571</v>
      </c>
      <c r="AJ73" s="22">
        <f t="shared" si="14"/>
        <v>25693297</v>
      </c>
      <c r="AK73" s="418">
        <f t="shared" si="21"/>
        <v>2.2717658952978975E-2</v>
      </c>
      <c r="AL73" s="735">
        <f t="shared" si="22"/>
        <v>570726</v>
      </c>
      <c r="AM73" s="91">
        <v>5192475.6585299997</v>
      </c>
      <c r="AN73" s="22">
        <f t="shared" si="15"/>
        <v>5090891</v>
      </c>
      <c r="AO73" s="418">
        <f t="shared" si="23"/>
        <v>-1.956381988293393E-2</v>
      </c>
      <c r="AP73" s="735">
        <f t="shared" si="24"/>
        <v>-101584.65852999967</v>
      </c>
      <c r="AQ73" s="91">
        <v>4925179</v>
      </c>
      <c r="AR73" s="22">
        <f t="shared" si="16"/>
        <v>5527444</v>
      </c>
      <c r="AS73" s="418">
        <f t="shared" si="25"/>
        <v>0.12228286525220708</v>
      </c>
      <c r="AT73" s="735">
        <f t="shared" si="26"/>
        <v>602265</v>
      </c>
      <c r="AU73" s="91">
        <v>19501</v>
      </c>
      <c r="AV73" s="22">
        <f t="shared" si="17"/>
        <v>22464</v>
      </c>
      <c r="AW73" s="418">
        <f t="shared" si="27"/>
        <v>0.15194092610635351</v>
      </c>
      <c r="AX73" s="735">
        <f t="shared" si="28"/>
        <v>2963</v>
      </c>
      <c r="AZ73" s="91">
        <v>0</v>
      </c>
      <c r="BA73" s="22">
        <f t="shared" si="29"/>
        <v>0</v>
      </c>
      <c r="BB73" s="22">
        <f t="shared" si="18"/>
        <v>0</v>
      </c>
      <c r="BC73" s="819" t="e">
        <f t="shared" si="30"/>
        <v>#DIV/0!</v>
      </c>
      <c r="BD73" s="384">
        <v>0</v>
      </c>
      <c r="BE73" s="22">
        <f t="shared" si="31"/>
        <v>0</v>
      </c>
      <c r="BF73" s="22">
        <f t="shared" si="19"/>
        <v>0</v>
      </c>
      <c r="BG73" s="819" t="e">
        <f t="shared" si="32"/>
        <v>#DIV/0!</v>
      </c>
      <c r="BI73" s="91">
        <v>0</v>
      </c>
      <c r="BJ73" s="22">
        <f t="shared" si="33"/>
        <v>0</v>
      </c>
      <c r="BK73" s="22">
        <f t="shared" si="20"/>
        <v>0</v>
      </c>
      <c r="BL73" s="819" t="e">
        <f t="shared" si="34"/>
        <v>#DIV/0!</v>
      </c>
    </row>
    <row r="74" spans="1:64" x14ac:dyDescent="0.25">
      <c r="A74" s="181" t="s">
        <v>95</v>
      </c>
      <c r="B74" s="386">
        <v>1393</v>
      </c>
      <c r="C74" s="386">
        <v>8976342</v>
      </c>
      <c r="D74" s="842"/>
      <c r="E74" s="385"/>
      <c r="F74" s="386">
        <v>162</v>
      </c>
      <c r="G74" s="386">
        <v>2280911</v>
      </c>
      <c r="H74" s="386">
        <v>45204</v>
      </c>
      <c r="I74" s="386">
        <f t="shared" ref="I74:I85" si="37">+G74+H74</f>
        <v>2326115</v>
      </c>
      <c r="J74" s="386">
        <v>3</v>
      </c>
      <c r="K74" s="386">
        <v>1600286</v>
      </c>
      <c r="L74" s="386">
        <v>4619</v>
      </c>
      <c r="M74" s="386">
        <v>0</v>
      </c>
      <c r="N74" s="386">
        <f t="shared" ref="N74:N85" si="38">+L74+M74</f>
        <v>4619</v>
      </c>
      <c r="O74" s="386"/>
      <c r="P74" s="386">
        <f t="shared" ref="P74:P85" si="39">+I74+K74</f>
        <v>3926401</v>
      </c>
      <c r="Q74" s="385"/>
      <c r="R74" s="385"/>
      <c r="S74" s="386">
        <v>0</v>
      </c>
      <c r="T74" s="385"/>
      <c r="U74" s="386"/>
      <c r="V74" s="386">
        <v>0</v>
      </c>
      <c r="W74" s="386">
        <v>0</v>
      </c>
      <c r="X74" s="386">
        <v>0</v>
      </c>
      <c r="Y74" s="386">
        <f t="shared" ref="Y74:Y85" si="40">+W74+X74</f>
        <v>0</v>
      </c>
      <c r="Z74" s="386"/>
      <c r="AA74" s="386">
        <f t="shared" ref="AA74:AA85" si="41">+S74+V74</f>
        <v>0</v>
      </c>
      <c r="AB74" s="386">
        <v>0</v>
      </c>
      <c r="AC74" s="386">
        <f t="shared" si="35"/>
        <v>12902743</v>
      </c>
      <c r="AD74" s="387">
        <f t="shared" si="36"/>
        <v>4619</v>
      </c>
      <c r="AE74" s="91">
        <v>12475317</v>
      </c>
      <c r="AF74" s="22">
        <f t="shared" si="12"/>
        <v>427426</v>
      </c>
      <c r="AG74" s="662">
        <f t="shared" si="13"/>
        <v>3.4261734591593873E-2</v>
      </c>
      <c r="AI74" s="91">
        <v>8695487</v>
      </c>
      <c r="AJ74" s="22">
        <f t="shared" si="14"/>
        <v>8976342</v>
      </c>
      <c r="AK74" s="418">
        <f t="shared" si="21"/>
        <v>3.2298938518337157E-2</v>
      </c>
      <c r="AL74" s="735">
        <f t="shared" si="22"/>
        <v>280855</v>
      </c>
      <c r="AM74" s="91">
        <v>2435110</v>
      </c>
      <c r="AN74" s="22">
        <f t="shared" si="15"/>
        <v>2326115</v>
      </c>
      <c r="AO74" s="418">
        <f t="shared" si="23"/>
        <v>-4.4759784978912656E-2</v>
      </c>
      <c r="AP74" s="735">
        <f t="shared" si="24"/>
        <v>-108995</v>
      </c>
      <c r="AQ74" s="91">
        <v>1344720</v>
      </c>
      <c r="AR74" s="22">
        <f t="shared" si="16"/>
        <v>1600286</v>
      </c>
      <c r="AS74" s="418">
        <f t="shared" si="25"/>
        <v>0.19005146052709856</v>
      </c>
      <c r="AT74" s="735">
        <f t="shared" si="26"/>
        <v>255566</v>
      </c>
      <c r="AU74" s="91">
        <v>4399.1400000000003</v>
      </c>
      <c r="AV74" s="22">
        <f t="shared" si="17"/>
        <v>4619</v>
      </c>
      <c r="AW74" s="418">
        <f t="shared" si="27"/>
        <v>4.9977950235727812E-2</v>
      </c>
      <c r="AX74" s="735">
        <f t="shared" si="28"/>
        <v>219.85999999999967</v>
      </c>
      <c r="AZ74" s="91">
        <v>0</v>
      </c>
      <c r="BA74" s="22">
        <f t="shared" si="29"/>
        <v>0</v>
      </c>
      <c r="BB74" s="22">
        <f t="shared" si="18"/>
        <v>0</v>
      </c>
      <c r="BC74" s="819" t="e">
        <f t="shared" si="30"/>
        <v>#DIV/0!</v>
      </c>
      <c r="BD74" s="384">
        <v>0</v>
      </c>
      <c r="BE74" s="22">
        <f t="shared" si="31"/>
        <v>0</v>
      </c>
      <c r="BF74" s="22">
        <f t="shared" si="19"/>
        <v>0</v>
      </c>
      <c r="BG74" s="819" t="e">
        <f t="shared" si="32"/>
        <v>#DIV/0!</v>
      </c>
      <c r="BI74" s="91">
        <v>0</v>
      </c>
      <c r="BJ74" s="22">
        <f t="shared" si="33"/>
        <v>0</v>
      </c>
      <c r="BK74" s="22">
        <f t="shared" si="20"/>
        <v>0</v>
      </c>
      <c r="BL74" s="819" t="e">
        <f t="shared" si="34"/>
        <v>#DIV/0!</v>
      </c>
    </row>
    <row r="75" spans="1:64" x14ac:dyDescent="0.25">
      <c r="A75" s="181" t="s">
        <v>96</v>
      </c>
      <c r="B75" s="386">
        <v>670</v>
      </c>
      <c r="C75" s="386">
        <v>3865155</v>
      </c>
      <c r="D75" s="842"/>
      <c r="E75" s="385"/>
      <c r="F75" s="386">
        <v>54</v>
      </c>
      <c r="G75" s="386">
        <v>593617</v>
      </c>
      <c r="H75" s="386">
        <v>17172</v>
      </c>
      <c r="I75" s="386">
        <f t="shared" si="37"/>
        <v>610789</v>
      </c>
      <c r="J75" s="386">
        <v>4</v>
      </c>
      <c r="K75" s="386">
        <v>790907</v>
      </c>
      <c r="L75" s="386">
        <v>4568</v>
      </c>
      <c r="M75" s="386">
        <v>0</v>
      </c>
      <c r="N75" s="386">
        <f t="shared" si="38"/>
        <v>4568</v>
      </c>
      <c r="O75" s="386"/>
      <c r="P75" s="386">
        <f t="shared" si="39"/>
        <v>1401696</v>
      </c>
      <c r="Q75" s="385"/>
      <c r="R75" s="385"/>
      <c r="S75" s="386">
        <v>0</v>
      </c>
      <c r="T75" s="385"/>
      <c r="U75" s="386"/>
      <c r="V75" s="386">
        <v>0</v>
      </c>
      <c r="W75" s="386">
        <v>0</v>
      </c>
      <c r="X75" s="386">
        <v>0</v>
      </c>
      <c r="Y75" s="386">
        <f t="shared" si="40"/>
        <v>0</v>
      </c>
      <c r="Z75" s="386"/>
      <c r="AA75" s="386">
        <f t="shared" si="41"/>
        <v>0</v>
      </c>
      <c r="AB75" s="386">
        <v>0</v>
      </c>
      <c r="AC75" s="386">
        <f t="shared" si="35"/>
        <v>5266851</v>
      </c>
      <c r="AD75" s="387">
        <f t="shared" si="36"/>
        <v>4568</v>
      </c>
      <c r="AE75" s="91">
        <v>5031704</v>
      </c>
      <c r="AF75" s="22">
        <f t="shared" si="12"/>
        <v>235147</v>
      </c>
      <c r="AG75" s="662">
        <f t="shared" si="13"/>
        <v>4.6733074918556383E-2</v>
      </c>
      <c r="AI75" s="91">
        <v>3703462</v>
      </c>
      <c r="AJ75" s="22">
        <f t="shared" si="14"/>
        <v>3865155</v>
      </c>
      <c r="AK75" s="418">
        <f t="shared" si="21"/>
        <v>4.3659959248940589E-2</v>
      </c>
      <c r="AL75" s="735">
        <f t="shared" si="22"/>
        <v>161693</v>
      </c>
      <c r="AM75" s="91">
        <v>595580</v>
      </c>
      <c r="AN75" s="22">
        <f t="shared" si="15"/>
        <v>610789</v>
      </c>
      <c r="AO75" s="418">
        <f t="shared" si="23"/>
        <v>2.553645186205044E-2</v>
      </c>
      <c r="AP75" s="735">
        <f t="shared" si="24"/>
        <v>15209</v>
      </c>
      <c r="AQ75" s="91">
        <v>732662</v>
      </c>
      <c r="AR75" s="22">
        <f t="shared" si="16"/>
        <v>790907</v>
      </c>
      <c r="AS75" s="418">
        <f t="shared" si="25"/>
        <v>7.9497776600942857E-2</v>
      </c>
      <c r="AT75" s="735">
        <f t="shared" si="26"/>
        <v>58245</v>
      </c>
      <c r="AU75" s="91">
        <v>4377.99</v>
      </c>
      <c r="AV75" s="22">
        <f t="shared" si="17"/>
        <v>4568</v>
      </c>
      <c r="AW75" s="418">
        <f t="shared" si="27"/>
        <v>4.3401195525800705E-2</v>
      </c>
      <c r="AX75" s="735">
        <f t="shared" si="28"/>
        <v>190.01000000000022</v>
      </c>
      <c r="AZ75" s="91">
        <v>0</v>
      </c>
      <c r="BA75" s="22">
        <f t="shared" si="29"/>
        <v>0</v>
      </c>
      <c r="BB75" s="22">
        <f t="shared" si="18"/>
        <v>0</v>
      </c>
      <c r="BC75" s="819" t="e">
        <f t="shared" si="30"/>
        <v>#DIV/0!</v>
      </c>
      <c r="BD75" s="384">
        <v>0</v>
      </c>
      <c r="BE75" s="22">
        <f t="shared" si="31"/>
        <v>0</v>
      </c>
      <c r="BF75" s="22">
        <f t="shared" si="19"/>
        <v>0</v>
      </c>
      <c r="BG75" s="819" t="e">
        <f t="shared" si="32"/>
        <v>#DIV/0!</v>
      </c>
      <c r="BI75" s="91">
        <v>0</v>
      </c>
      <c r="BJ75" s="22">
        <f t="shared" si="33"/>
        <v>0</v>
      </c>
      <c r="BK75" s="22">
        <f t="shared" si="20"/>
        <v>0</v>
      </c>
      <c r="BL75" s="819" t="e">
        <f t="shared" si="34"/>
        <v>#DIV/0!</v>
      </c>
    </row>
    <row r="76" spans="1:64" x14ac:dyDescent="0.25">
      <c r="A76" s="181" t="s">
        <v>97</v>
      </c>
      <c r="B76" s="386">
        <v>821</v>
      </c>
      <c r="C76" s="386">
        <v>5461407</v>
      </c>
      <c r="D76" s="842"/>
      <c r="E76" s="385"/>
      <c r="F76" s="386">
        <v>157</v>
      </c>
      <c r="G76" s="386">
        <v>1302901</v>
      </c>
      <c r="H76" s="386">
        <v>63993</v>
      </c>
      <c r="I76" s="386">
        <f t="shared" si="37"/>
        <v>1366894</v>
      </c>
      <c r="J76" s="386">
        <v>18</v>
      </c>
      <c r="K76" s="386">
        <v>5334938</v>
      </c>
      <c r="L76" s="386">
        <v>11901.18</v>
      </c>
      <c r="M76" s="386">
        <v>0</v>
      </c>
      <c r="N76" s="386">
        <f t="shared" si="38"/>
        <v>11901.18</v>
      </c>
      <c r="O76" s="386"/>
      <c r="P76" s="386">
        <f t="shared" si="39"/>
        <v>6701832</v>
      </c>
      <c r="Q76" s="385"/>
      <c r="R76" s="385"/>
      <c r="S76" s="386">
        <v>0</v>
      </c>
      <c r="T76" s="385"/>
      <c r="U76" s="386"/>
      <c r="V76" s="386">
        <v>0</v>
      </c>
      <c r="W76" s="386">
        <v>0</v>
      </c>
      <c r="X76" s="386">
        <v>0</v>
      </c>
      <c r="Y76" s="386">
        <f t="shared" si="40"/>
        <v>0</v>
      </c>
      <c r="Z76" s="386"/>
      <c r="AA76" s="386">
        <f t="shared" si="41"/>
        <v>0</v>
      </c>
      <c r="AB76" s="386">
        <v>0</v>
      </c>
      <c r="AC76" s="386">
        <f t="shared" si="35"/>
        <v>12163239</v>
      </c>
      <c r="AD76" s="387">
        <f t="shared" si="36"/>
        <v>11901.18</v>
      </c>
      <c r="AE76" s="91">
        <v>11615511</v>
      </c>
      <c r="AF76" s="22">
        <f t="shared" si="12"/>
        <v>547728</v>
      </c>
      <c r="AG76" s="662">
        <f t="shared" si="13"/>
        <v>4.7154877645934068E-2</v>
      </c>
      <c r="AI76" s="91">
        <v>5536809</v>
      </c>
      <c r="AJ76" s="22">
        <f t="shared" si="14"/>
        <v>5461407</v>
      </c>
      <c r="AK76" s="418">
        <f t="shared" si="21"/>
        <v>-1.3618313364250059E-2</v>
      </c>
      <c r="AL76" s="844">
        <f t="shared" si="22"/>
        <v>-75402</v>
      </c>
      <c r="AM76" s="91">
        <v>1407481</v>
      </c>
      <c r="AN76" s="22">
        <f t="shared" si="15"/>
        <v>1366894</v>
      </c>
      <c r="AO76" s="418">
        <f t="shared" si="23"/>
        <v>-2.8836623727069851E-2</v>
      </c>
      <c r="AP76" s="844">
        <f t="shared" si="24"/>
        <v>-40587</v>
      </c>
      <c r="AQ76" s="91">
        <v>4671221</v>
      </c>
      <c r="AR76" s="22">
        <f t="shared" si="16"/>
        <v>5334938</v>
      </c>
      <c r="AS76" s="418">
        <f t="shared" si="25"/>
        <v>0.14208640524608021</v>
      </c>
      <c r="AT76" s="844">
        <f t="shared" si="26"/>
        <v>663717</v>
      </c>
      <c r="AU76" s="91">
        <v>12764</v>
      </c>
      <c r="AV76" s="22">
        <f t="shared" si="17"/>
        <v>11901.18</v>
      </c>
      <c r="AW76" s="418">
        <f t="shared" si="27"/>
        <v>-6.759793168285802E-2</v>
      </c>
      <c r="AX76" s="844">
        <f t="shared" si="28"/>
        <v>-862.81999999999971</v>
      </c>
      <c r="AZ76" s="91">
        <v>0</v>
      </c>
      <c r="BA76" s="22">
        <f t="shared" si="29"/>
        <v>0</v>
      </c>
      <c r="BB76" s="22">
        <f t="shared" si="18"/>
        <v>0</v>
      </c>
      <c r="BC76" s="819" t="e">
        <f t="shared" si="30"/>
        <v>#DIV/0!</v>
      </c>
      <c r="BD76" s="384">
        <v>0</v>
      </c>
      <c r="BE76" s="22">
        <f t="shared" si="31"/>
        <v>0</v>
      </c>
      <c r="BF76" s="22">
        <f t="shared" si="19"/>
        <v>0</v>
      </c>
      <c r="BG76" s="819" t="e">
        <f t="shared" si="32"/>
        <v>#DIV/0!</v>
      </c>
      <c r="BI76" s="91">
        <v>0</v>
      </c>
      <c r="BJ76" s="22">
        <f t="shared" si="33"/>
        <v>0</v>
      </c>
      <c r="BK76" s="22">
        <f t="shared" si="20"/>
        <v>0</v>
      </c>
      <c r="BL76" s="819" t="e">
        <f t="shared" si="34"/>
        <v>#DIV/0!</v>
      </c>
    </row>
    <row r="77" spans="1:64" x14ac:dyDescent="0.25">
      <c r="A77" s="181" t="s">
        <v>98</v>
      </c>
      <c r="B77" s="386">
        <f>2966+9</f>
        <v>2975</v>
      </c>
      <c r="C77" s="386">
        <f>17360659+52681</f>
        <v>17413340</v>
      </c>
      <c r="D77" s="842"/>
      <c r="E77" s="385"/>
      <c r="F77" s="386">
        <f>580+1</f>
        <v>581</v>
      </c>
      <c r="G77" s="386">
        <v>4303561</v>
      </c>
      <c r="H77" s="386">
        <v>306522</v>
      </c>
      <c r="I77" s="386">
        <f t="shared" si="37"/>
        <v>4610083</v>
      </c>
      <c r="J77" s="386">
        <v>120</v>
      </c>
      <c r="K77" s="386">
        <v>12257955</v>
      </c>
      <c r="L77" s="386">
        <v>43774</v>
      </c>
      <c r="M77" s="386">
        <v>0</v>
      </c>
      <c r="N77" s="386">
        <f t="shared" si="38"/>
        <v>43774</v>
      </c>
      <c r="O77" s="386"/>
      <c r="P77" s="386">
        <f t="shared" si="39"/>
        <v>16868038</v>
      </c>
      <c r="Q77" s="385"/>
      <c r="R77" s="385"/>
      <c r="S77" s="386">
        <v>0</v>
      </c>
      <c r="T77" s="385"/>
      <c r="U77" s="386"/>
      <c r="V77" s="386">
        <v>17097580</v>
      </c>
      <c r="W77" s="386">
        <v>66866</v>
      </c>
      <c r="X77" s="386">
        <v>0</v>
      </c>
      <c r="Y77" s="386">
        <f t="shared" si="40"/>
        <v>66866</v>
      </c>
      <c r="Z77" s="386"/>
      <c r="AA77" s="386">
        <f t="shared" si="41"/>
        <v>17097580</v>
      </c>
      <c r="AB77" s="386">
        <v>0</v>
      </c>
      <c r="AC77" s="386">
        <f t="shared" si="35"/>
        <v>51378958</v>
      </c>
      <c r="AD77" s="387">
        <f t="shared" si="36"/>
        <v>110640</v>
      </c>
      <c r="AE77" s="91">
        <v>50349091.259999998</v>
      </c>
      <c r="AF77" s="22">
        <f t="shared" si="12"/>
        <v>1029866.7400000021</v>
      </c>
      <c r="AG77" s="662">
        <f t="shared" si="13"/>
        <v>2.0454524882719927E-2</v>
      </c>
      <c r="AI77" s="91">
        <v>17300252</v>
      </c>
      <c r="AJ77" s="22">
        <f t="shared" si="14"/>
        <v>17413340</v>
      </c>
      <c r="AK77" s="418">
        <f t="shared" si="21"/>
        <v>6.5367833948314739E-3</v>
      </c>
      <c r="AL77" s="735">
        <f t="shared" si="22"/>
        <v>113088</v>
      </c>
      <c r="AM77" s="91">
        <v>5286318</v>
      </c>
      <c r="AN77" s="22">
        <f t="shared" si="15"/>
        <v>4610083</v>
      </c>
      <c r="AO77" s="828">
        <f t="shared" si="23"/>
        <v>-0.12792174061416661</v>
      </c>
      <c r="AP77" s="829">
        <f t="shared" si="24"/>
        <v>-676235</v>
      </c>
      <c r="AQ77" s="91">
        <v>11023328.82</v>
      </c>
      <c r="AR77" s="22">
        <f t="shared" si="16"/>
        <v>12257955</v>
      </c>
      <c r="AS77" s="418">
        <f t="shared" si="25"/>
        <v>0.1120012112638766</v>
      </c>
      <c r="AT77" s="735">
        <f t="shared" si="26"/>
        <v>1234626.1799999997</v>
      </c>
      <c r="AU77" s="91">
        <v>36580.14</v>
      </c>
      <c r="AV77" s="22">
        <f t="shared" si="17"/>
        <v>43774</v>
      </c>
      <c r="AW77" s="418">
        <f t="shared" si="27"/>
        <v>0.19666026428548389</v>
      </c>
      <c r="AX77" s="735">
        <f t="shared" si="28"/>
        <v>7193.8600000000006</v>
      </c>
      <c r="AZ77" s="91">
        <v>0</v>
      </c>
      <c r="BA77" s="22">
        <f t="shared" si="29"/>
        <v>0</v>
      </c>
      <c r="BB77" s="22">
        <f t="shared" si="18"/>
        <v>0</v>
      </c>
      <c r="BC77" s="819" t="e">
        <f t="shared" si="30"/>
        <v>#DIV/0!</v>
      </c>
      <c r="BD77" s="384">
        <v>16739192.439999998</v>
      </c>
      <c r="BE77" s="22">
        <f t="shared" si="31"/>
        <v>17097580</v>
      </c>
      <c r="BF77" s="22">
        <f t="shared" si="19"/>
        <v>358387.56000000238</v>
      </c>
      <c r="BG77" s="819">
        <f t="shared" si="32"/>
        <v>2.1410086614668398E-2</v>
      </c>
      <c r="BI77" s="91">
        <v>71807</v>
      </c>
      <c r="BJ77" s="22">
        <f t="shared" si="33"/>
        <v>66866</v>
      </c>
      <c r="BK77" s="22">
        <f t="shared" si="20"/>
        <v>-4941</v>
      </c>
      <c r="BL77" s="819">
        <f t="shared" si="34"/>
        <v>-6.8809447546896538E-2</v>
      </c>
    </row>
    <row r="78" spans="1:64" x14ac:dyDescent="0.25">
      <c r="A78" s="181" t="s">
        <v>99</v>
      </c>
      <c r="B78" s="386">
        <v>4906</v>
      </c>
      <c r="C78" s="386">
        <v>33526203</v>
      </c>
      <c r="D78" s="842"/>
      <c r="E78" s="385"/>
      <c r="F78" s="386">
        <v>938</v>
      </c>
      <c r="G78" s="386">
        <v>11903747</v>
      </c>
      <c r="H78" s="386">
        <v>476514</v>
      </c>
      <c r="I78" s="386">
        <f t="shared" si="37"/>
        <v>12380261</v>
      </c>
      <c r="J78" s="386">
        <v>40</v>
      </c>
      <c r="K78" s="386">
        <v>16943526</v>
      </c>
      <c r="L78" s="386">
        <v>57065.79</v>
      </c>
      <c r="M78" s="386">
        <v>0</v>
      </c>
      <c r="N78" s="386">
        <f t="shared" si="38"/>
        <v>57065.79</v>
      </c>
      <c r="O78" s="386"/>
      <c r="P78" s="386">
        <f t="shared" si="39"/>
        <v>29323787</v>
      </c>
      <c r="Q78" s="385"/>
      <c r="R78" s="385"/>
      <c r="S78" s="386">
        <v>0</v>
      </c>
      <c r="T78" s="385"/>
      <c r="U78" s="386"/>
      <c r="V78" s="386">
        <v>0</v>
      </c>
      <c r="W78" s="386">
        <v>0</v>
      </c>
      <c r="X78" s="386">
        <v>0</v>
      </c>
      <c r="Y78" s="386">
        <f t="shared" si="40"/>
        <v>0</v>
      </c>
      <c r="Z78" s="386"/>
      <c r="AA78" s="386">
        <f t="shared" si="41"/>
        <v>0</v>
      </c>
      <c r="AB78" s="386">
        <v>0</v>
      </c>
      <c r="AC78" s="386">
        <f t="shared" si="35"/>
        <v>62849990</v>
      </c>
      <c r="AD78" s="387">
        <f t="shared" si="36"/>
        <v>57065.79</v>
      </c>
      <c r="AE78" s="91">
        <v>61625975</v>
      </c>
      <c r="AF78" s="22">
        <f t="shared" si="12"/>
        <v>1224015</v>
      </c>
      <c r="AG78" s="662">
        <f t="shared" si="13"/>
        <v>1.9861998126601721E-2</v>
      </c>
      <c r="AI78" s="91">
        <v>33828424</v>
      </c>
      <c r="AJ78" s="22">
        <f t="shared" si="14"/>
        <v>33526203</v>
      </c>
      <c r="AK78" s="418">
        <f t="shared" si="21"/>
        <v>-8.9339367391161936E-3</v>
      </c>
      <c r="AL78" s="735">
        <f t="shared" si="22"/>
        <v>-302221</v>
      </c>
      <c r="AM78" s="91">
        <v>12005701</v>
      </c>
      <c r="AN78" s="22">
        <f t="shared" si="15"/>
        <v>12380261</v>
      </c>
      <c r="AO78" s="418">
        <f t="shared" si="23"/>
        <v>3.119851144052313E-2</v>
      </c>
      <c r="AP78" s="735">
        <f t="shared" si="24"/>
        <v>374560</v>
      </c>
      <c r="AQ78" s="91">
        <v>15791850</v>
      </c>
      <c r="AR78" s="22">
        <f t="shared" si="16"/>
        <v>16943526</v>
      </c>
      <c r="AS78" s="418">
        <f t="shared" si="25"/>
        <v>7.2928504260108856E-2</v>
      </c>
      <c r="AT78" s="735">
        <f t="shared" si="26"/>
        <v>1151676</v>
      </c>
      <c r="AU78" s="91">
        <v>53490.81</v>
      </c>
      <c r="AV78" s="22">
        <f t="shared" si="17"/>
        <v>57065.79</v>
      </c>
      <c r="AW78" s="418">
        <f t="shared" si="27"/>
        <v>6.6833536452336459E-2</v>
      </c>
      <c r="AX78" s="735">
        <f t="shared" si="28"/>
        <v>3574.9800000000032</v>
      </c>
      <c r="AZ78" s="91">
        <v>0</v>
      </c>
      <c r="BA78" s="22">
        <f t="shared" si="29"/>
        <v>0</v>
      </c>
      <c r="BB78" s="22">
        <f t="shared" si="18"/>
        <v>0</v>
      </c>
      <c r="BC78" s="819" t="e">
        <f t="shared" si="30"/>
        <v>#DIV/0!</v>
      </c>
      <c r="BD78" s="384">
        <v>0</v>
      </c>
      <c r="BE78" s="22">
        <f t="shared" si="31"/>
        <v>0</v>
      </c>
      <c r="BF78" s="22">
        <f t="shared" si="19"/>
        <v>0</v>
      </c>
      <c r="BG78" s="819" t="e">
        <f t="shared" si="32"/>
        <v>#DIV/0!</v>
      </c>
      <c r="BI78" s="91">
        <v>0</v>
      </c>
      <c r="BJ78" s="22">
        <f t="shared" si="33"/>
        <v>0</v>
      </c>
      <c r="BK78" s="22">
        <f t="shared" si="20"/>
        <v>0</v>
      </c>
      <c r="BL78" s="819" t="e">
        <f t="shared" si="34"/>
        <v>#DIV/0!</v>
      </c>
    </row>
    <row r="79" spans="1:64" x14ac:dyDescent="0.25">
      <c r="A79" s="181" t="s">
        <v>100</v>
      </c>
      <c r="B79" s="386">
        <v>3644</v>
      </c>
      <c r="C79" s="386">
        <f>23099459+605392</f>
        <v>23704851</v>
      </c>
      <c r="D79" s="842"/>
      <c r="E79" s="385"/>
      <c r="F79" s="386">
        <v>571</v>
      </c>
      <c r="G79" s="386">
        <v>5432394</v>
      </c>
      <c r="H79" s="386">
        <v>37312</v>
      </c>
      <c r="I79" s="386">
        <f t="shared" si="37"/>
        <v>5469706</v>
      </c>
      <c r="J79" s="386">
        <v>98</v>
      </c>
      <c r="K79" s="386">
        <v>17820955</v>
      </c>
      <c r="L79" s="386">
        <v>51663</v>
      </c>
      <c r="M79" s="386">
        <v>0</v>
      </c>
      <c r="N79" s="386">
        <f t="shared" si="38"/>
        <v>51663</v>
      </c>
      <c r="O79" s="386"/>
      <c r="P79" s="386">
        <f t="shared" si="39"/>
        <v>23290661</v>
      </c>
      <c r="Q79" s="385"/>
      <c r="R79" s="385"/>
      <c r="S79" s="386">
        <v>0</v>
      </c>
      <c r="T79" s="385"/>
      <c r="U79" s="386"/>
      <c r="V79" s="386">
        <v>0</v>
      </c>
      <c r="W79" s="386">
        <v>0</v>
      </c>
      <c r="X79" s="386">
        <v>0</v>
      </c>
      <c r="Y79" s="386">
        <f t="shared" si="40"/>
        <v>0</v>
      </c>
      <c r="Z79" s="386"/>
      <c r="AA79" s="386">
        <f t="shared" si="41"/>
        <v>0</v>
      </c>
      <c r="AB79" s="386">
        <v>0</v>
      </c>
      <c r="AC79" s="386">
        <f t="shared" si="35"/>
        <v>46995512</v>
      </c>
      <c r="AD79" s="387">
        <f t="shared" si="36"/>
        <v>51663</v>
      </c>
      <c r="AE79" s="91">
        <v>46703552</v>
      </c>
      <c r="AF79" s="22">
        <f t="shared" si="12"/>
        <v>291960</v>
      </c>
      <c r="AG79" s="662">
        <f t="shared" si="13"/>
        <v>6.2513446514731452E-3</v>
      </c>
      <c r="AI79" s="91">
        <v>23533263</v>
      </c>
      <c r="AJ79" s="22">
        <f t="shared" si="14"/>
        <v>23704851</v>
      </c>
      <c r="AK79" s="418">
        <f t="shared" si="21"/>
        <v>7.2912965788042225E-3</v>
      </c>
      <c r="AL79" s="735">
        <f t="shared" si="22"/>
        <v>171588</v>
      </c>
      <c r="AM79" s="91">
        <v>5280294</v>
      </c>
      <c r="AN79" s="22">
        <f t="shared" si="15"/>
        <v>5469706</v>
      </c>
      <c r="AO79" s="418">
        <f t="shared" si="23"/>
        <v>3.5871487458842256E-2</v>
      </c>
      <c r="AP79" s="735">
        <f t="shared" si="24"/>
        <v>189412</v>
      </c>
      <c r="AQ79" s="91">
        <v>17889995</v>
      </c>
      <c r="AR79" s="22">
        <f t="shared" si="16"/>
        <v>17820955</v>
      </c>
      <c r="AS79" s="418">
        <f t="shared" si="25"/>
        <v>-3.8591402624763172E-3</v>
      </c>
      <c r="AT79" s="735">
        <f t="shared" si="26"/>
        <v>-69040</v>
      </c>
      <c r="AU79" s="91">
        <v>51587.8</v>
      </c>
      <c r="AV79" s="22">
        <f t="shared" si="17"/>
        <v>51663</v>
      </c>
      <c r="AW79" s="418">
        <f t="shared" si="27"/>
        <v>1.4577089932115168E-3</v>
      </c>
      <c r="AX79" s="735">
        <f t="shared" si="28"/>
        <v>75.19999999999709</v>
      </c>
      <c r="AZ79" s="91">
        <v>0</v>
      </c>
      <c r="BA79" s="22">
        <f t="shared" si="29"/>
        <v>0</v>
      </c>
      <c r="BB79" s="22">
        <f t="shared" si="18"/>
        <v>0</v>
      </c>
      <c r="BC79" s="819" t="e">
        <f t="shared" si="30"/>
        <v>#DIV/0!</v>
      </c>
      <c r="BD79" s="384">
        <v>0</v>
      </c>
      <c r="BE79" s="22">
        <f t="shared" si="31"/>
        <v>0</v>
      </c>
      <c r="BF79" s="22">
        <f t="shared" si="19"/>
        <v>0</v>
      </c>
      <c r="BG79" s="819" t="e">
        <f t="shared" si="32"/>
        <v>#DIV/0!</v>
      </c>
      <c r="BI79" s="91">
        <v>0</v>
      </c>
      <c r="BJ79" s="22">
        <f t="shared" si="33"/>
        <v>0</v>
      </c>
      <c r="BK79" s="22">
        <f t="shared" si="20"/>
        <v>0</v>
      </c>
      <c r="BL79" s="819" t="e">
        <f t="shared" si="34"/>
        <v>#DIV/0!</v>
      </c>
    </row>
    <row r="80" spans="1:64" x14ac:dyDescent="0.25">
      <c r="A80" s="181" t="s">
        <v>101</v>
      </c>
      <c r="B80" s="386">
        <v>1622</v>
      </c>
      <c r="C80" s="386">
        <v>10792180</v>
      </c>
      <c r="D80" s="842"/>
      <c r="E80" s="385"/>
      <c r="F80" s="386">
        <v>225</v>
      </c>
      <c r="G80" s="386">
        <v>2565391</v>
      </c>
      <c r="H80" s="386">
        <v>88147</v>
      </c>
      <c r="I80" s="386">
        <f t="shared" si="37"/>
        <v>2653538</v>
      </c>
      <c r="J80" s="386">
        <v>17</v>
      </c>
      <c r="K80" s="386">
        <v>7218841.120005413</v>
      </c>
      <c r="L80" s="386">
        <v>19416.615999999998</v>
      </c>
      <c r="M80" s="386">
        <v>0</v>
      </c>
      <c r="N80" s="386">
        <f t="shared" si="38"/>
        <v>19416.615999999998</v>
      </c>
      <c r="O80" s="386"/>
      <c r="P80" s="386">
        <f t="shared" si="39"/>
        <v>9872379.1200054139</v>
      </c>
      <c r="Q80" s="385"/>
      <c r="R80" s="385"/>
      <c r="S80" s="386">
        <v>0</v>
      </c>
      <c r="T80" s="385"/>
      <c r="U80" s="386">
        <v>1</v>
      </c>
      <c r="V80" s="386">
        <v>7896119</v>
      </c>
      <c r="W80" s="386">
        <v>16855.473999999998</v>
      </c>
      <c r="X80" s="386">
        <v>0</v>
      </c>
      <c r="Y80" s="386">
        <f t="shared" si="40"/>
        <v>16855.473999999998</v>
      </c>
      <c r="Z80" s="386"/>
      <c r="AA80" s="386">
        <f t="shared" si="41"/>
        <v>7896119</v>
      </c>
      <c r="AB80" s="386">
        <v>0</v>
      </c>
      <c r="AC80" s="386">
        <f t="shared" si="35"/>
        <v>28560678.120005414</v>
      </c>
      <c r="AD80" s="387">
        <f t="shared" si="36"/>
        <v>36272.089999999997</v>
      </c>
      <c r="AE80" s="91">
        <v>27105961</v>
      </c>
      <c r="AF80" s="22">
        <f t="shared" si="12"/>
        <v>1454717.1200054139</v>
      </c>
      <c r="AG80" s="662">
        <f t="shared" si="13"/>
        <v>5.3667793589956547E-2</v>
      </c>
      <c r="AI80" s="91">
        <v>10873110</v>
      </c>
      <c r="AJ80" s="22">
        <f t="shared" si="14"/>
        <v>10792180</v>
      </c>
      <c r="AK80" s="418">
        <f t="shared" si="21"/>
        <v>-7.4431326455816228E-3</v>
      </c>
      <c r="AL80" s="735">
        <f t="shared" si="22"/>
        <v>-80930</v>
      </c>
      <c r="AM80" s="91">
        <v>2727891.3710927158</v>
      </c>
      <c r="AN80" s="22">
        <f t="shared" si="15"/>
        <v>2653538</v>
      </c>
      <c r="AO80" s="418">
        <f t="shared" si="23"/>
        <v>-2.7256719926839285E-2</v>
      </c>
      <c r="AP80" s="735">
        <f t="shared" si="24"/>
        <v>-74353.371092715766</v>
      </c>
      <c r="AQ80" s="91">
        <v>6263633.6289072838</v>
      </c>
      <c r="AR80" s="22">
        <f t="shared" si="16"/>
        <v>7218841.120005413</v>
      </c>
      <c r="AS80" s="418">
        <f t="shared" si="25"/>
        <v>0.15250053685926854</v>
      </c>
      <c r="AT80" s="735">
        <f t="shared" si="26"/>
        <v>955207.49109812919</v>
      </c>
      <c r="AU80" s="91">
        <v>18455.484</v>
      </c>
      <c r="AV80" s="22">
        <f t="shared" si="17"/>
        <v>19416.615999999998</v>
      </c>
      <c r="AW80" s="418">
        <f t="shared" si="27"/>
        <v>5.2078395776561467E-2</v>
      </c>
      <c r="AX80" s="735">
        <f t="shared" si="28"/>
        <v>961.13199999999779</v>
      </c>
      <c r="AZ80" s="91">
        <v>0</v>
      </c>
      <c r="BA80" s="22">
        <f t="shared" si="29"/>
        <v>0</v>
      </c>
      <c r="BB80" s="22">
        <f t="shared" si="18"/>
        <v>0</v>
      </c>
      <c r="BC80" s="819" t="e">
        <f t="shared" si="30"/>
        <v>#DIV/0!</v>
      </c>
      <c r="BD80" s="384">
        <v>7241326</v>
      </c>
      <c r="BE80" s="22">
        <f t="shared" si="31"/>
        <v>7896119</v>
      </c>
      <c r="BF80" s="22">
        <f t="shared" si="19"/>
        <v>654793</v>
      </c>
      <c r="BG80" s="819">
        <f t="shared" si="32"/>
        <v>9.0424460934364778E-2</v>
      </c>
      <c r="BI80" s="91">
        <v>16903.367999999999</v>
      </c>
      <c r="BJ80" s="22">
        <f t="shared" si="33"/>
        <v>16855.473999999998</v>
      </c>
      <c r="BK80" s="22">
        <f t="shared" si="20"/>
        <v>-47.894000000000233</v>
      </c>
      <c r="BL80" s="819">
        <f t="shared" si="34"/>
        <v>-2.833399828957178E-3</v>
      </c>
    </row>
    <row r="81" spans="1:64" x14ac:dyDescent="0.25">
      <c r="A81" s="181" t="s">
        <v>102</v>
      </c>
      <c r="B81" s="386">
        <v>580</v>
      </c>
      <c r="C81" s="386">
        <v>4097061</v>
      </c>
      <c r="D81" s="386"/>
      <c r="E81" s="385"/>
      <c r="F81" s="386">
        <v>92</v>
      </c>
      <c r="G81" s="386">
        <v>2064666</v>
      </c>
      <c r="H81" s="386">
        <v>111926</v>
      </c>
      <c r="I81" s="386">
        <f t="shared" si="37"/>
        <v>2176592</v>
      </c>
      <c r="J81" s="386"/>
      <c r="K81" s="386">
        <v>0</v>
      </c>
      <c r="L81" s="386">
        <v>0</v>
      </c>
      <c r="M81" s="386">
        <v>0</v>
      </c>
      <c r="N81" s="386">
        <f t="shared" si="38"/>
        <v>0</v>
      </c>
      <c r="O81" s="386"/>
      <c r="P81" s="386">
        <f t="shared" si="39"/>
        <v>2176592</v>
      </c>
      <c r="Q81" s="385"/>
      <c r="R81" s="385"/>
      <c r="S81" s="386">
        <v>0</v>
      </c>
      <c r="T81" s="385"/>
      <c r="U81" s="386">
        <v>1</v>
      </c>
      <c r="V81" s="386">
        <v>6616800</v>
      </c>
      <c r="W81" s="386">
        <v>24236</v>
      </c>
      <c r="X81" s="386">
        <v>0</v>
      </c>
      <c r="Y81" s="386">
        <f t="shared" si="40"/>
        <v>24236</v>
      </c>
      <c r="Z81" s="386"/>
      <c r="AA81" s="386">
        <f t="shared" si="41"/>
        <v>6616800</v>
      </c>
      <c r="AB81" s="386">
        <v>0</v>
      </c>
      <c r="AC81" s="386">
        <f t="shared" si="35"/>
        <v>12890453</v>
      </c>
      <c r="AD81" s="387">
        <f t="shared" si="36"/>
        <v>24236</v>
      </c>
      <c r="AE81" s="91">
        <v>11984282</v>
      </c>
      <c r="AF81" s="22">
        <f>AC81-AE81</f>
        <v>906171</v>
      </c>
      <c r="AG81" s="662">
        <f t="shared" si="13"/>
        <v>7.5613290808744349E-2</v>
      </c>
      <c r="AI81" s="91">
        <v>4077447</v>
      </c>
      <c r="AJ81" s="22">
        <f t="shared" si="14"/>
        <v>4097061</v>
      </c>
      <c r="AK81" s="418">
        <f t="shared" si="21"/>
        <v>4.8103629550549643E-3</v>
      </c>
      <c r="AL81" s="735">
        <f t="shared" si="22"/>
        <v>19614</v>
      </c>
      <c r="AM81" s="91">
        <v>2163635</v>
      </c>
      <c r="AN81" s="22">
        <f t="shared" si="15"/>
        <v>2176592</v>
      </c>
      <c r="AO81" s="418">
        <f t="shared" si="23"/>
        <v>5.9885331860503269E-3</v>
      </c>
      <c r="AP81" s="735">
        <f t="shared" si="24"/>
        <v>12957</v>
      </c>
      <c r="AQ81" s="91">
        <v>0</v>
      </c>
      <c r="AR81" s="22">
        <f t="shared" si="16"/>
        <v>0</v>
      </c>
      <c r="AS81" s="418" t="e">
        <f t="shared" si="25"/>
        <v>#DIV/0!</v>
      </c>
      <c r="AT81" s="735">
        <f t="shared" si="26"/>
        <v>0</v>
      </c>
      <c r="AU81" s="91">
        <v>0</v>
      </c>
      <c r="AV81" s="22">
        <f t="shared" si="17"/>
        <v>0</v>
      </c>
      <c r="AW81" s="418" t="e">
        <f t="shared" si="27"/>
        <v>#DIV/0!</v>
      </c>
      <c r="AX81" s="735">
        <f t="shared" si="28"/>
        <v>0</v>
      </c>
      <c r="AZ81" s="91">
        <v>0</v>
      </c>
      <c r="BA81" s="22">
        <f t="shared" si="29"/>
        <v>0</v>
      </c>
      <c r="BB81" s="22">
        <f t="shared" si="18"/>
        <v>0</v>
      </c>
      <c r="BC81" s="819" t="e">
        <f t="shared" si="30"/>
        <v>#DIV/0!</v>
      </c>
      <c r="BD81" s="384">
        <v>5743200</v>
      </c>
      <c r="BE81" s="22">
        <f t="shared" si="31"/>
        <v>6616800</v>
      </c>
      <c r="BF81" s="22">
        <f t="shared" si="19"/>
        <v>873600</v>
      </c>
      <c r="BG81" s="819">
        <f t="shared" si="32"/>
        <v>0.15211032177183451</v>
      </c>
      <c r="BI81" s="91">
        <v>25702.583333333332</v>
      </c>
      <c r="BJ81" s="22">
        <f t="shared" si="33"/>
        <v>24236</v>
      </c>
      <c r="BK81" s="22">
        <f t="shared" si="20"/>
        <v>-1466.5833333333321</v>
      </c>
      <c r="BL81" s="819">
        <f t="shared" si="34"/>
        <v>-5.7059763772124031E-2</v>
      </c>
    </row>
    <row r="82" spans="1:64" x14ac:dyDescent="0.25">
      <c r="A82" s="181" t="s">
        <v>168</v>
      </c>
      <c r="B82" s="386">
        <f>3434+103</f>
        <v>3537</v>
      </c>
      <c r="C82" s="386">
        <f>26049742+1502697</f>
        <v>27552439</v>
      </c>
      <c r="D82" s="386"/>
      <c r="E82" s="385"/>
      <c r="F82" s="386">
        <f>704+10</f>
        <v>714</v>
      </c>
      <c r="G82" s="386">
        <f>7406003+148605</f>
        <v>7554608</v>
      </c>
      <c r="H82" s="386">
        <v>44967</v>
      </c>
      <c r="I82" s="386">
        <f t="shared" si="37"/>
        <v>7599575</v>
      </c>
      <c r="J82" s="386">
        <v>98</v>
      </c>
      <c r="K82" s="386">
        <v>33445067</v>
      </c>
      <c r="L82" s="386">
        <v>92952</v>
      </c>
      <c r="M82" s="386">
        <v>0</v>
      </c>
      <c r="N82" s="386">
        <f t="shared" si="38"/>
        <v>92952</v>
      </c>
      <c r="O82" s="386"/>
      <c r="P82" s="386">
        <f t="shared" si="39"/>
        <v>41044642</v>
      </c>
      <c r="Q82" s="385"/>
      <c r="R82" s="385"/>
      <c r="S82" s="386">
        <v>0</v>
      </c>
      <c r="T82" s="385"/>
      <c r="U82" s="386">
        <v>1</v>
      </c>
      <c r="V82" s="386">
        <v>9150600</v>
      </c>
      <c r="W82" s="386">
        <v>28000</v>
      </c>
      <c r="X82" s="386">
        <v>0</v>
      </c>
      <c r="Y82" s="386">
        <f t="shared" si="40"/>
        <v>28000</v>
      </c>
      <c r="Z82" s="386"/>
      <c r="AA82" s="386">
        <f t="shared" si="41"/>
        <v>9150600</v>
      </c>
      <c r="AB82" s="386">
        <v>0</v>
      </c>
      <c r="AC82" s="386">
        <f t="shared" si="35"/>
        <v>77747681</v>
      </c>
      <c r="AD82" s="387">
        <f t="shared" si="36"/>
        <v>120952</v>
      </c>
      <c r="AE82" s="91">
        <v>72521968</v>
      </c>
      <c r="AF82" s="22">
        <f>AC82-AE82</f>
        <v>5225713</v>
      </c>
      <c r="AG82" s="662">
        <f t="shared" si="13"/>
        <v>7.2056966242284082E-2</v>
      </c>
      <c r="AI82" s="91">
        <v>27385222</v>
      </c>
      <c r="AJ82" s="22">
        <f t="shared" si="14"/>
        <v>27552439</v>
      </c>
      <c r="AK82" s="418">
        <f t="shared" si="21"/>
        <v>6.1061035035611545E-3</v>
      </c>
      <c r="AL82" s="735">
        <f t="shared" si="22"/>
        <v>167217</v>
      </c>
      <c r="AM82" s="91">
        <v>7693710</v>
      </c>
      <c r="AN82" s="22">
        <f t="shared" si="15"/>
        <v>7599575</v>
      </c>
      <c r="AO82" s="828">
        <f t="shared" si="23"/>
        <v>-1.2235319501254921E-2</v>
      </c>
      <c r="AP82" s="829">
        <f t="shared" si="24"/>
        <v>-94135</v>
      </c>
      <c r="AQ82" s="91">
        <v>30120836</v>
      </c>
      <c r="AR82" s="22">
        <f t="shared" si="16"/>
        <v>33445067</v>
      </c>
      <c r="AS82" s="418">
        <f t="shared" si="25"/>
        <v>0.11036317185884216</v>
      </c>
      <c r="AT82" s="735">
        <f t="shared" si="26"/>
        <v>3324231</v>
      </c>
      <c r="AU82" s="91">
        <v>75724</v>
      </c>
      <c r="AV82" s="22">
        <f t="shared" si="17"/>
        <v>92952</v>
      </c>
      <c r="AW82" s="418">
        <f t="shared" si="27"/>
        <v>0.22751043262373885</v>
      </c>
      <c r="AX82" s="735">
        <f t="shared" si="28"/>
        <v>17228</v>
      </c>
      <c r="AZ82" s="91">
        <v>0</v>
      </c>
      <c r="BA82" s="22">
        <f t="shared" si="29"/>
        <v>0</v>
      </c>
      <c r="BB82" s="22">
        <f t="shared" si="18"/>
        <v>0</v>
      </c>
      <c r="BC82" s="819" t="e">
        <f t="shared" si="30"/>
        <v>#DIV/0!</v>
      </c>
      <c r="BD82" s="384">
        <v>7322200</v>
      </c>
      <c r="BE82" s="22">
        <f t="shared" si="31"/>
        <v>9150600</v>
      </c>
      <c r="BF82" s="22">
        <f t="shared" si="19"/>
        <v>1828400</v>
      </c>
      <c r="BG82" s="819">
        <f t="shared" si="32"/>
        <v>0.24970637240173718</v>
      </c>
      <c r="BI82" s="91">
        <v>31960</v>
      </c>
      <c r="BJ82" s="22">
        <f t="shared" si="33"/>
        <v>28000</v>
      </c>
      <c r="BK82" s="22">
        <f t="shared" si="20"/>
        <v>-3960</v>
      </c>
      <c r="BL82" s="819">
        <f t="shared" si="34"/>
        <v>-0.12390488110137672</v>
      </c>
    </row>
    <row r="83" spans="1:64" x14ac:dyDescent="0.25">
      <c r="A83" s="181" t="s">
        <v>104</v>
      </c>
      <c r="B83" s="386">
        <v>3340</v>
      </c>
      <c r="C83" s="386">
        <v>27513609</v>
      </c>
      <c r="D83" s="386"/>
      <c r="E83" s="385"/>
      <c r="F83" s="386">
        <v>340</v>
      </c>
      <c r="G83" s="386">
        <v>2941004</v>
      </c>
      <c r="H83" s="386">
        <v>126928</v>
      </c>
      <c r="I83" s="386">
        <f t="shared" si="37"/>
        <v>3067932</v>
      </c>
      <c r="J83" s="386">
        <v>89</v>
      </c>
      <c r="K83" s="386">
        <v>22233586</v>
      </c>
      <c r="L83" s="386">
        <v>87995</v>
      </c>
      <c r="M83" s="386">
        <v>0</v>
      </c>
      <c r="N83" s="386">
        <f t="shared" si="38"/>
        <v>87995</v>
      </c>
      <c r="O83" s="386"/>
      <c r="P83" s="386">
        <f t="shared" si="39"/>
        <v>25301518</v>
      </c>
      <c r="Q83" s="385"/>
      <c r="R83" s="385"/>
      <c r="S83" s="386">
        <v>0</v>
      </c>
      <c r="T83" s="385"/>
      <c r="U83" s="386"/>
      <c r="V83" s="386">
        <v>0</v>
      </c>
      <c r="W83" s="386">
        <v>0</v>
      </c>
      <c r="X83" s="386">
        <v>0</v>
      </c>
      <c r="Y83" s="386">
        <f t="shared" si="40"/>
        <v>0</v>
      </c>
      <c r="Z83" s="386"/>
      <c r="AA83" s="386">
        <f t="shared" si="41"/>
        <v>0</v>
      </c>
      <c r="AB83" s="386">
        <v>0</v>
      </c>
      <c r="AC83" s="386">
        <f t="shared" si="35"/>
        <v>52815127</v>
      </c>
      <c r="AD83" s="387">
        <f t="shared" si="36"/>
        <v>87995</v>
      </c>
      <c r="AE83" s="91">
        <v>51963306</v>
      </c>
      <c r="AF83" s="22">
        <f>AC83-AE83</f>
        <v>851821</v>
      </c>
      <c r="AG83" s="662">
        <f t="shared" si="13"/>
        <v>1.6392740677431128E-2</v>
      </c>
      <c r="AI83" s="91">
        <v>27265015</v>
      </c>
      <c r="AJ83" s="22">
        <f t="shared" si="14"/>
        <v>27513609</v>
      </c>
      <c r="AK83" s="418">
        <f t="shared" si="21"/>
        <v>9.1176916645745471E-3</v>
      </c>
      <c r="AL83" s="735">
        <f t="shared" si="22"/>
        <v>248594</v>
      </c>
      <c r="AM83" s="91">
        <v>3102669</v>
      </c>
      <c r="AN83" s="22">
        <f t="shared" si="15"/>
        <v>3067932</v>
      </c>
      <c r="AO83" s="418">
        <f t="shared" si="23"/>
        <v>-1.1195844609914882E-2</v>
      </c>
      <c r="AP83" s="735">
        <f t="shared" si="24"/>
        <v>-34737</v>
      </c>
      <c r="AQ83" s="91">
        <v>21595622</v>
      </c>
      <c r="AR83" s="22">
        <f t="shared" si="16"/>
        <v>22233586</v>
      </c>
      <c r="AS83" s="418">
        <f t="shared" si="25"/>
        <v>2.9541357965980328E-2</v>
      </c>
      <c r="AT83" s="735">
        <f t="shared" si="26"/>
        <v>637964</v>
      </c>
      <c r="AU83" s="91">
        <v>87843</v>
      </c>
      <c r="AV83" s="22">
        <f t="shared" si="17"/>
        <v>87995</v>
      </c>
      <c r="AW83" s="418">
        <f t="shared" si="27"/>
        <v>1.730359846544403E-3</v>
      </c>
      <c r="AX83" s="735">
        <f t="shared" si="28"/>
        <v>152</v>
      </c>
      <c r="AZ83" s="91">
        <v>0</v>
      </c>
      <c r="BA83" s="22">
        <f t="shared" si="29"/>
        <v>0</v>
      </c>
      <c r="BB83" s="22">
        <f t="shared" si="18"/>
        <v>0</v>
      </c>
      <c r="BC83" s="819" t="e">
        <f t="shared" si="30"/>
        <v>#DIV/0!</v>
      </c>
      <c r="BD83" s="384">
        <v>0</v>
      </c>
      <c r="BE83" s="22">
        <f t="shared" si="31"/>
        <v>0</v>
      </c>
      <c r="BF83" s="22">
        <f t="shared" si="19"/>
        <v>0</v>
      </c>
      <c r="BG83" s="819" t="e">
        <f t="shared" si="32"/>
        <v>#DIV/0!</v>
      </c>
      <c r="BI83" s="91">
        <v>0</v>
      </c>
      <c r="BJ83" s="22">
        <f t="shared" si="33"/>
        <v>0</v>
      </c>
      <c r="BK83" s="22">
        <f t="shared" si="20"/>
        <v>0</v>
      </c>
      <c r="BL83" s="819" t="e">
        <f t="shared" si="34"/>
        <v>#DIV/0!</v>
      </c>
    </row>
    <row r="84" spans="1:64" x14ac:dyDescent="0.25">
      <c r="A84" s="181" t="s">
        <v>105</v>
      </c>
      <c r="B84" s="387">
        <f>35316+55</f>
        <v>35371</v>
      </c>
      <c r="C84" s="386">
        <f>233047161+6435089</f>
        <v>239482250</v>
      </c>
      <c r="D84" s="386"/>
      <c r="E84" s="385"/>
      <c r="F84" s="386">
        <v>4715</v>
      </c>
      <c r="G84" s="386">
        <v>67718942</v>
      </c>
      <c r="H84" s="386">
        <v>1510629</v>
      </c>
      <c r="I84" s="386">
        <f t="shared" si="37"/>
        <v>69229571</v>
      </c>
      <c r="J84" s="386">
        <v>152</v>
      </c>
      <c r="K84" s="386">
        <f>72869766-6435089</f>
        <v>66434677</v>
      </c>
      <c r="L84" s="386">
        <v>23324</v>
      </c>
      <c r="M84" s="386">
        <v>0</v>
      </c>
      <c r="N84" s="386">
        <f t="shared" si="38"/>
        <v>23324</v>
      </c>
      <c r="O84" s="386"/>
      <c r="P84" s="386">
        <f t="shared" si="39"/>
        <v>135664248</v>
      </c>
      <c r="Q84" s="385"/>
      <c r="R84" s="386">
        <v>6</v>
      </c>
      <c r="S84" s="386">
        <v>5557123</v>
      </c>
      <c r="T84" s="385"/>
      <c r="U84" s="386">
        <v>10</v>
      </c>
      <c r="V84" s="386">
        <v>87192659</v>
      </c>
      <c r="W84" s="386">
        <v>323836</v>
      </c>
      <c r="X84" s="386">
        <v>0</v>
      </c>
      <c r="Y84" s="386">
        <f t="shared" si="40"/>
        <v>323836</v>
      </c>
      <c r="Z84" s="386"/>
      <c r="AA84" s="386">
        <f t="shared" si="41"/>
        <v>92749782</v>
      </c>
      <c r="AB84" s="386">
        <v>0</v>
      </c>
      <c r="AC84" s="386">
        <f t="shared" si="35"/>
        <v>467896280</v>
      </c>
      <c r="AD84" s="387">
        <f t="shared" si="36"/>
        <v>347160</v>
      </c>
      <c r="AE84" s="91">
        <v>473139704</v>
      </c>
      <c r="AF84" s="22">
        <f>AC84-AE84</f>
        <v>-5243424</v>
      </c>
      <c r="AG84" s="662">
        <f t="shared" si="13"/>
        <v>-1.1082189796525754E-2</v>
      </c>
      <c r="AI84" s="91">
        <v>241211206</v>
      </c>
      <c r="AJ84" s="22">
        <f t="shared" si="14"/>
        <v>239482250</v>
      </c>
      <c r="AK84" s="418">
        <f t="shared" si="21"/>
        <v>-7.1678096083147977E-3</v>
      </c>
      <c r="AL84" s="735">
        <f t="shared" si="22"/>
        <v>-1728956</v>
      </c>
      <c r="AM84" s="91">
        <v>64019879</v>
      </c>
      <c r="AN84" s="22">
        <f t="shared" si="15"/>
        <v>69229571</v>
      </c>
      <c r="AO84" s="828">
        <f t="shared" si="23"/>
        <v>8.137616130139827E-2</v>
      </c>
      <c r="AP84" s="829">
        <f t="shared" si="24"/>
        <v>5209692</v>
      </c>
      <c r="AQ84" s="397">
        <v>73793408</v>
      </c>
      <c r="AR84" s="22">
        <f t="shared" si="16"/>
        <v>66434677</v>
      </c>
      <c r="AS84" s="418">
        <f t="shared" si="25"/>
        <v>-9.9720709470417737E-2</v>
      </c>
      <c r="AT84" s="735">
        <f t="shared" si="26"/>
        <v>-7358731</v>
      </c>
      <c r="AU84" s="397">
        <v>22442</v>
      </c>
      <c r="AV84" s="22">
        <f t="shared" si="17"/>
        <v>23324</v>
      </c>
      <c r="AW84" s="418">
        <f t="shared" si="27"/>
        <v>3.9301310043668124E-2</v>
      </c>
      <c r="AX84" s="735">
        <f t="shared" si="28"/>
        <v>882</v>
      </c>
      <c r="AZ84" s="91">
        <v>5604228</v>
      </c>
      <c r="BA84" s="22">
        <f t="shared" si="29"/>
        <v>5557123</v>
      </c>
      <c r="BB84" s="22">
        <f t="shared" si="18"/>
        <v>-47105</v>
      </c>
      <c r="BC84" s="819">
        <f t="shared" si="30"/>
        <v>-8.4052611706732852E-3</v>
      </c>
      <c r="BD84" s="384">
        <v>88510983</v>
      </c>
      <c r="BE84" s="22">
        <f t="shared" si="31"/>
        <v>87192659</v>
      </c>
      <c r="BF84" s="830">
        <f t="shared" si="19"/>
        <v>-1318324</v>
      </c>
      <c r="BG84" s="827">
        <f t="shared" si="32"/>
        <v>-1.4894467955462657E-2</v>
      </c>
      <c r="BI84" s="91">
        <v>207220</v>
      </c>
      <c r="BJ84" s="22">
        <f t="shared" si="33"/>
        <v>323836</v>
      </c>
      <c r="BK84" s="830">
        <f t="shared" si="20"/>
        <v>116616</v>
      </c>
      <c r="BL84" s="827">
        <f t="shared" si="34"/>
        <v>0.56276421194865356</v>
      </c>
    </row>
    <row r="85" spans="1:64" s="40" customFormat="1" ht="17.25" x14ac:dyDescent="0.4">
      <c r="A85" s="391" t="s">
        <v>106</v>
      </c>
      <c r="B85" s="389">
        <v>10206</v>
      </c>
      <c r="C85" s="389">
        <v>66279783</v>
      </c>
      <c r="D85" s="389"/>
      <c r="E85" s="390"/>
      <c r="F85" s="389">
        <v>658</v>
      </c>
      <c r="G85" s="389">
        <v>5290618</v>
      </c>
      <c r="H85" s="389">
        <v>139900</v>
      </c>
      <c r="I85" s="389">
        <f t="shared" si="37"/>
        <v>5430518</v>
      </c>
      <c r="J85" s="389">
        <v>13</v>
      </c>
      <c r="K85" s="389">
        <v>4228042</v>
      </c>
      <c r="L85" s="389">
        <v>13301</v>
      </c>
      <c r="M85" s="389">
        <v>0</v>
      </c>
      <c r="N85" s="389">
        <f t="shared" si="38"/>
        <v>13301</v>
      </c>
      <c r="O85" s="389"/>
      <c r="P85" s="389">
        <f t="shared" si="39"/>
        <v>9658560</v>
      </c>
      <c r="Q85" s="390"/>
      <c r="R85" s="390"/>
      <c r="S85" s="389">
        <v>0</v>
      </c>
      <c r="T85" s="390"/>
      <c r="U85" s="389"/>
      <c r="V85" s="389">
        <v>0</v>
      </c>
      <c r="W85" s="389">
        <v>0</v>
      </c>
      <c r="X85" s="389">
        <v>0</v>
      </c>
      <c r="Y85" s="389">
        <f t="shared" si="40"/>
        <v>0</v>
      </c>
      <c r="Z85" s="389"/>
      <c r="AA85" s="389">
        <f t="shared" si="41"/>
        <v>0</v>
      </c>
      <c r="AB85" s="389">
        <v>0</v>
      </c>
      <c r="AC85" s="389">
        <f t="shared" si="35"/>
        <v>75938343</v>
      </c>
      <c r="AD85" s="393">
        <f t="shared" si="36"/>
        <v>13301</v>
      </c>
      <c r="AE85" s="817">
        <v>83628197</v>
      </c>
      <c r="AF85" s="736">
        <f>AC85-AE85</f>
        <v>-7689854</v>
      </c>
      <c r="AG85" s="818">
        <f t="shared" si="13"/>
        <v>-9.1952885221237013E-2</v>
      </c>
      <c r="AI85" s="401">
        <v>64931355</v>
      </c>
      <c r="AJ85" s="736">
        <f t="shared" si="14"/>
        <v>66279783</v>
      </c>
      <c r="AK85" s="737">
        <f t="shared" si="21"/>
        <v>2.0766977679735777E-2</v>
      </c>
      <c r="AL85" s="758">
        <f t="shared" si="22"/>
        <v>1348428</v>
      </c>
      <c r="AM85" s="401">
        <v>5101111</v>
      </c>
      <c r="AN85" s="736">
        <f t="shared" si="15"/>
        <v>5430518</v>
      </c>
      <c r="AO85" s="737">
        <f t="shared" si="23"/>
        <v>6.4575540504803755E-2</v>
      </c>
      <c r="AP85" s="758">
        <f t="shared" si="24"/>
        <v>329407</v>
      </c>
      <c r="AQ85" s="401">
        <v>3132283</v>
      </c>
      <c r="AR85" s="736">
        <f t="shared" si="16"/>
        <v>4228042</v>
      </c>
      <c r="AS85" s="737">
        <f t="shared" si="25"/>
        <v>0.34982758582158763</v>
      </c>
      <c r="AT85" s="758">
        <f t="shared" si="26"/>
        <v>1095759</v>
      </c>
      <c r="AU85" s="401">
        <v>11060.311</v>
      </c>
      <c r="AV85" s="736">
        <f t="shared" si="17"/>
        <v>13301</v>
      </c>
      <c r="AW85" s="737">
        <f t="shared" si="27"/>
        <v>0.20258824548423643</v>
      </c>
      <c r="AX85" s="861">
        <f t="shared" si="28"/>
        <v>2240.6890000000003</v>
      </c>
      <c r="AZ85" s="401">
        <v>0</v>
      </c>
      <c r="BA85" s="736">
        <f t="shared" si="29"/>
        <v>0</v>
      </c>
      <c r="BB85" s="736">
        <f t="shared" si="18"/>
        <v>0</v>
      </c>
      <c r="BC85" s="820" t="e">
        <f t="shared" si="30"/>
        <v>#DIV/0!</v>
      </c>
      <c r="BD85" s="821">
        <v>0</v>
      </c>
      <c r="BE85" s="736">
        <f t="shared" si="31"/>
        <v>0</v>
      </c>
      <c r="BF85" s="736">
        <f t="shared" si="19"/>
        <v>0</v>
      </c>
      <c r="BG85" s="820" t="e">
        <f t="shared" si="32"/>
        <v>#DIV/0!</v>
      </c>
      <c r="BH85" s="40" t="s">
        <v>198</v>
      </c>
      <c r="BI85" s="401">
        <v>0</v>
      </c>
      <c r="BJ85" s="736">
        <f t="shared" si="33"/>
        <v>0</v>
      </c>
      <c r="BK85" s="736">
        <f t="shared" si="20"/>
        <v>0</v>
      </c>
      <c r="BL85" s="820" t="e">
        <f t="shared" si="34"/>
        <v>#DIV/0!</v>
      </c>
    </row>
    <row r="86" spans="1:64" s="6" customFormat="1" x14ac:dyDescent="0.25">
      <c r="A86" s="848" t="s">
        <v>107</v>
      </c>
      <c r="B86" s="849">
        <f>SUM(B70:B85)</f>
        <v>301441</v>
      </c>
      <c r="C86" s="850">
        <f>SUM(C70:C85)</f>
        <v>2163164825</v>
      </c>
      <c r="D86" s="850"/>
      <c r="E86" s="849"/>
      <c r="F86" s="850">
        <f>SUM(F70:F85)</f>
        <v>46321</v>
      </c>
      <c r="G86" s="850">
        <f>SUM(G70:G85)</f>
        <v>424798161</v>
      </c>
      <c r="H86" s="850">
        <f>SUM(H70:H85)</f>
        <v>12160856</v>
      </c>
      <c r="I86" s="850">
        <f>G86+H86</f>
        <v>436959017</v>
      </c>
      <c r="J86" s="850">
        <f>SUM(J70:J85)</f>
        <v>9563</v>
      </c>
      <c r="K86" s="850">
        <f>SUM(K70:K85)</f>
        <v>1328761214.1200054</v>
      </c>
      <c r="L86" s="850">
        <f>SUM(L70:L85)</f>
        <v>4003586.9160000002</v>
      </c>
      <c r="M86" s="850">
        <f>SUM(M70:M85)</f>
        <v>1881427</v>
      </c>
      <c r="N86" s="850">
        <f>+L86+M86</f>
        <v>5885013.9160000002</v>
      </c>
      <c r="O86" s="850"/>
      <c r="P86" s="850">
        <f>SUM(P70:P85)</f>
        <v>1765720231.1200054</v>
      </c>
      <c r="Q86" s="850"/>
      <c r="R86" s="850">
        <f>SUM(R70:R85)</f>
        <v>6</v>
      </c>
      <c r="S86" s="850">
        <f>SUM(S70:S85)</f>
        <v>5557123</v>
      </c>
      <c r="T86" s="850"/>
      <c r="U86" s="850">
        <f>SUM(U70:U85)</f>
        <v>83</v>
      </c>
      <c r="V86" s="850">
        <f>SUM(V70:V85)</f>
        <v>699115184</v>
      </c>
      <c r="W86" s="850">
        <f>SUM(W70:W85)</f>
        <v>1527046.4739999999</v>
      </c>
      <c r="X86" s="850">
        <f>SUM(X70:X85)</f>
        <v>1112510</v>
      </c>
      <c r="Y86" s="850">
        <f>SUM(Y70:Y85)</f>
        <v>2639556.4739999999</v>
      </c>
      <c r="Z86" s="850"/>
      <c r="AA86" s="850">
        <f t="shared" ref="AA86:AF86" si="42">SUM(AA70:AA85)</f>
        <v>704672307</v>
      </c>
      <c r="AB86" s="850">
        <f t="shared" si="42"/>
        <v>0</v>
      </c>
      <c r="AC86" s="850">
        <f t="shared" si="42"/>
        <v>4633557363.1200056</v>
      </c>
      <c r="AD86" s="851">
        <f t="shared" si="42"/>
        <v>8524570.3900000006</v>
      </c>
      <c r="AE86" s="852">
        <f t="shared" si="42"/>
        <v>4556964245.9185305</v>
      </c>
      <c r="AF86" s="853">
        <f t="shared" si="42"/>
        <v>76593117.201475427</v>
      </c>
      <c r="AG86" s="854">
        <f t="shared" si="13"/>
        <v>1.6807925862063922E-2</v>
      </c>
      <c r="AI86" s="852">
        <f>SUM(AI70:AI85)</f>
        <v>2140668931</v>
      </c>
      <c r="AJ86" s="853">
        <f>SUM(AJ70:AJ85)</f>
        <v>2163164825</v>
      </c>
      <c r="AK86" s="855">
        <f t="shared" si="21"/>
        <v>1.0508815106449545E-2</v>
      </c>
      <c r="AL86" s="856">
        <f t="shared" si="22"/>
        <v>22495894</v>
      </c>
      <c r="AM86" s="852">
        <f>SUM(AM70:AM85)</f>
        <v>409880261.02962273</v>
      </c>
      <c r="AN86" s="853">
        <f>SUM(AN70:AN85)</f>
        <v>436959017</v>
      </c>
      <c r="AO86" s="855">
        <f t="shared" ref="AO86" si="43">(AN86-AM86)/AM86</f>
        <v>6.6065040317763044E-2</v>
      </c>
      <c r="AP86" s="856">
        <f t="shared" ref="AP86" si="44">AN86-AM86</f>
        <v>27078755.970377266</v>
      </c>
      <c r="AQ86" s="852">
        <f>SUM(AQ70:AQ85)</f>
        <v>1296912322.4489071</v>
      </c>
      <c r="AR86" s="853">
        <f>SUM(AR70:AR85)</f>
        <v>1328761214.1200054</v>
      </c>
      <c r="AS86" s="855">
        <f t="shared" si="25"/>
        <v>2.455747479595171E-2</v>
      </c>
      <c r="AT86" s="856">
        <f t="shared" si="26"/>
        <v>31848891.671098232</v>
      </c>
      <c r="AU86" s="852">
        <f>SUM(AU70:AU85)</f>
        <v>3765259.6750000007</v>
      </c>
      <c r="AV86" s="853">
        <f>SUM(AV70:AV85)</f>
        <v>4003586.9160000002</v>
      </c>
      <c r="AW86" s="857">
        <f t="shared" ref="AW86" si="45">(AV86-AU86)/AU86</f>
        <v>6.3296362421537217E-2</v>
      </c>
      <c r="AX86" s="858">
        <f t="shared" ref="AX86" si="46">AV86-AU86</f>
        <v>238327.24099999946</v>
      </c>
      <c r="AZ86" s="852">
        <f>SUM(AZ70:AZ85)</f>
        <v>5604228</v>
      </c>
      <c r="BA86" s="853">
        <f t="shared" ref="BA86:BB86" si="47">SUM(BA70:BA85)</f>
        <v>5557123</v>
      </c>
      <c r="BB86" s="853">
        <f t="shared" si="47"/>
        <v>-47105</v>
      </c>
      <c r="BC86" s="859">
        <f t="shared" si="30"/>
        <v>-8.4052611706732852E-3</v>
      </c>
      <c r="BD86" s="853">
        <f>SUM(BD70:BD85)</f>
        <v>693435055.44000006</v>
      </c>
      <c r="BE86" s="853">
        <f t="shared" ref="BE86" si="48">SUM(BE70:BE85)</f>
        <v>699115184</v>
      </c>
      <c r="BF86" s="853">
        <f t="shared" ref="BF86" si="49">SUM(BF70:BF85)</f>
        <v>5680128.5600000024</v>
      </c>
      <c r="BG86" s="859">
        <f t="shared" si="32"/>
        <v>8.1912913335421642E-3</v>
      </c>
      <c r="BI86" s="852">
        <f>SUM(BI70:BI85)</f>
        <v>1427721.9513333333</v>
      </c>
      <c r="BJ86" s="853">
        <f t="shared" ref="BJ86:BK86" si="50">SUM(BJ70:BJ85)</f>
        <v>1527046.4739999999</v>
      </c>
      <c r="BK86" s="853">
        <f t="shared" si="50"/>
        <v>99324.522666666671</v>
      </c>
      <c r="BL86" s="859">
        <f t="shared" si="34"/>
        <v>6.9568533686764869E-2</v>
      </c>
    </row>
    <row r="87" spans="1:64" x14ac:dyDescent="0.25">
      <c r="A87" s="90"/>
      <c r="B87" s="132"/>
      <c r="C87" s="91"/>
      <c r="D87" s="132"/>
      <c r="E87" s="132"/>
      <c r="F87" s="132"/>
      <c r="G87" s="132"/>
      <c r="H87" s="91"/>
      <c r="I87" s="91"/>
      <c r="J87" s="132"/>
      <c r="K87" s="132"/>
      <c r="L87" s="132"/>
      <c r="M87" s="132"/>
      <c r="N87" s="132"/>
      <c r="O87" s="132"/>
      <c r="P87" s="132"/>
      <c r="Q87" s="132"/>
      <c r="R87" s="132"/>
      <c r="S87" s="132"/>
      <c r="T87" s="132"/>
      <c r="U87" s="132"/>
      <c r="V87" s="132"/>
      <c r="W87" s="132"/>
      <c r="X87" s="132"/>
      <c r="Y87" s="132"/>
      <c r="Z87" s="132"/>
      <c r="AA87" s="132"/>
      <c r="AB87" s="132"/>
      <c r="AC87" s="91"/>
      <c r="AD87" s="145"/>
      <c r="AF87" s="16"/>
    </row>
    <row r="88" spans="1:64" x14ac:dyDescent="0.25">
      <c r="A88" s="90" t="s">
        <v>108</v>
      </c>
      <c r="B88" s="132"/>
      <c r="C88" s="91">
        <f>C67+C86</f>
        <v>2163164825</v>
      </c>
      <c r="D88" s="91"/>
      <c r="E88" s="91"/>
      <c r="F88" s="91"/>
      <c r="G88" s="91">
        <f>G67+G86</f>
        <v>424798161</v>
      </c>
      <c r="H88" s="91">
        <f>H67+H86</f>
        <v>12160856</v>
      </c>
      <c r="I88" s="91">
        <f>I67+I86</f>
        <v>436959017</v>
      </c>
      <c r="J88" s="91"/>
      <c r="K88" s="91">
        <f>K67+K86</f>
        <v>1328761214.1200054</v>
      </c>
      <c r="L88" s="91">
        <f>L67+L86</f>
        <v>4003586.9160000002</v>
      </c>
      <c r="M88" s="91">
        <f>M67+M86</f>
        <v>1881427</v>
      </c>
      <c r="N88" s="91">
        <f>N67+N86</f>
        <v>5885013.9160000002</v>
      </c>
      <c r="O88" s="91"/>
      <c r="P88" s="91">
        <f>P67+P86</f>
        <v>1765720231.1200054</v>
      </c>
      <c r="Q88" s="91"/>
      <c r="R88" s="91"/>
      <c r="S88" s="91">
        <f>S67+S86</f>
        <v>5557123</v>
      </c>
      <c r="T88" s="91"/>
      <c r="U88" s="91"/>
      <c r="V88" s="91">
        <f>V86+V67</f>
        <v>1244458941</v>
      </c>
      <c r="W88" s="91">
        <f>+W86+W67</f>
        <v>2426939.4739999999</v>
      </c>
      <c r="X88" s="91">
        <f>X67+X86</f>
        <v>1977418</v>
      </c>
      <c r="Y88" s="91">
        <f>Y67+Y86</f>
        <v>4404357.4739999995</v>
      </c>
      <c r="Z88" s="91"/>
      <c r="AA88" s="91">
        <f>AA67+AA86</f>
        <v>1250016064</v>
      </c>
      <c r="AB88" s="91">
        <f>AB67+AB86</f>
        <v>0</v>
      </c>
      <c r="AC88" s="91">
        <f>AC67+AC86</f>
        <v>5178901120.1200056</v>
      </c>
      <c r="AD88" s="104">
        <f>AD67+AD86</f>
        <v>10289371.390000001</v>
      </c>
      <c r="AP88" s="1" t="s">
        <v>199</v>
      </c>
      <c r="AQ88" s="22">
        <f>AQ86+AM86</f>
        <v>1706792583.4785299</v>
      </c>
      <c r="AR88" s="22">
        <f>AR86+AN86</f>
        <v>1765720231.1200054</v>
      </c>
      <c r="AS88" s="198">
        <f t="shared" ref="AS88" si="51">(AR88-AQ88)/AQ88</f>
        <v>3.4525371279372392E-2</v>
      </c>
      <c r="AT88" s="22">
        <f t="shared" ref="AT88" si="52">AR88-AQ88</f>
        <v>58927647.641475439</v>
      </c>
    </row>
    <row r="89" spans="1:64" s="40" customFormat="1" x14ac:dyDescent="0.25">
      <c r="A89" s="473" t="s">
        <v>753</v>
      </c>
      <c r="B89" s="400"/>
      <c r="C89" s="401">
        <v>2151132379</v>
      </c>
      <c r="D89" s="461"/>
      <c r="E89" s="401"/>
      <c r="F89" s="401"/>
      <c r="G89" s="401">
        <v>397336789.37109274</v>
      </c>
      <c r="H89" s="401">
        <v>12543471.658530001</v>
      </c>
      <c r="I89" s="401">
        <v>409880261.02962273</v>
      </c>
      <c r="J89" s="401"/>
      <c r="K89" s="401">
        <v>1296912322.4489071</v>
      </c>
      <c r="L89" s="401">
        <v>4121116.6750000007</v>
      </c>
      <c r="M89" s="401">
        <v>1919140</v>
      </c>
      <c r="N89" s="401">
        <v>6040256.6750000007</v>
      </c>
      <c r="O89" s="401"/>
      <c r="P89" s="401">
        <v>1706792583.4785299</v>
      </c>
      <c r="Q89" s="401"/>
      <c r="R89" s="401"/>
      <c r="S89" s="401">
        <v>5604228</v>
      </c>
      <c r="T89" s="401"/>
      <c r="U89" s="401"/>
      <c r="V89" s="401">
        <v>1238778812.4400001</v>
      </c>
      <c r="W89" s="401">
        <v>2327614.9513333333</v>
      </c>
      <c r="X89" s="401">
        <v>1987586</v>
      </c>
      <c r="Y89" s="401">
        <v>4315200.9513333328</v>
      </c>
      <c r="Z89" s="401"/>
      <c r="AA89" s="401">
        <v>1244383040.4400001</v>
      </c>
      <c r="AB89" s="401">
        <v>0</v>
      </c>
      <c r="AC89" s="401">
        <v>5102308002.9185305</v>
      </c>
      <c r="AD89" s="402">
        <v>10355457.626333334</v>
      </c>
    </row>
    <row r="90" spans="1:64" x14ac:dyDescent="0.25">
      <c r="A90" s="90" t="s">
        <v>200</v>
      </c>
      <c r="B90" s="132"/>
      <c r="C90" s="91">
        <f>C88-C89</f>
        <v>12032446</v>
      </c>
      <c r="D90" s="145"/>
      <c r="E90" s="132"/>
      <c r="F90" s="132"/>
      <c r="G90" s="91">
        <f>G88-G89</f>
        <v>27461371.628907263</v>
      </c>
      <c r="H90" s="91">
        <f>H88-H89</f>
        <v>-382615.6585300006</v>
      </c>
      <c r="I90" s="91">
        <f>I88-I89</f>
        <v>27078755.970377266</v>
      </c>
      <c r="J90" s="132"/>
      <c r="K90" s="91">
        <f t="shared" ref="K90:AD90" si="53">K88-K89</f>
        <v>31848891.671098232</v>
      </c>
      <c r="L90" s="91">
        <f t="shared" si="53"/>
        <v>-117529.75900000054</v>
      </c>
      <c r="M90" s="91">
        <f t="shared" si="53"/>
        <v>-37713</v>
      </c>
      <c r="N90" s="91">
        <f t="shared" si="53"/>
        <v>-155242.75900000054</v>
      </c>
      <c r="O90" s="91"/>
      <c r="P90" s="91">
        <f t="shared" si="53"/>
        <v>58927647.641475439</v>
      </c>
      <c r="Q90" s="91"/>
      <c r="R90" s="91"/>
      <c r="S90" s="91">
        <f t="shared" si="53"/>
        <v>-47105</v>
      </c>
      <c r="T90" s="91"/>
      <c r="U90" s="91"/>
      <c r="V90" s="91">
        <f t="shared" si="53"/>
        <v>5680128.5599999428</v>
      </c>
      <c r="W90" s="91">
        <f t="shared" si="53"/>
        <v>99324.522666666657</v>
      </c>
      <c r="X90" s="91">
        <f t="shared" si="53"/>
        <v>-10168</v>
      </c>
      <c r="Y90" s="91">
        <f t="shared" si="53"/>
        <v>89156.522666666657</v>
      </c>
      <c r="Z90" s="91"/>
      <c r="AA90" s="91">
        <f t="shared" si="53"/>
        <v>5633023.5599999428</v>
      </c>
      <c r="AB90" s="91">
        <f t="shared" si="53"/>
        <v>0</v>
      </c>
      <c r="AC90" s="91">
        <f t="shared" si="53"/>
        <v>76593117.201475143</v>
      </c>
      <c r="AD90" s="91">
        <f t="shared" si="53"/>
        <v>-66086.236333332956</v>
      </c>
    </row>
    <row r="91" spans="1:64" x14ac:dyDescent="0.25">
      <c r="A91" s="90" t="s">
        <v>201</v>
      </c>
      <c r="B91" s="132"/>
      <c r="C91" s="149">
        <f>C90/C89</f>
        <v>5.5935404615096449E-3</v>
      </c>
      <c r="D91" s="145"/>
      <c r="E91" s="132"/>
      <c r="F91" s="132"/>
      <c r="G91" s="149">
        <f t="shared" ref="G91:AD91" si="54">G90/G89</f>
        <v>6.9113589185570506E-2</v>
      </c>
      <c r="H91" s="149">
        <f t="shared" si="54"/>
        <v>-3.0503170808362973E-2</v>
      </c>
      <c r="I91" s="149">
        <f t="shared" si="54"/>
        <v>6.6065040317763044E-2</v>
      </c>
      <c r="J91" s="149"/>
      <c r="K91" s="149">
        <f t="shared" si="54"/>
        <v>2.455747479595171E-2</v>
      </c>
      <c r="L91" s="149">
        <f t="shared" si="54"/>
        <v>-2.8518910836223904E-2</v>
      </c>
      <c r="M91" s="149">
        <f t="shared" si="54"/>
        <v>-1.9650989505716102E-2</v>
      </c>
      <c r="N91" s="149">
        <f t="shared" si="54"/>
        <v>-2.5701351341994177E-2</v>
      </c>
      <c r="O91" s="149"/>
      <c r="P91" s="149">
        <f t="shared" si="54"/>
        <v>3.4525371279372392E-2</v>
      </c>
      <c r="Q91" s="149"/>
      <c r="R91" s="149"/>
      <c r="S91" s="149">
        <f t="shared" si="54"/>
        <v>-8.4052611706732852E-3</v>
      </c>
      <c r="T91" s="149"/>
      <c r="U91" s="149"/>
      <c r="V91" s="149">
        <f t="shared" si="54"/>
        <v>4.5852645387209172E-3</v>
      </c>
      <c r="W91" s="149">
        <f t="shared" si="54"/>
        <v>4.2672230907337294E-2</v>
      </c>
      <c r="X91" s="149">
        <f t="shared" si="54"/>
        <v>-5.1157534818619173E-3</v>
      </c>
      <c r="Y91" s="149">
        <f t="shared" si="54"/>
        <v>2.066103610751166E-2</v>
      </c>
      <c r="Z91" s="149"/>
      <c r="AA91" s="149">
        <f t="shared" si="54"/>
        <v>4.526760150964584E-3</v>
      </c>
      <c r="AB91" s="149" t="e">
        <f t="shared" si="54"/>
        <v>#DIV/0!</v>
      </c>
      <c r="AC91" s="149">
        <f t="shared" si="54"/>
        <v>1.5011464842511217E-2</v>
      </c>
      <c r="AD91" s="149">
        <f t="shared" si="54"/>
        <v>-6.3817784513240106E-3</v>
      </c>
    </row>
    <row r="92" spans="1:64" x14ac:dyDescent="0.25">
      <c r="A92" s="90"/>
      <c r="B92" s="132"/>
      <c r="C92" s="91"/>
      <c r="D92" s="145"/>
      <c r="E92" s="132"/>
      <c r="F92" s="132"/>
      <c r="G92" s="91"/>
      <c r="H92" s="91"/>
      <c r="I92" s="91"/>
      <c r="J92" s="132"/>
      <c r="K92" s="91"/>
      <c r="L92" s="91"/>
      <c r="M92" s="91"/>
      <c r="N92" s="91"/>
      <c r="O92" s="91"/>
      <c r="P92" s="91"/>
      <c r="Q92" s="91"/>
      <c r="R92" s="91"/>
      <c r="S92" s="91"/>
      <c r="T92" s="91"/>
      <c r="U92" s="91"/>
      <c r="V92" s="91"/>
      <c r="W92" s="91"/>
      <c r="X92" s="91"/>
      <c r="Y92" s="91"/>
      <c r="Z92" s="91"/>
      <c r="AA92" s="91"/>
      <c r="AB92" s="91"/>
      <c r="AC92" s="91"/>
      <c r="AD92" s="91"/>
    </row>
    <row r="93" spans="1:64" s="19" customFormat="1" x14ac:dyDescent="0.25">
      <c r="A93" s="90" t="s">
        <v>171</v>
      </c>
      <c r="B93" s="150"/>
      <c r="C93" s="151"/>
      <c r="D93" s="152"/>
      <c r="E93" s="150"/>
      <c r="F93" s="150"/>
      <c r="G93" s="150" t="s">
        <v>170</v>
      </c>
      <c r="H93" s="109"/>
      <c r="I93" s="109" t="s">
        <v>170</v>
      </c>
      <c r="J93" s="150"/>
      <c r="K93" s="150" t="s">
        <v>170</v>
      </c>
      <c r="L93" s="150" t="s">
        <v>170</v>
      </c>
      <c r="M93" s="150" t="s">
        <v>170</v>
      </c>
      <c r="N93" s="150" t="s">
        <v>170</v>
      </c>
      <c r="O93" s="150"/>
      <c r="P93" s="109">
        <f>AC93-AA93-C93</f>
        <v>0</v>
      </c>
      <c r="Q93" s="150"/>
      <c r="R93" s="150"/>
      <c r="S93" s="150" t="s">
        <v>170</v>
      </c>
      <c r="T93" s="150"/>
      <c r="U93" s="150"/>
      <c r="V93" s="150" t="s">
        <v>170</v>
      </c>
      <c r="W93" s="150" t="s">
        <v>170</v>
      </c>
      <c r="X93" s="150" t="s">
        <v>170</v>
      </c>
      <c r="Y93" s="150" t="s">
        <v>170</v>
      </c>
      <c r="Z93" s="150"/>
      <c r="AA93" s="153"/>
      <c r="AB93" s="150"/>
      <c r="AC93" s="153"/>
      <c r="AD93" s="152" t="s">
        <v>170</v>
      </c>
    </row>
    <row r="94" spans="1:64" x14ac:dyDescent="0.25">
      <c r="A94" s="23"/>
      <c r="B94" s="143"/>
      <c r="C94" s="154"/>
      <c r="D94" s="155"/>
      <c r="E94" s="156"/>
      <c r="F94" s="157"/>
      <c r="G94" s="114">
        <f>G86+H86-G92</f>
        <v>436959017</v>
      </c>
      <c r="H94" s="114"/>
      <c r="I94" s="114"/>
      <c r="J94" s="143"/>
      <c r="K94" s="114">
        <f>(K86-K92)/1000</f>
        <v>1328761.2141200053</v>
      </c>
      <c r="L94" s="143"/>
      <c r="M94" s="143"/>
      <c r="N94" s="143"/>
      <c r="O94" s="143"/>
      <c r="P94" s="143"/>
      <c r="Q94" s="143"/>
      <c r="R94" s="143"/>
      <c r="S94" s="143"/>
      <c r="T94" s="143"/>
      <c r="U94" s="143"/>
      <c r="V94" s="143"/>
      <c r="W94" s="143"/>
      <c r="X94" s="143"/>
      <c r="Y94" s="143"/>
      <c r="Z94" s="143"/>
      <c r="AA94" s="143"/>
      <c r="AB94" s="143"/>
      <c r="AC94" s="143"/>
      <c r="AD94" s="158"/>
    </row>
    <row r="95" spans="1:64" s="19" customFormat="1" ht="15.75" thickBot="1" x14ac:dyDescent="0.3">
      <c r="A95" s="159" t="s">
        <v>172</v>
      </c>
      <c r="B95" s="160"/>
      <c r="C95" s="161"/>
      <c r="D95" s="162"/>
      <c r="E95" s="160"/>
      <c r="F95" s="160"/>
      <c r="G95" s="160" t="s">
        <v>170</v>
      </c>
      <c r="H95" s="161">
        <f>H88-H93</f>
        <v>12160856</v>
      </c>
      <c r="I95" s="119" t="s">
        <v>170</v>
      </c>
      <c r="J95" s="160"/>
      <c r="K95" s="160" t="s">
        <v>170</v>
      </c>
      <c r="L95" s="160" t="s">
        <v>170</v>
      </c>
      <c r="M95" s="160" t="s">
        <v>170</v>
      </c>
      <c r="N95" s="160" t="s">
        <v>170</v>
      </c>
      <c r="O95" s="160"/>
      <c r="P95" s="161">
        <f>P88-P93</f>
        <v>1765720231.1200054</v>
      </c>
      <c r="Q95" s="160"/>
      <c r="R95" s="160"/>
      <c r="S95" s="160" t="s">
        <v>170</v>
      </c>
      <c r="T95" s="160"/>
      <c r="U95" s="160"/>
      <c r="V95" s="160" t="s">
        <v>170</v>
      </c>
      <c r="W95" s="160" t="s">
        <v>170</v>
      </c>
      <c r="X95" s="160" t="s">
        <v>170</v>
      </c>
      <c r="Y95" s="160" t="s">
        <v>170</v>
      </c>
      <c r="Z95" s="160"/>
      <c r="AA95" s="161">
        <f>AA88-AA93</f>
        <v>1250016064</v>
      </c>
      <c r="AB95" s="163" t="e">
        <f>#REF!-AB93</f>
        <v>#REF!</v>
      </c>
      <c r="AC95" s="161">
        <f>AC88-AC93</f>
        <v>5178901120.1200056</v>
      </c>
      <c r="AD95" s="162" t="s">
        <v>170</v>
      </c>
    </row>
    <row r="96" spans="1:64" ht="15.75" thickTop="1" x14ac:dyDescent="0.25">
      <c r="V96" s="22">
        <f>V86-V92</f>
        <v>699115184</v>
      </c>
    </row>
    <row r="97" spans="1:32" x14ac:dyDescent="0.25">
      <c r="AC97" s="164"/>
    </row>
    <row r="98" spans="1:32" x14ac:dyDescent="0.25">
      <c r="A98" s="6" t="s">
        <v>202</v>
      </c>
      <c r="B98" s="6"/>
      <c r="C98" s="26"/>
      <c r="AC98" s="164"/>
      <c r="AE98" s="598"/>
      <c r="AF98" s="598"/>
    </row>
    <row r="99" spans="1:32" x14ac:dyDescent="0.25">
      <c r="A99" s="1" t="s">
        <v>203</v>
      </c>
    </row>
    <row r="101" spans="1:32" x14ac:dyDescent="0.25">
      <c r="A101" s="165" t="s">
        <v>204</v>
      </c>
      <c r="P101" s="25"/>
      <c r="Q101" s="25"/>
      <c r="R101" s="25"/>
      <c r="S101" s="166"/>
      <c r="T101" s="166"/>
      <c r="U101" s="166"/>
    </row>
    <row r="102" spans="1:32" x14ac:dyDescent="0.25">
      <c r="A102" s="28"/>
      <c r="P102" s="25"/>
      <c r="Q102" s="25"/>
      <c r="R102" s="25"/>
      <c r="S102" s="166"/>
      <c r="T102" s="166"/>
      <c r="U102" s="166"/>
    </row>
    <row r="103" spans="1:32" x14ac:dyDescent="0.25">
      <c r="K103" s="22"/>
      <c r="L103" s="22"/>
      <c r="M103" s="22"/>
      <c r="N103" s="22"/>
      <c r="O103" s="22"/>
      <c r="P103" s="22"/>
    </row>
    <row r="104" spans="1:32" x14ac:dyDescent="0.25">
      <c r="B104" s="18"/>
      <c r="D104" s="18"/>
      <c r="E104" s="18"/>
      <c r="K104" s="18"/>
      <c r="L104" s="18"/>
      <c r="M104" s="18"/>
      <c r="N104" s="18"/>
      <c r="O104" s="18"/>
      <c r="P104" s="18"/>
      <c r="Q104" s="18"/>
      <c r="R104" s="18"/>
      <c r="S104" s="18"/>
      <c r="T104" s="18"/>
      <c r="U104" s="18"/>
      <c r="V104" s="18"/>
      <c r="W104" s="18"/>
      <c r="X104" s="18"/>
      <c r="Y104" s="18"/>
      <c r="Z104" s="18"/>
      <c r="AA104" s="18"/>
      <c r="AB104" s="18"/>
      <c r="AC104" s="18"/>
      <c r="AD104" s="18"/>
    </row>
    <row r="106" spans="1:32" x14ac:dyDescent="0.25">
      <c r="I106" s="22"/>
    </row>
  </sheetData>
  <mergeCells count="29">
    <mergeCell ref="L58:N58"/>
    <mergeCell ref="W58:Y58"/>
    <mergeCell ref="AC58:AD58"/>
    <mergeCell ref="U57:Z57"/>
    <mergeCell ref="R56:AA56"/>
    <mergeCell ref="F56:P56"/>
    <mergeCell ref="G57:I57"/>
    <mergeCell ref="K57:O57"/>
    <mergeCell ref="R57:T57"/>
    <mergeCell ref="A55:AD55"/>
    <mergeCell ref="B56:D56"/>
    <mergeCell ref="A9:AD9"/>
    <mergeCell ref="B10:D10"/>
    <mergeCell ref="F10:P10"/>
    <mergeCell ref="R10:AA10"/>
    <mergeCell ref="U11:Z11"/>
    <mergeCell ref="F11:I11"/>
    <mergeCell ref="J11:O11"/>
    <mergeCell ref="R11:T11"/>
    <mergeCell ref="W12:Y12"/>
    <mergeCell ref="L12:N12"/>
    <mergeCell ref="AE68:AG68"/>
    <mergeCell ref="AZ67:BC67"/>
    <mergeCell ref="BD67:BG67"/>
    <mergeCell ref="BI67:BL67"/>
    <mergeCell ref="AQ67:AT67"/>
    <mergeCell ref="AI67:AL67"/>
    <mergeCell ref="AM67:AP67"/>
    <mergeCell ref="AU67:AX67"/>
  </mergeCells>
  <phoneticPr fontId="0" type="noConversion"/>
  <printOptions horizontalCentered="1" verticalCentered="1"/>
  <pageMargins left="0.25" right="0.25" top="0.75" bottom="0.75" header="0.3" footer="0.3"/>
  <pageSetup scale="60" orientation="landscape"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FCDB7-6467-41AC-B527-87EDE477F600}">
  <dimension ref="A3:M44"/>
  <sheetViews>
    <sheetView workbookViewId="0"/>
  </sheetViews>
  <sheetFormatPr defaultRowHeight="12.75" x14ac:dyDescent="0.2"/>
  <cols>
    <col min="1" max="1" width="26.140625" customWidth="1"/>
    <col min="2" max="2" width="15.85546875" customWidth="1"/>
    <col min="3" max="3" width="14" customWidth="1"/>
    <col min="4" max="4" width="10.140625" bestFit="1" customWidth="1"/>
    <col min="9" max="9" width="20.7109375" customWidth="1"/>
    <col min="10" max="10" width="13.140625" customWidth="1"/>
    <col min="11" max="11" width="12" customWidth="1"/>
    <col min="12" max="12" width="10" customWidth="1"/>
  </cols>
  <sheetData>
    <row r="3" spans="1:9" x14ac:dyDescent="0.2">
      <c r="B3" s="349" t="s">
        <v>205</v>
      </c>
      <c r="C3" s="349" t="s">
        <v>206</v>
      </c>
      <c r="D3" s="349" t="s">
        <v>207</v>
      </c>
      <c r="E3" s="349" t="s">
        <v>208</v>
      </c>
      <c r="F3" s="349" t="s">
        <v>209</v>
      </c>
      <c r="H3" s="349" t="s">
        <v>210</v>
      </c>
      <c r="I3" s="349" t="s">
        <v>211</v>
      </c>
    </row>
    <row r="4" spans="1:9" x14ac:dyDescent="0.2">
      <c r="A4" s="405" t="s">
        <v>16</v>
      </c>
      <c r="B4" s="338">
        <f>'Util Rev and Load Data'!D40</f>
        <v>400600666.46504444</v>
      </c>
      <c r="C4" s="313">
        <v>25261411.799999993</v>
      </c>
      <c r="D4" s="332">
        <f>B4/B$12</f>
        <v>0.51259179566043533</v>
      </c>
      <c r="E4" s="332">
        <f>C4/C$12</f>
        <v>0.52453538501691355</v>
      </c>
      <c r="F4" s="896">
        <f>E4-D4</f>
        <v>1.1943589356478213E-2</v>
      </c>
      <c r="G4" t="s">
        <v>133</v>
      </c>
      <c r="H4" s="333">
        <f>D4</f>
        <v>0.51259179566043533</v>
      </c>
      <c r="I4" s="333">
        <f>E4</f>
        <v>0.52453538501691355</v>
      </c>
    </row>
    <row r="5" spans="1:9" x14ac:dyDescent="0.2">
      <c r="A5" s="405" t="s">
        <v>76</v>
      </c>
      <c r="B5" s="338">
        <f>'Util Rev and Load Data'!F40+'Util Rev and Load Data'!G40</f>
        <v>80258658.216121674</v>
      </c>
      <c r="C5" s="313">
        <v>4170701.8500000006</v>
      </c>
      <c r="D5" s="332">
        <f t="shared" ref="D5:E11" si="0">B5/B$12</f>
        <v>0.10269560980844933</v>
      </c>
      <c r="E5" s="332">
        <f t="shared" si="0"/>
        <v>8.6601679985300925E-2</v>
      </c>
      <c r="F5" s="896">
        <f t="shared" ref="F5:F11" si="1">E5-D5</f>
        <v>-1.6093929823148403E-2</v>
      </c>
      <c r="G5" t="s">
        <v>212</v>
      </c>
      <c r="H5" s="333">
        <f>SUM(D5:D7,D11)</f>
        <v>0.37486700262166311</v>
      </c>
      <c r="I5" s="333">
        <f>SUM(E5:E7,E11)</f>
        <v>0.36093916726315806</v>
      </c>
    </row>
    <row r="6" spans="1:9" x14ac:dyDescent="0.2">
      <c r="A6" s="405" t="s">
        <v>174</v>
      </c>
      <c r="B6" s="338">
        <f>'Util Rev and Load Data'!J40+'Util Rev and Load Data'!K40</f>
        <v>134743717.9933041</v>
      </c>
      <c r="C6" s="313">
        <v>8875804.4800000004</v>
      </c>
      <c r="D6" s="332">
        <f t="shared" si="0"/>
        <v>0.1724124050257361</v>
      </c>
      <c r="E6" s="332">
        <f t="shared" si="0"/>
        <v>0.18429981495537978</v>
      </c>
      <c r="F6" s="896">
        <f t="shared" si="1"/>
        <v>1.1887409929643683E-2</v>
      </c>
      <c r="G6" t="s">
        <v>124</v>
      </c>
      <c r="H6" s="333">
        <f>SUM(D8:D10)</f>
        <v>0.11254120171790161</v>
      </c>
      <c r="I6" s="333">
        <f>SUM(E8:E10)</f>
        <v>0.11452544771992829</v>
      </c>
    </row>
    <row r="7" spans="1:9" x14ac:dyDescent="0.2">
      <c r="A7" s="405" t="s">
        <v>19</v>
      </c>
      <c r="B7" s="338">
        <f>'Util Rev and Load Data'!L40+'Util Rev and Load Data'!M40</f>
        <v>72268968.733800009</v>
      </c>
      <c r="C7" s="313">
        <v>4213743.13</v>
      </c>
      <c r="D7" s="332">
        <f t="shared" si="0"/>
        <v>9.2472338552683914E-2</v>
      </c>
      <c r="E7" s="332">
        <f t="shared" si="0"/>
        <v>8.7495401783400123E-2</v>
      </c>
      <c r="F7" s="333">
        <f t="shared" si="1"/>
        <v>-4.9769367692837907E-3</v>
      </c>
    </row>
    <row r="8" spans="1:9" x14ac:dyDescent="0.2">
      <c r="A8" s="405" t="s">
        <v>52</v>
      </c>
      <c r="B8" s="338">
        <f>'Util Rev and Load Data'!T40</f>
        <v>795558</v>
      </c>
      <c r="C8" s="313">
        <v>43355.810000000005</v>
      </c>
      <c r="D8" s="332">
        <f t="shared" si="0"/>
        <v>1.0179626194096909E-3</v>
      </c>
      <c r="E8" s="332">
        <f t="shared" si="0"/>
        <v>9.0025279153519669E-4</v>
      </c>
      <c r="F8" s="333">
        <f t="shared" si="1"/>
        <v>-1.1770982787449424E-4</v>
      </c>
    </row>
    <row r="9" spans="1:9" x14ac:dyDescent="0.2">
      <c r="A9" s="405" t="s">
        <v>23</v>
      </c>
      <c r="B9" s="338">
        <f>'Util Rev and Load Data'!U40+'Util Rev and Load Data'!V40</f>
        <v>58791481.549999997</v>
      </c>
      <c r="C9" s="313">
        <v>3601741.02</v>
      </c>
      <c r="D9" s="332">
        <f t="shared" si="0"/>
        <v>7.5227111734926327E-2</v>
      </c>
      <c r="E9" s="332">
        <f t="shared" si="0"/>
        <v>7.478760995681609E-2</v>
      </c>
      <c r="F9" s="333">
        <f t="shared" si="1"/>
        <v>-4.3950177811023783E-4</v>
      </c>
    </row>
    <row r="10" spans="1:9" x14ac:dyDescent="0.2">
      <c r="A10" s="405" t="s">
        <v>25</v>
      </c>
      <c r="B10" s="338">
        <f>'Util Rev and Load Data'!Y40</f>
        <v>28366144.240000002</v>
      </c>
      <c r="C10" s="313">
        <v>1870402.3699999996</v>
      </c>
      <c r="D10" s="332">
        <f t="shared" si="0"/>
        <v>3.6296127363565599E-2</v>
      </c>
      <c r="E10" s="332">
        <f t="shared" si="0"/>
        <v>3.8837584971576987E-2</v>
      </c>
      <c r="F10" s="333">
        <f t="shared" si="1"/>
        <v>2.5414576080113882E-3</v>
      </c>
    </row>
    <row r="11" spans="1:9" x14ac:dyDescent="0.2">
      <c r="A11" s="309" t="s">
        <v>213</v>
      </c>
      <c r="B11" s="342">
        <f>'Util Rev and Load Data'!H40</f>
        <v>5694661.0625994094</v>
      </c>
      <c r="C11" s="317">
        <v>122434.72000000003</v>
      </c>
      <c r="D11" s="327">
        <f t="shared" si="0"/>
        <v>7.2866492347937782E-3</v>
      </c>
      <c r="E11" s="327">
        <f t="shared" si="0"/>
        <v>2.5422705390772357E-3</v>
      </c>
      <c r="F11" s="333">
        <f t="shared" si="1"/>
        <v>-4.7443786957165422E-3</v>
      </c>
    </row>
    <row r="12" spans="1:9" x14ac:dyDescent="0.2">
      <c r="A12" s="179" t="s">
        <v>62</v>
      </c>
      <c r="B12" s="340">
        <f>SUM(B4:B11)</f>
        <v>781519856.26086962</v>
      </c>
      <c r="C12" s="340">
        <f>SUM(C4:C11)</f>
        <v>48159595.18</v>
      </c>
      <c r="D12" s="334">
        <f>SUM(D4:D11)</f>
        <v>1</v>
      </c>
      <c r="E12" s="334">
        <f>SUM(E4:E11)</f>
        <v>0.99999999999999967</v>
      </c>
    </row>
    <row r="17" spans="1:5" ht="15" x14ac:dyDescent="0.25">
      <c r="A17" s="315" t="s">
        <v>214</v>
      </c>
      <c r="B17" s="897" t="s">
        <v>43</v>
      </c>
      <c r="C17" s="897" t="s">
        <v>215</v>
      </c>
    </row>
    <row r="18" spans="1:5" x14ac:dyDescent="0.2">
      <c r="A18" t="s">
        <v>16</v>
      </c>
      <c r="B18" s="313">
        <v>23971458.88654479</v>
      </c>
      <c r="C18" s="313">
        <f>C4</f>
        <v>25261411.799999993</v>
      </c>
      <c r="D18" s="332">
        <f>C18/B18-1</f>
        <v>5.3812032031945067E-2</v>
      </c>
      <c r="E18" s="332">
        <f>C18/C21</f>
        <v>0.52453538501691366</v>
      </c>
    </row>
    <row r="19" spans="1:5" x14ac:dyDescent="0.2">
      <c r="A19" t="s">
        <v>76</v>
      </c>
      <c r="B19" s="313">
        <v>16887621.761909448</v>
      </c>
      <c r="C19" s="313">
        <f>SUM(C5:C7,C11)</f>
        <v>17382684.18</v>
      </c>
      <c r="D19" s="332">
        <f t="shared" ref="D19:D20" si="2">C19/B19-1</f>
        <v>2.9315105766235305E-2</v>
      </c>
      <c r="E19" s="332">
        <f>C19/C21</f>
        <v>0.36093916726315811</v>
      </c>
    </row>
    <row r="20" spans="1:5" x14ac:dyDescent="0.2">
      <c r="A20" s="309" t="s">
        <v>52</v>
      </c>
      <c r="B20" s="317">
        <v>5554813.6215446219</v>
      </c>
      <c r="C20" s="317">
        <f>SUM(C8:C10)</f>
        <v>5515499.1999999993</v>
      </c>
      <c r="D20" s="332">
        <f t="shared" si="2"/>
        <v>-7.0775410703501906E-3</v>
      </c>
      <c r="E20" s="332">
        <f>C20/C21</f>
        <v>0.11452544771992829</v>
      </c>
    </row>
    <row r="21" spans="1:5" x14ac:dyDescent="0.2">
      <c r="A21" s="179" t="s">
        <v>62</v>
      </c>
      <c r="B21" s="318">
        <f>SUM(B18:B20)</f>
        <v>46413894.269998856</v>
      </c>
      <c r="C21" s="318">
        <f>SUM(C18:C20)</f>
        <v>48159595.179999992</v>
      </c>
      <c r="D21" s="318">
        <f>C21-B21</f>
        <v>1745700.9100011364</v>
      </c>
    </row>
    <row r="40" spans="9:13" ht="15" x14ac:dyDescent="0.25">
      <c r="I40" s="315" t="s">
        <v>216</v>
      </c>
      <c r="J40" s="897" t="s">
        <v>43</v>
      </c>
      <c r="K40" s="897" t="s">
        <v>217</v>
      </c>
    </row>
    <row r="41" spans="9:13" x14ac:dyDescent="0.2">
      <c r="I41" t="s">
        <v>16</v>
      </c>
      <c r="J41" s="313">
        <f>'EEC Collection True-Up'!C30</f>
        <v>23402001.622796677</v>
      </c>
      <c r="K41" s="313">
        <f>'EEC Collection True-Up'!I30</f>
        <v>23951137.494618792</v>
      </c>
      <c r="L41" s="332">
        <f>K41/J41-1</f>
        <v>2.3465337737913039E-2</v>
      </c>
      <c r="M41" s="332">
        <f>K41/K44</f>
        <v>0.512589224279273</v>
      </c>
    </row>
    <row r="42" spans="9:13" x14ac:dyDescent="0.2">
      <c r="I42" t="s">
        <v>76</v>
      </c>
      <c r="J42" s="313">
        <f>'EEC Collection True-Up'!C31</f>
        <v>17473824.322025269</v>
      </c>
      <c r="K42" s="313">
        <f>'EEC Collection True-Up'!I31</f>
        <v>17343508.069244817</v>
      </c>
      <c r="L42" s="332">
        <f t="shared" ref="L42:L43" si="3">K42/J42-1</f>
        <v>-7.4577980400198918E-3</v>
      </c>
      <c r="M42" s="332">
        <f>K42/K44</f>
        <v>0.37117633137436123</v>
      </c>
    </row>
    <row r="43" spans="9:13" x14ac:dyDescent="0.2">
      <c r="I43" s="309" t="s">
        <v>52</v>
      </c>
      <c r="J43" s="317">
        <f>'EEC Collection True-Up'!C32</f>
        <v>5388233.4751127912</v>
      </c>
      <c r="K43" s="317">
        <f>'EEC Collection True-Up'!I32</f>
        <v>5431146.4741866169</v>
      </c>
      <c r="L43" s="327">
        <f t="shared" si="3"/>
        <v>7.9642055735025252E-3</v>
      </c>
      <c r="M43" s="332">
        <f>K43/K44</f>
        <v>0.11623444434636594</v>
      </c>
    </row>
    <row r="44" spans="9:13" x14ac:dyDescent="0.2">
      <c r="I44" s="179" t="s">
        <v>62</v>
      </c>
      <c r="J44" s="318">
        <f>SUM(J41:J43)</f>
        <v>46264059.419934735</v>
      </c>
      <c r="K44" s="318">
        <f>SUM(K41:K43)</f>
        <v>46725792.038050219</v>
      </c>
      <c r="L44" s="318">
        <f>K44-J44</f>
        <v>461732.61811548471</v>
      </c>
    </row>
  </sheetData>
  <pageMargins left="0.7" right="0.7" top="0.75" bottom="0.75" header="0.3" footer="0.3"/>
  <pageSetup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961DC-BCB6-49E8-8AC0-FD3B3F64E44B}">
  <dimension ref="A2:X33"/>
  <sheetViews>
    <sheetView workbookViewId="0"/>
  </sheetViews>
  <sheetFormatPr defaultColWidth="9.140625" defaultRowHeight="15" x14ac:dyDescent="0.25"/>
  <cols>
    <col min="1" max="1" width="39.42578125" style="1" customWidth="1"/>
    <col min="2" max="2" width="15.5703125" style="1" customWidth="1"/>
    <col min="3" max="3" width="13" style="1" customWidth="1"/>
    <col min="4" max="4" width="15.5703125" style="1" customWidth="1"/>
    <col min="5" max="5" width="14.7109375" style="1" customWidth="1"/>
    <col min="6" max="6" width="15.5703125" style="1" customWidth="1"/>
    <col min="7" max="7" width="11.7109375" style="1" customWidth="1"/>
    <col min="8" max="8" width="13.85546875" style="1" customWidth="1"/>
    <col min="9" max="9" width="15.140625" style="1" customWidth="1"/>
    <col min="10" max="11" width="15.5703125" style="1" customWidth="1"/>
    <col min="12" max="12" width="14.140625" style="1" customWidth="1"/>
    <col min="13" max="14" width="9.140625" style="1"/>
    <col min="15" max="20" width="12.7109375" style="1" customWidth="1"/>
    <col min="21" max="21" width="9.140625" style="1"/>
    <col min="22" max="23" width="12.85546875" style="1" customWidth="1"/>
    <col min="24" max="16384" width="9.140625" style="1"/>
  </cols>
  <sheetData>
    <row r="2" spans="1:23" x14ac:dyDescent="0.25">
      <c r="B2" s="988" t="s">
        <v>218</v>
      </c>
      <c r="C2" s="989"/>
      <c r="D2" s="989"/>
      <c r="E2" s="990"/>
      <c r="F2" s="987" t="s">
        <v>219</v>
      </c>
      <c r="G2" s="987"/>
      <c r="H2" s="987"/>
      <c r="I2" s="987" t="s">
        <v>220</v>
      </c>
      <c r="J2" s="987"/>
      <c r="K2" s="987"/>
    </row>
    <row r="3" spans="1:23" s="707" customFormat="1" ht="30" x14ac:dyDescent="0.25">
      <c r="A3" s="670" t="s">
        <v>221</v>
      </c>
      <c r="B3" s="670" t="s">
        <v>222</v>
      </c>
      <c r="C3" s="680" t="s">
        <v>223</v>
      </c>
      <c r="D3" s="680" t="s">
        <v>224</v>
      </c>
      <c r="E3" s="671" t="s">
        <v>225</v>
      </c>
      <c r="F3" s="670" t="s">
        <v>222</v>
      </c>
      <c r="G3" s="680" t="s">
        <v>223</v>
      </c>
      <c r="H3" s="680" t="s">
        <v>226</v>
      </c>
      <c r="I3" s="670" t="s">
        <v>222</v>
      </c>
      <c r="J3" s="680" t="s">
        <v>223</v>
      </c>
      <c r="K3" s="671" t="s">
        <v>226</v>
      </c>
    </row>
    <row r="4" spans="1:23" x14ac:dyDescent="0.25">
      <c r="A4" s="23" t="s">
        <v>227</v>
      </c>
      <c r="B4" s="114">
        <v>2072971919.03</v>
      </c>
      <c r="C4" s="41">
        <v>1.188E-2</v>
      </c>
      <c r="D4" s="2">
        <f>C4*B4</f>
        <v>24626906.3980764</v>
      </c>
      <c r="E4" s="450">
        <v>24643401.839999996</v>
      </c>
      <c r="F4" s="685">
        <f>B32</f>
        <v>1858999797</v>
      </c>
      <c r="G4" s="1">
        <v>1.188E-2</v>
      </c>
      <c r="H4" s="450">
        <f>G4*F4</f>
        <v>22084917.58836</v>
      </c>
      <c r="I4" s="114">
        <f>F4-B4</f>
        <v>-213972122.02999997</v>
      </c>
      <c r="J4" s="41">
        <v>1.188E-2</v>
      </c>
      <c r="K4" s="450">
        <f>J4*I4</f>
        <v>-2541988.8097163998</v>
      </c>
      <c r="L4" s="16">
        <f>K4/D4</f>
        <v>-0.10321998096825323</v>
      </c>
    </row>
    <row r="5" spans="1:23" x14ac:dyDescent="0.25">
      <c r="A5" s="23" t="s">
        <v>228</v>
      </c>
      <c r="B5" s="114">
        <v>313781752.63999999</v>
      </c>
      <c r="C5" s="41">
        <v>1.0240000000000001E-2</v>
      </c>
      <c r="D5" s="2">
        <f t="shared" ref="D5:D11" si="0">C5*B5</f>
        <v>3213125.1470336001</v>
      </c>
      <c r="E5" s="450">
        <v>3213831.3199999994</v>
      </c>
      <c r="F5" s="685">
        <f>C32</f>
        <v>356299843</v>
      </c>
      <c r="G5" s="1">
        <v>1.0240000000000001E-2</v>
      </c>
      <c r="H5" s="450">
        <f t="shared" ref="H5:H11" si="1">G5*F5</f>
        <v>3648510.3923200001</v>
      </c>
      <c r="I5" s="114">
        <f t="shared" ref="I5:I11" si="2">F5-B5</f>
        <v>42518090.360000014</v>
      </c>
      <c r="J5" s="41">
        <v>1.0240000000000001E-2</v>
      </c>
      <c r="K5" s="450">
        <f t="shared" ref="K5:K11" si="3">J5*I5</f>
        <v>435385.2452864002</v>
      </c>
      <c r="L5" s="16">
        <f t="shared" ref="L5:L11" si="4">K5/D5</f>
        <v>0.13550211254247399</v>
      </c>
    </row>
    <row r="6" spans="1:23" x14ac:dyDescent="0.25">
      <c r="A6" s="23" t="s">
        <v>229</v>
      </c>
      <c r="B6" s="114">
        <v>1362663389.3700001</v>
      </c>
      <c r="C6" s="41">
        <v>6.62E-3</v>
      </c>
      <c r="D6" s="2">
        <f t="shared" si="0"/>
        <v>9020831.6376294009</v>
      </c>
      <c r="E6" s="450">
        <v>9021625.7699999996</v>
      </c>
      <c r="F6" s="685">
        <f>D32</f>
        <v>1278868166.1200054</v>
      </c>
      <c r="G6" s="1">
        <v>6.62E-3</v>
      </c>
      <c r="H6" s="450">
        <f t="shared" si="1"/>
        <v>8466107.2597144358</v>
      </c>
      <c r="I6" s="114">
        <f t="shared" si="2"/>
        <v>-83795223.249994755</v>
      </c>
      <c r="J6" s="41">
        <v>6.62E-3</v>
      </c>
      <c r="K6" s="450">
        <f t="shared" si="3"/>
        <v>-554724.37791496527</v>
      </c>
      <c r="L6" s="16">
        <f t="shared" si="4"/>
        <v>-6.1493707032619242E-2</v>
      </c>
    </row>
    <row r="7" spans="1:23" x14ac:dyDescent="0.25">
      <c r="A7" s="23" t="s">
        <v>230</v>
      </c>
      <c r="B7" s="114">
        <v>4016376.3450000002</v>
      </c>
      <c r="C7" s="41">
        <v>1.13825</v>
      </c>
      <c r="D7" s="2">
        <f t="shared" si="0"/>
        <v>4571640.3746962501</v>
      </c>
      <c r="E7" s="450">
        <v>4571640.7</v>
      </c>
      <c r="F7" s="685">
        <f>'Util Rev and Load Data'!L86</f>
        <v>4003586.9160000002</v>
      </c>
      <c r="G7" s="1">
        <v>1.13825</v>
      </c>
      <c r="H7" s="450">
        <f t="shared" si="1"/>
        <v>4557082.8071370004</v>
      </c>
      <c r="I7" s="114">
        <f t="shared" si="2"/>
        <v>-12789.429000000004</v>
      </c>
      <c r="J7" s="41">
        <v>1.13825</v>
      </c>
      <c r="K7" s="450">
        <f t="shared" si="3"/>
        <v>-14557.567559250005</v>
      </c>
      <c r="L7" s="16">
        <f t="shared" si="4"/>
        <v>-3.1843203677667325E-3</v>
      </c>
    </row>
    <row r="8" spans="1:23" x14ac:dyDescent="0.25">
      <c r="A8" s="23" t="s">
        <v>231</v>
      </c>
      <c r="B8" s="114">
        <v>5262254</v>
      </c>
      <c r="C8" s="41">
        <v>7.5700000000000003E-3</v>
      </c>
      <c r="D8" s="2">
        <f t="shared" si="0"/>
        <v>39835.262780000005</v>
      </c>
      <c r="E8" s="450">
        <v>39835.259999999995</v>
      </c>
      <c r="F8" s="685">
        <f>E32</f>
        <v>0</v>
      </c>
      <c r="G8" s="1">
        <v>7.5700000000000003E-3</v>
      </c>
      <c r="H8" s="450">
        <f t="shared" si="1"/>
        <v>0</v>
      </c>
      <c r="I8" s="114">
        <f t="shared" si="2"/>
        <v>-5262254</v>
      </c>
      <c r="J8" s="41">
        <v>7.5700000000000003E-3</v>
      </c>
      <c r="K8" s="450">
        <f t="shared" si="3"/>
        <v>-39835.262780000005</v>
      </c>
      <c r="L8" s="16">
        <f t="shared" si="4"/>
        <v>-1</v>
      </c>
    </row>
    <row r="9" spans="1:23" x14ac:dyDescent="0.25">
      <c r="A9" s="23" t="s">
        <v>232</v>
      </c>
      <c r="B9" s="114">
        <v>683177640.43999994</v>
      </c>
      <c r="C9" s="41">
        <v>5.2100000000000002E-3</v>
      </c>
      <c r="D9" s="2">
        <f t="shared" si="0"/>
        <v>3559355.5066923997</v>
      </c>
      <c r="E9" s="450">
        <v>3559384.26</v>
      </c>
      <c r="F9" s="685">
        <f>F32</f>
        <v>611144614</v>
      </c>
      <c r="G9" s="1">
        <v>5.2100000000000002E-3</v>
      </c>
      <c r="H9" s="450">
        <f t="shared" si="1"/>
        <v>3184063.4389400003</v>
      </c>
      <c r="I9" s="114">
        <f t="shared" si="2"/>
        <v>-72033026.439999938</v>
      </c>
      <c r="J9" s="41">
        <v>5.2100000000000002E-3</v>
      </c>
      <c r="K9" s="450">
        <f t="shared" si="3"/>
        <v>-375292.06775239971</v>
      </c>
      <c r="L9" s="16">
        <f t="shared" si="4"/>
        <v>-0.10543820841912674</v>
      </c>
    </row>
    <row r="10" spans="1:23" x14ac:dyDescent="0.25">
      <c r="A10" s="23" t="s">
        <v>233</v>
      </c>
      <c r="B10" s="114">
        <v>1552366.6960000002</v>
      </c>
      <c r="C10" s="41">
        <v>1.21316</v>
      </c>
      <c r="D10" s="2">
        <f t="shared" si="0"/>
        <v>1883269.1809193604</v>
      </c>
      <c r="E10" s="450">
        <v>1883269.6000000003</v>
      </c>
      <c r="F10" s="685">
        <f>'Util Rev and Load Data'!W86</f>
        <v>1527046.4739999999</v>
      </c>
      <c r="G10" s="1">
        <v>1.21316</v>
      </c>
      <c r="H10" s="450">
        <f t="shared" si="1"/>
        <v>1852551.70039784</v>
      </c>
      <c r="I10" s="114">
        <f t="shared" si="2"/>
        <v>-25320.2220000003</v>
      </c>
      <c r="J10" s="41">
        <v>1.21316</v>
      </c>
      <c r="K10" s="450">
        <f t="shared" si="3"/>
        <v>-30717.480521520363</v>
      </c>
      <c r="L10" s="16">
        <f t="shared" si="4"/>
        <v>-1.6310722244456278E-2</v>
      </c>
    </row>
    <row r="11" spans="1:23" s="40" customFormat="1" x14ac:dyDescent="0.25">
      <c r="A11" s="448" t="s">
        <v>234</v>
      </c>
      <c r="B11" s="708">
        <v>12425150.949999999</v>
      </c>
      <c r="C11" s="709">
        <v>1.0240000000000001E-2</v>
      </c>
      <c r="D11" s="281">
        <f t="shared" si="0"/>
        <v>127233.545728</v>
      </c>
      <c r="E11" s="710">
        <v>127265.33</v>
      </c>
      <c r="F11" s="711">
        <f>'Util Rev and Load Data'!H86</f>
        <v>12160856</v>
      </c>
      <c r="G11" s="40">
        <v>1.0240000000000001E-2</v>
      </c>
      <c r="H11" s="710">
        <f t="shared" si="1"/>
        <v>124527.16544000001</v>
      </c>
      <c r="I11" s="708">
        <f t="shared" si="2"/>
        <v>-264294.94999999925</v>
      </c>
      <c r="J11" s="709">
        <v>1.0240000000000001E-2</v>
      </c>
      <c r="K11" s="710">
        <f t="shared" si="3"/>
        <v>-2706.3802879999926</v>
      </c>
      <c r="L11" s="16">
        <f t="shared" si="4"/>
        <v>-2.1270964921355686E-2</v>
      </c>
    </row>
    <row r="12" spans="1:23" s="6" customFormat="1" x14ac:dyDescent="0.25">
      <c r="A12" s="712" t="s">
        <v>62</v>
      </c>
      <c r="B12" s="712"/>
      <c r="C12" s="713"/>
      <c r="D12" s="698">
        <f>SUM(D4:D11)</f>
        <v>47042197.053555414</v>
      </c>
      <c r="E12" s="714">
        <f>SUM(E4:E11)</f>
        <v>47060254.079999991</v>
      </c>
      <c r="F12" s="715"/>
      <c r="G12" s="715"/>
      <c r="H12" s="714">
        <f>SUM(H4:H11)</f>
        <v>43917760.352309279</v>
      </c>
      <c r="I12" s="712"/>
      <c r="J12" s="715"/>
      <c r="K12" s="714">
        <f>SUM(K4:K11)</f>
        <v>-3124436.7012461345</v>
      </c>
    </row>
    <row r="13" spans="1:23" x14ac:dyDescent="0.25">
      <c r="F13" s="22">
        <f>F11+F5</f>
        <v>368460699</v>
      </c>
    </row>
    <row r="15" spans="1:23" s="707" customFormat="1" ht="46.5" customHeight="1" x14ac:dyDescent="0.25">
      <c r="A15" s="707" t="s">
        <v>235</v>
      </c>
      <c r="B15" s="707" t="s">
        <v>16</v>
      </c>
      <c r="C15" s="707" t="s">
        <v>17</v>
      </c>
      <c r="D15" s="707" t="s">
        <v>236</v>
      </c>
      <c r="E15" s="707" t="s">
        <v>237</v>
      </c>
      <c r="F15" s="707" t="s">
        <v>238</v>
      </c>
      <c r="H15" s="722" t="s">
        <v>239</v>
      </c>
      <c r="I15" s="722" t="s">
        <v>240</v>
      </c>
      <c r="J15" s="722" t="s">
        <v>241</v>
      </c>
      <c r="K15" s="722" t="s">
        <v>242</v>
      </c>
      <c r="L15" s="723" t="s">
        <v>243</v>
      </c>
      <c r="O15" s="722" t="s">
        <v>239</v>
      </c>
      <c r="P15" s="722" t="s">
        <v>244</v>
      </c>
      <c r="Q15" s="722" t="s">
        <v>245</v>
      </c>
      <c r="R15" s="722" t="s">
        <v>246</v>
      </c>
      <c r="S15" s="723" t="s">
        <v>243</v>
      </c>
      <c r="V15" s="722" t="s">
        <v>239</v>
      </c>
      <c r="W15" s="722" t="s">
        <v>16</v>
      </c>
    </row>
    <row r="16" spans="1:23" x14ac:dyDescent="0.25">
      <c r="A16" s="1" t="s">
        <v>91</v>
      </c>
      <c r="B16" s="18">
        <f>'Sales by DU'!$F5</f>
        <v>10997382</v>
      </c>
      <c r="C16" s="18">
        <f>'Sales by DU'!$F6</f>
        <v>969661</v>
      </c>
      <c r="D16" s="18">
        <f>'Sales by DU'!$F7</f>
        <v>2207167</v>
      </c>
      <c r="E16" s="18">
        <f>'Sales by DU'!$F9</f>
        <v>0</v>
      </c>
      <c r="F16" s="18">
        <f>'Sales by DU'!$F10</f>
        <v>0</v>
      </c>
      <c r="H16" s="808" t="s">
        <v>247</v>
      </c>
      <c r="I16" s="811">
        <f>319403731/1000</f>
        <v>319403.73100000003</v>
      </c>
      <c r="J16" s="811">
        <f>1520551690/1000</f>
        <v>1520551.69</v>
      </c>
      <c r="K16" s="811">
        <f>4836804/1000</f>
        <v>4836.8040000000001</v>
      </c>
      <c r="L16" s="809">
        <f t="shared" ref="L16" si="5">J16+I16</f>
        <v>1839955.4210000001</v>
      </c>
      <c r="O16" s="810" t="s">
        <v>247</v>
      </c>
      <c r="P16" s="811">
        <f>9972776/1000</f>
        <v>9972.7759999999998</v>
      </c>
      <c r="Q16" s="811">
        <f>703687893/1000</f>
        <v>703687.89300000004</v>
      </c>
      <c r="R16" s="811">
        <f>1416503/1000</f>
        <v>1416.5029999999999</v>
      </c>
      <c r="S16" s="809">
        <f>Q16+P16</f>
        <v>713660.66899999999</v>
      </c>
      <c r="V16" s="810" t="s">
        <v>247</v>
      </c>
      <c r="W16" s="811">
        <f>1931666733/1000</f>
        <v>1931666.733</v>
      </c>
    </row>
    <row r="17" spans="1:24" x14ac:dyDescent="0.25">
      <c r="A17" s="1" t="s">
        <v>92</v>
      </c>
      <c r="B17" s="18">
        <f>'Sales by DU'!$F15</f>
        <v>14368020</v>
      </c>
      <c r="C17" s="18">
        <f>'Sales by DU'!$F16</f>
        <v>2226114</v>
      </c>
      <c r="D17" s="18">
        <f>'Sales by DU'!$F17</f>
        <v>9946096</v>
      </c>
      <c r="E17" s="18">
        <f>'Sales by DU'!$F19</f>
        <v>0</v>
      </c>
      <c r="F17" s="18">
        <f>'Sales by DU'!$F20</f>
        <v>0</v>
      </c>
      <c r="H17" s="808" t="s">
        <v>248</v>
      </c>
      <c r="I17" s="812">
        <v>321561</v>
      </c>
      <c r="J17" s="812">
        <v>1533131</v>
      </c>
      <c r="K17" s="812">
        <v>4871</v>
      </c>
      <c r="L17" s="809">
        <f>J17+I17</f>
        <v>1854692</v>
      </c>
      <c r="M17" s="813">
        <f>J17/J16-1</f>
        <v>8.2728591752116998E-3</v>
      </c>
      <c r="O17" s="810" t="s">
        <v>248</v>
      </c>
      <c r="P17" s="812">
        <v>8703</v>
      </c>
      <c r="Q17" s="812">
        <v>714470</v>
      </c>
      <c r="R17" s="812">
        <v>1391</v>
      </c>
      <c r="S17" s="809">
        <v>1854692</v>
      </c>
      <c r="T17" s="813">
        <f>Q17/Q16-1</f>
        <v>1.532228578501349E-2</v>
      </c>
      <c r="V17" s="810" t="s">
        <v>248</v>
      </c>
      <c r="W17" s="812">
        <f>2017249821/1000</f>
        <v>2017249.821</v>
      </c>
      <c r="X17" s="16">
        <f>W17/W16-1</f>
        <v>4.4305307192967103E-2</v>
      </c>
    </row>
    <row r="18" spans="1:24" x14ac:dyDescent="0.25">
      <c r="A18" s="1" t="s">
        <v>93</v>
      </c>
      <c r="B18" s="18">
        <f>'Sales by DU'!$F25</f>
        <v>1575342639</v>
      </c>
      <c r="C18" s="18">
        <f>'Sales by DU'!$F26</f>
        <v>299238733</v>
      </c>
      <c r="D18" s="18">
        <f>'Sales by DU'!$F27</f>
        <v>1117343690</v>
      </c>
      <c r="E18" s="18">
        <f>'Sales by DU'!$F29</f>
        <v>0</v>
      </c>
      <c r="F18" s="18">
        <f>'Sales by DU'!$F30</f>
        <v>570383515</v>
      </c>
      <c r="H18" s="808" t="s">
        <v>249</v>
      </c>
      <c r="I18" s="812">
        <f>325235488/1000</f>
        <v>325235.48800000001</v>
      </c>
      <c r="J18" s="812">
        <f>1494771203/1000</f>
        <v>1494771.203</v>
      </c>
      <c r="K18" s="812">
        <f>4837870/1000</f>
        <v>4837.87</v>
      </c>
      <c r="L18" s="809">
        <f t="shared" ref="L18:L21" si="6">J18+I18</f>
        <v>1820006.6910000001</v>
      </c>
      <c r="M18" s="813">
        <f t="shared" ref="M18:M21" si="7">J18/J17-1</f>
        <v>-2.5020560539184222E-2</v>
      </c>
      <c r="O18" s="810" t="s">
        <v>249</v>
      </c>
      <c r="P18" s="812">
        <f>5578093/1000</f>
        <v>5578.0929999999998</v>
      </c>
      <c r="Q18" s="812">
        <f>723823600/1000</f>
        <v>723823.6</v>
      </c>
      <c r="R18" s="812">
        <f>1734103/1000</f>
        <v>1734.1030000000001</v>
      </c>
      <c r="S18" s="809">
        <v>1815137</v>
      </c>
      <c r="T18" s="813">
        <f t="shared" ref="T18:T21" si="8">Q18/Q17-1</f>
        <v>1.3091662351113476E-2</v>
      </c>
      <c r="V18" s="810" t="s">
        <v>249</v>
      </c>
      <c r="W18" s="812">
        <f>1983006159/1000</f>
        <v>1983006.159</v>
      </c>
      <c r="X18" s="16">
        <f t="shared" ref="X18:X21" si="9">W18/W17-1</f>
        <v>-1.6975419525889213E-2</v>
      </c>
    </row>
    <row r="19" spans="1:24" x14ac:dyDescent="0.25">
      <c r="A19" s="1" t="s">
        <v>94</v>
      </c>
      <c r="B19" s="18">
        <f>'Sales by DU'!$F35</f>
        <v>25059496</v>
      </c>
      <c r="C19" s="18">
        <f>'Sales by DU'!$F36</f>
        <v>4972597</v>
      </c>
      <c r="D19" s="18">
        <f>'Sales by DU'!$F37</f>
        <v>5527444</v>
      </c>
      <c r="E19" s="18">
        <f>'Sales by DU'!$F39</f>
        <v>0</v>
      </c>
      <c r="F19" s="18">
        <f>'Sales by DU'!$F40</f>
        <v>0</v>
      </c>
      <c r="H19" s="808" t="s">
        <v>250</v>
      </c>
      <c r="I19" s="812">
        <f>('Sales by DU'!F175+'Sales by DU'!F181)/1000</f>
        <v>367076.99800000002</v>
      </c>
      <c r="J19" s="812">
        <f>'Sales by DU'!F176/1000</f>
        <v>1278868.1661200053</v>
      </c>
      <c r="K19" s="812">
        <f>'Sales by DU'!F177/1000</f>
        <v>4068.257916</v>
      </c>
      <c r="L19" s="809">
        <f t="shared" si="6"/>
        <v>1645945.1641200054</v>
      </c>
      <c r="M19" s="813">
        <f t="shared" si="7"/>
        <v>-0.14443885221141406</v>
      </c>
      <c r="O19" s="810" t="s">
        <v>250</v>
      </c>
      <c r="P19" s="812">
        <f>'Sales by DU'!F178/1000</f>
        <v>0</v>
      </c>
      <c r="Q19" s="812">
        <f>'Sales by DU'!F179/1000</f>
        <v>611144.61399999994</v>
      </c>
      <c r="R19" s="812">
        <f>'Sales by DU'!F180/1000</f>
        <v>1203.210474</v>
      </c>
      <c r="S19" s="809">
        <v>1697380</v>
      </c>
      <c r="T19" s="813">
        <f t="shared" si="8"/>
        <v>-0.15567188745987293</v>
      </c>
      <c r="V19" s="810" t="s">
        <v>250</v>
      </c>
      <c r="W19" s="812">
        <f>'Sales by DU'!F174/1000</f>
        <v>1858999.797</v>
      </c>
      <c r="X19" s="16">
        <f t="shared" si="9"/>
        <v>-6.2534531946453753E-2</v>
      </c>
    </row>
    <row r="20" spans="1:24" x14ac:dyDescent="0.25">
      <c r="A20" s="1" t="s">
        <v>95</v>
      </c>
      <c r="B20" s="18">
        <f>'Sales by DU'!$F45</f>
        <v>8776342</v>
      </c>
      <c r="C20" s="18">
        <f>'Sales by DU'!$F46</f>
        <v>2280911</v>
      </c>
      <c r="D20" s="18">
        <f>'Sales by DU'!$F47</f>
        <v>1600286</v>
      </c>
      <c r="E20" s="18">
        <f>'Sales by DU'!$F49</f>
        <v>0</v>
      </c>
      <c r="F20" s="18">
        <f>'Sales by DU'!$F50</f>
        <v>0</v>
      </c>
      <c r="H20" s="814" t="s">
        <v>251</v>
      </c>
      <c r="I20" s="815">
        <f>(329279856+82000000)/1000</f>
        <v>411279.85600000003</v>
      </c>
      <c r="J20" s="815">
        <f>(1494771203-82000000)/1000</f>
        <v>1412771.203</v>
      </c>
      <c r="K20" s="809">
        <f>(4837870-265.334)/1000</f>
        <v>4837.6046660000002</v>
      </c>
      <c r="L20" s="809">
        <f t="shared" si="6"/>
        <v>1824051.0589999999</v>
      </c>
      <c r="M20" s="813">
        <f t="shared" si="7"/>
        <v>0.10470433186733152</v>
      </c>
      <c r="O20" s="814" t="s">
        <v>251</v>
      </c>
      <c r="P20" s="815">
        <f>5578093/1000</f>
        <v>5578.0929999999998</v>
      </c>
      <c r="Q20" s="815">
        <f>723823600/1000</f>
        <v>723823.6</v>
      </c>
      <c r="R20" s="809">
        <f>1734103/1000</f>
        <v>1734.1030000000001</v>
      </c>
      <c r="S20" s="809">
        <v>1697380</v>
      </c>
      <c r="T20" s="813">
        <f t="shared" si="8"/>
        <v>0.18437368737082593</v>
      </c>
      <c r="V20" s="814" t="s">
        <v>251</v>
      </c>
      <c r="W20" s="815">
        <f>2055526658.23817/1000</f>
        <v>2055526.65823817</v>
      </c>
      <c r="X20" s="16">
        <f t="shared" si="9"/>
        <v>0.10571645115578776</v>
      </c>
    </row>
    <row r="21" spans="1:24" x14ac:dyDescent="0.25">
      <c r="A21" s="1" t="s">
        <v>96</v>
      </c>
      <c r="B21" s="18">
        <f>'Sales by DU'!$F55</f>
        <v>3799281</v>
      </c>
      <c r="C21" s="18">
        <f>'Sales by DU'!$F56</f>
        <v>593617</v>
      </c>
      <c r="D21" s="18">
        <f>'Sales by DU'!$F57</f>
        <v>790907</v>
      </c>
      <c r="E21" s="18">
        <f>'Sales by DU'!$F59</f>
        <v>0</v>
      </c>
      <c r="F21" s="18">
        <f>'Sales by DU'!$F60</f>
        <v>0</v>
      </c>
      <c r="H21" s="814" t="s">
        <v>252</v>
      </c>
      <c r="I21" s="815">
        <f>('Sales by DU'!D175+'Sales by DU'!D181)/1000</f>
        <v>370797.37800000003</v>
      </c>
      <c r="J21" s="815">
        <f>'Sales by DU'!D176/1000</f>
        <v>1284560.1231200055</v>
      </c>
      <c r="K21" s="809">
        <f>'Sales by DU'!D177/1000</f>
        <v>4068.257916</v>
      </c>
      <c r="L21" s="809">
        <f t="shared" si="6"/>
        <v>1655357.5011200055</v>
      </c>
      <c r="M21" s="813">
        <f t="shared" si="7"/>
        <v>-9.0751481632510678E-2</v>
      </c>
      <c r="O21" s="814" t="s">
        <v>252</v>
      </c>
      <c r="P21" s="815">
        <f>'Sales by DU'!D178/1000</f>
        <v>0</v>
      </c>
      <c r="Q21" s="815">
        <f>'Sales by DU'!D179/1000</f>
        <v>611922.52500000002</v>
      </c>
      <c r="R21" s="809">
        <f>'Sales by DU'!D180/1000</f>
        <v>1203.210474</v>
      </c>
      <c r="S21" s="809">
        <v>1697380</v>
      </c>
      <c r="T21" s="813">
        <f t="shared" si="8"/>
        <v>-0.15459716289991088</v>
      </c>
      <c r="V21" s="814" t="s">
        <v>252</v>
      </c>
      <c r="W21" s="815">
        <f>'Sales by DU'!D174/1000</f>
        <v>1951196.1839999999</v>
      </c>
      <c r="X21" s="16">
        <f t="shared" si="9"/>
        <v>-5.0756079382397123E-2</v>
      </c>
    </row>
    <row r="22" spans="1:24" x14ac:dyDescent="0.25">
      <c r="A22" s="1" t="s">
        <v>97</v>
      </c>
      <c r="B22" s="18">
        <f>'Sales by DU'!$F65</f>
        <v>5398757</v>
      </c>
      <c r="C22" s="18">
        <f>'Sales by DU'!$F66</f>
        <v>1302901</v>
      </c>
      <c r="D22" s="18">
        <f>'Sales by DU'!$F67</f>
        <v>5334938</v>
      </c>
      <c r="E22" s="18">
        <f>'Sales by DU'!$F69</f>
        <v>0</v>
      </c>
      <c r="F22" s="18">
        <f>'Sales by DU'!$F70</f>
        <v>0</v>
      </c>
      <c r="H22" s="18"/>
      <c r="I22" s="18"/>
      <c r="J22" s="18"/>
    </row>
    <row r="23" spans="1:24" x14ac:dyDescent="0.25">
      <c r="A23" s="1" t="s">
        <v>98</v>
      </c>
      <c r="B23" s="18">
        <f>'Sales by DU'!$F75</f>
        <v>17370883</v>
      </c>
      <c r="C23" s="18">
        <f>'Sales by DU'!$F76</f>
        <v>4303561</v>
      </c>
      <c r="D23" s="18">
        <f>'Sales by DU'!$F77</f>
        <v>12257955</v>
      </c>
      <c r="E23" s="18">
        <f>'Sales by DU'!$F79</f>
        <v>0</v>
      </c>
      <c r="F23" s="18">
        <f>'Sales by DU'!$F80</f>
        <v>17097580</v>
      </c>
      <c r="H23" s="18"/>
      <c r="I23" s="18"/>
      <c r="J23" s="18"/>
    </row>
    <row r="24" spans="1:24" x14ac:dyDescent="0.25">
      <c r="A24" s="1" t="s">
        <v>99</v>
      </c>
      <c r="B24" s="18">
        <f>'Sales by DU'!$F85</f>
        <v>31885040</v>
      </c>
      <c r="C24" s="18">
        <f>'Sales by DU'!$F86</f>
        <v>11903747</v>
      </c>
      <c r="D24" s="18">
        <f>'Sales by DU'!$F87</f>
        <v>16943526</v>
      </c>
      <c r="E24" s="18">
        <f>'Sales by DU'!$F89</f>
        <v>0</v>
      </c>
      <c r="F24" s="18">
        <f>'Sales by DU'!$F90</f>
        <v>0</v>
      </c>
      <c r="H24" s="816"/>
      <c r="I24" s="734" t="s">
        <v>175</v>
      </c>
      <c r="J24" s="734" t="s">
        <v>253</v>
      </c>
      <c r="K24" s="734" t="s">
        <v>254</v>
      </c>
      <c r="L24" s="444"/>
    </row>
    <row r="25" spans="1:24" x14ac:dyDescent="0.25">
      <c r="A25" s="1" t="s">
        <v>100</v>
      </c>
      <c r="B25" s="18">
        <f>'Sales by DU'!$F95</f>
        <v>23066422</v>
      </c>
      <c r="C25" s="18">
        <f>'Sales by DU'!$F96</f>
        <v>5432394</v>
      </c>
      <c r="D25" s="18">
        <f>'Sales by DU'!$F97</f>
        <v>17820955</v>
      </c>
      <c r="E25" s="18">
        <f>'Sales by DU'!$F99</f>
        <v>0</v>
      </c>
      <c r="F25" s="18">
        <f>'Sales by DU'!$F100</f>
        <v>0</v>
      </c>
      <c r="H25" s="23" t="s">
        <v>255</v>
      </c>
      <c r="I25" s="22">
        <f>274392520</f>
        <v>274392520</v>
      </c>
      <c r="J25" s="685">
        <v>191542863</v>
      </c>
      <c r="K25" s="22">
        <f>I25-J25</f>
        <v>82849657</v>
      </c>
      <c r="L25" s="669"/>
    </row>
    <row r="26" spans="1:24" x14ac:dyDescent="0.25">
      <c r="A26" s="1" t="s">
        <v>101</v>
      </c>
      <c r="B26" s="18">
        <f>'Sales by DU'!$F105</f>
        <v>10615108</v>
      </c>
      <c r="C26" s="18">
        <f>'Sales by DU'!$F106</f>
        <v>2565391</v>
      </c>
      <c r="D26" s="18">
        <f>'Sales by DU'!$F107</f>
        <v>7218841.120005413</v>
      </c>
      <c r="E26" s="18">
        <f>'Sales by DU'!$F109</f>
        <v>0</v>
      </c>
      <c r="F26" s="18">
        <f>'Sales by DU'!$F110</f>
        <v>7896119</v>
      </c>
      <c r="H26" s="23" t="s">
        <v>256</v>
      </c>
      <c r="I26" s="22"/>
      <c r="J26" s="685">
        <v>1277876137</v>
      </c>
      <c r="K26" s="22"/>
      <c r="L26" s="786">
        <f>K25/J26</f>
        <v>6.4833871297183474E-2</v>
      </c>
    </row>
    <row r="27" spans="1:24" x14ac:dyDescent="0.25">
      <c r="A27" s="1" t="s">
        <v>102</v>
      </c>
      <c r="B27" s="18">
        <f>'Sales by DU'!$F115</f>
        <v>4071694</v>
      </c>
      <c r="C27" s="18">
        <f>'Sales by DU'!$F116</f>
        <v>2064666</v>
      </c>
      <c r="D27" s="18">
        <f>'Sales by DU'!$F117</f>
        <v>0</v>
      </c>
      <c r="E27" s="18">
        <f>'Sales by DU'!$F119</f>
        <v>0</v>
      </c>
      <c r="F27" s="18">
        <f>'Sales by DU'!$F120</f>
        <v>6616800</v>
      </c>
      <c r="H27" s="205" t="s">
        <v>257</v>
      </c>
      <c r="I27" s="694">
        <f>J27*(1-L26)</f>
        <v>3827180.4740420785</v>
      </c>
      <c r="J27" s="694">
        <v>4092514</v>
      </c>
      <c r="K27" s="738">
        <f>I27-J27</f>
        <v>-265333.52595792152</v>
      </c>
      <c r="L27" s="695"/>
    </row>
    <row r="28" spans="1:24" x14ac:dyDescent="0.25">
      <c r="A28" s="1" t="s">
        <v>103</v>
      </c>
      <c r="B28" s="18">
        <f>'Sales by DU'!$F125</f>
        <v>26332152</v>
      </c>
      <c r="C28" s="18">
        <f>'Sales by DU'!$F126</f>
        <v>7554608</v>
      </c>
      <c r="D28" s="18">
        <f>'Sales by DU'!$F127</f>
        <v>33445067</v>
      </c>
      <c r="E28" s="18">
        <f>'Sales by DU'!$F129</f>
        <v>0</v>
      </c>
      <c r="F28" s="18">
        <f>'Sales by DU'!$F130</f>
        <v>9150600</v>
      </c>
      <c r="H28" s="18"/>
      <c r="I28" s="18"/>
      <c r="J28" s="18"/>
    </row>
    <row r="29" spans="1:24" x14ac:dyDescent="0.25">
      <c r="A29" s="1" t="s">
        <v>104</v>
      </c>
      <c r="B29" s="18">
        <f>'Sales by DU'!$F135</f>
        <v>27273418</v>
      </c>
      <c r="C29" s="18">
        <f>'Sales by DU'!$F136</f>
        <v>2941004</v>
      </c>
      <c r="D29" s="18">
        <f>'Sales by DU'!$F137</f>
        <v>22233586</v>
      </c>
      <c r="E29" s="18">
        <f>'Sales by DU'!$F139</f>
        <v>0</v>
      </c>
      <c r="F29" s="18">
        <f>'Sales by DU'!$F140</f>
        <v>0</v>
      </c>
      <c r="H29" s="18"/>
      <c r="I29" s="18"/>
      <c r="J29" s="18"/>
    </row>
    <row r="30" spans="1:24" x14ac:dyDescent="0.25">
      <c r="A30" s="1" t="s">
        <v>258</v>
      </c>
      <c r="B30" s="18">
        <f>'Sales by DU'!$F145</f>
        <v>18826828</v>
      </c>
      <c r="C30" s="18">
        <f>'Sales by DU'!$F146</f>
        <v>2659320</v>
      </c>
      <c r="D30" s="18">
        <f>'Sales by DU'!$F147</f>
        <v>21969666</v>
      </c>
      <c r="E30" s="18">
        <f>'Sales by DU'!$F149</f>
        <v>0</v>
      </c>
      <c r="F30" s="18">
        <f>'Sales by DU'!$F150</f>
        <v>0</v>
      </c>
      <c r="H30" s="18"/>
      <c r="I30" s="18"/>
      <c r="J30" s="18"/>
    </row>
    <row r="31" spans="1:24" s="40" customFormat="1" x14ac:dyDescent="0.25">
      <c r="A31" s="40" t="s">
        <v>106</v>
      </c>
      <c r="B31" s="716">
        <f>'Sales by DU'!$F155</f>
        <v>55816335</v>
      </c>
      <c r="C31" s="716">
        <f>'Sales by DU'!$F156</f>
        <v>5290618</v>
      </c>
      <c r="D31" s="716">
        <f>'Sales by DU'!$F157</f>
        <v>4228042</v>
      </c>
      <c r="E31" s="716">
        <f>'Sales by DU'!$F159</f>
        <v>0</v>
      </c>
      <c r="F31" s="716">
        <f>'Sales by DU'!$F160</f>
        <v>0</v>
      </c>
      <c r="H31" s="716"/>
      <c r="I31" s="716"/>
      <c r="J31" s="716"/>
      <c r="L31" s="1"/>
    </row>
    <row r="32" spans="1:24" s="6" customFormat="1" x14ac:dyDescent="0.25">
      <c r="A32" s="6" t="s">
        <v>62</v>
      </c>
      <c r="B32" s="337">
        <f>SUM(B16:B31)</f>
        <v>1858999797</v>
      </c>
      <c r="C32" s="337">
        <f>SUM(C16:C31)</f>
        <v>356299843</v>
      </c>
      <c r="D32" s="337">
        <f>SUM(D16:D31)</f>
        <v>1278868166.1200054</v>
      </c>
      <c r="E32" s="337">
        <f>SUM(E16:E31)</f>
        <v>0</v>
      </c>
      <c r="F32" s="337">
        <f>SUM(F16:F31)</f>
        <v>611144614</v>
      </c>
      <c r="L32" s="40"/>
    </row>
    <row r="33" spans="12:12" x14ac:dyDescent="0.25">
      <c r="L33" s="6"/>
    </row>
  </sheetData>
  <mergeCells count="3">
    <mergeCell ref="F2:H2"/>
    <mergeCell ref="I2:K2"/>
    <mergeCell ref="B2:E2"/>
  </mergeCells>
  <pageMargins left="0.7" right="0.7" top="0.75" bottom="0.75" header="0.3" footer="0.3"/>
  <pageSetup orientation="portrait" horizontalDpi="0"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2F70E-0D19-4354-A47B-BFADE8FC3CAA}">
  <dimension ref="A1:M190"/>
  <sheetViews>
    <sheetView workbookViewId="0">
      <pane xSplit="1" ySplit="3" topLeftCell="B4" activePane="bottomRight" state="frozen"/>
      <selection pane="topRight" activeCell="B1" sqref="B1"/>
      <selection pane="bottomLeft" activeCell="A4" sqref="A4"/>
      <selection pane="bottomRight" activeCell="C5" sqref="C5"/>
    </sheetView>
  </sheetViews>
  <sheetFormatPr defaultColWidth="9.140625" defaultRowHeight="15" x14ac:dyDescent="0.25"/>
  <cols>
    <col min="1" max="1" width="43.5703125" style="1" customWidth="1"/>
    <col min="2" max="2" width="8" style="19" customWidth="1"/>
    <col min="3" max="3" width="15.7109375" style="1" bestFit="1" customWidth="1"/>
    <col min="4" max="4" width="14.42578125" style="18" customWidth="1"/>
    <col min="5" max="5" width="13.28515625" style="1" customWidth="1"/>
    <col min="6" max="7" width="14" style="1" customWidth="1"/>
    <col min="8" max="8" width="10.7109375" style="1" customWidth="1"/>
    <col min="9" max="9" width="10.7109375" style="2" customWidth="1"/>
    <col min="10" max="10" width="13.42578125" style="2" customWidth="1"/>
    <col min="11" max="11" width="12.140625" style="2" customWidth="1"/>
    <col min="12" max="12" width="16.5703125" style="2" customWidth="1"/>
    <col min="13" max="13" width="10.140625" style="2" bestFit="1" customWidth="1"/>
    <col min="14" max="16384" width="9.140625" style="1"/>
  </cols>
  <sheetData>
    <row r="1" spans="1:13" x14ac:dyDescent="0.25">
      <c r="A1" s="60" t="s">
        <v>259</v>
      </c>
      <c r="B1" s="59"/>
    </row>
    <row r="3" spans="1:13" ht="45" x14ac:dyDescent="0.25">
      <c r="A3" s="59" t="s">
        <v>260</v>
      </c>
      <c r="B3" s="59" t="s">
        <v>40</v>
      </c>
      <c r="C3" s="670" t="s">
        <v>261</v>
      </c>
      <c r="D3" s="679" t="s">
        <v>262</v>
      </c>
      <c r="E3" s="680" t="s">
        <v>263</v>
      </c>
      <c r="F3" s="680" t="s">
        <v>264</v>
      </c>
      <c r="G3" s="671" t="s">
        <v>265</v>
      </c>
      <c r="H3" s="671" t="s">
        <v>266</v>
      </c>
      <c r="I3" s="681" t="s">
        <v>267</v>
      </c>
      <c r="J3" s="682" t="s">
        <v>268</v>
      </c>
      <c r="K3" s="683" t="s">
        <v>269</v>
      </c>
      <c r="L3" s="684" t="s">
        <v>270</v>
      </c>
    </row>
    <row r="4" spans="1:13" x14ac:dyDescent="0.25">
      <c r="A4" s="60" t="s">
        <v>91</v>
      </c>
      <c r="B4" s="59"/>
      <c r="C4" s="23"/>
      <c r="D4" s="685"/>
      <c r="G4" s="669"/>
      <c r="H4" s="669"/>
      <c r="I4" s="686"/>
      <c r="J4" s="687"/>
      <c r="L4" s="450"/>
    </row>
    <row r="5" spans="1:13" x14ac:dyDescent="0.25">
      <c r="A5" s="23" t="s">
        <v>227</v>
      </c>
      <c r="B5" s="19" t="s">
        <v>47</v>
      </c>
      <c r="C5" s="114">
        <v>10789565.880000001</v>
      </c>
      <c r="D5" s="685">
        <f>'Util Rev and Load Data'!C70</f>
        <v>11205544</v>
      </c>
      <c r="E5" s="685">
        <v>208162</v>
      </c>
      <c r="F5" s="685">
        <f>D5-E5</f>
        <v>10997382</v>
      </c>
      <c r="G5" s="688">
        <f>F5-C5</f>
        <v>207816.11999999918</v>
      </c>
      <c r="H5" s="689">
        <v>1.371E-2</v>
      </c>
      <c r="I5" s="689">
        <v>1.188E-2</v>
      </c>
      <c r="J5" s="687">
        <f>C5*I5</f>
        <v>128180.04265440001</v>
      </c>
      <c r="K5" s="2">
        <f>I5*F5</f>
        <v>130648.89816</v>
      </c>
      <c r="L5" s="450">
        <f>K5-J5</f>
        <v>2468.8555055999896</v>
      </c>
      <c r="M5" s="16">
        <f>G5/C5</f>
        <v>1.9260841660480151E-2</v>
      </c>
    </row>
    <row r="6" spans="1:13" x14ac:dyDescent="0.25">
      <c r="A6" s="23" t="s">
        <v>228</v>
      </c>
      <c r="B6" s="19" t="s">
        <v>47</v>
      </c>
      <c r="C6" s="114">
        <v>941907.6</v>
      </c>
      <c r="D6" s="685">
        <f>'Util Rev and Load Data'!G70</f>
        <v>969661</v>
      </c>
      <c r="E6" s="685">
        <v>0</v>
      </c>
      <c r="F6" s="685">
        <f t="shared" ref="F6:F69" si="0">D6-E6</f>
        <v>969661</v>
      </c>
      <c r="G6" s="688">
        <f t="shared" ref="G6:G69" si="1">F6-C6</f>
        <v>27753.400000000023</v>
      </c>
      <c r="H6" s="689">
        <v>1.091E-2</v>
      </c>
      <c r="I6" s="689">
        <v>1.0240000000000001E-2</v>
      </c>
      <c r="J6" s="687">
        <f t="shared" ref="J6:J12" si="2">C6*I6</f>
        <v>9645.1338240000005</v>
      </c>
      <c r="K6" s="2">
        <f t="shared" ref="K6:K12" si="3">I6*F6</f>
        <v>9929.3286400000015</v>
      </c>
      <c r="L6" s="450">
        <f t="shared" ref="L6:L12" si="4">K6-J6</f>
        <v>284.19481600000108</v>
      </c>
      <c r="M6" s="16">
        <f t="shared" ref="M6:M12" si="5">G6/C6</f>
        <v>2.9465098275032523E-2</v>
      </c>
    </row>
    <row r="7" spans="1:13" x14ac:dyDescent="0.25">
      <c r="A7" s="23" t="s">
        <v>229</v>
      </c>
      <c r="B7" s="19" t="s">
        <v>47</v>
      </c>
      <c r="C7" s="114">
        <v>2133084.7999999998</v>
      </c>
      <c r="D7" s="685">
        <f>'Util Rev and Load Data'!K70</f>
        <v>2207167</v>
      </c>
      <c r="E7" s="685">
        <v>0</v>
      </c>
      <c r="F7" s="685">
        <f t="shared" si="0"/>
        <v>2207167</v>
      </c>
      <c r="G7" s="688">
        <f t="shared" si="1"/>
        <v>74082.200000000186</v>
      </c>
      <c r="H7" s="689">
        <v>7.0699999999999999E-3</v>
      </c>
      <c r="I7" s="689">
        <v>6.62E-3</v>
      </c>
      <c r="J7" s="687">
        <f t="shared" si="2"/>
        <v>14121.021375999999</v>
      </c>
      <c r="K7" s="2">
        <f t="shared" si="3"/>
        <v>14611.445540000001</v>
      </c>
      <c r="L7" s="450">
        <f t="shared" si="4"/>
        <v>490.42416400000184</v>
      </c>
      <c r="M7" s="16">
        <f t="shared" si="5"/>
        <v>3.4730077304006006E-2</v>
      </c>
    </row>
    <row r="8" spans="1:13" x14ac:dyDescent="0.25">
      <c r="A8" s="23" t="s">
        <v>230</v>
      </c>
      <c r="B8" s="19" t="s">
        <v>271</v>
      </c>
      <c r="C8" s="114">
        <v>6769</v>
      </c>
      <c r="D8" s="685">
        <f>'Util Rev and Load Data'!L70</f>
        <v>6820</v>
      </c>
      <c r="E8" s="685">
        <v>0</v>
      </c>
      <c r="F8" s="685">
        <f t="shared" si="0"/>
        <v>6820</v>
      </c>
      <c r="G8" s="688">
        <f t="shared" si="1"/>
        <v>51</v>
      </c>
      <c r="H8" s="689">
        <v>1.1383000000000001</v>
      </c>
      <c r="I8" s="689">
        <v>1.13825</v>
      </c>
      <c r="J8" s="687">
        <f t="shared" si="2"/>
        <v>7704.8142499999994</v>
      </c>
      <c r="K8" s="2">
        <f t="shared" si="3"/>
        <v>7762.8649999999998</v>
      </c>
      <c r="L8" s="450">
        <f t="shared" si="4"/>
        <v>58.050750000000335</v>
      </c>
      <c r="M8" s="16">
        <f t="shared" si="5"/>
        <v>7.5343477618555182E-3</v>
      </c>
    </row>
    <row r="9" spans="1:13" x14ac:dyDescent="0.25">
      <c r="A9" s="23" t="s">
        <v>231</v>
      </c>
      <c r="B9" s="19" t="s">
        <v>47</v>
      </c>
      <c r="C9" s="114">
        <v>0</v>
      </c>
      <c r="D9" s="685">
        <f>'Util Rev and Load Data'!S70</f>
        <v>0</v>
      </c>
      <c r="E9" s="685">
        <v>0</v>
      </c>
      <c r="F9" s="685">
        <f t="shared" si="0"/>
        <v>0</v>
      </c>
      <c r="G9" s="688">
        <f t="shared" si="1"/>
        <v>0</v>
      </c>
      <c r="H9" s="689">
        <v>7.7000000000000002E-3</v>
      </c>
      <c r="I9" s="689">
        <v>7.5700000000000003E-3</v>
      </c>
      <c r="J9" s="687">
        <f t="shared" si="2"/>
        <v>0</v>
      </c>
      <c r="K9" s="2">
        <f t="shared" si="3"/>
        <v>0</v>
      </c>
      <c r="L9" s="450">
        <f t="shared" si="4"/>
        <v>0</v>
      </c>
      <c r="M9" s="16" t="e">
        <f t="shared" si="5"/>
        <v>#DIV/0!</v>
      </c>
    </row>
    <row r="10" spans="1:13" x14ac:dyDescent="0.25">
      <c r="A10" s="23" t="s">
        <v>232</v>
      </c>
      <c r="B10" s="19" t="s">
        <v>47</v>
      </c>
      <c r="C10" s="114">
        <v>0</v>
      </c>
      <c r="D10" s="685">
        <f>'Util Rev and Load Data'!V70</f>
        <v>0</v>
      </c>
      <c r="E10" s="685">
        <v>0</v>
      </c>
      <c r="F10" s="685">
        <f t="shared" si="0"/>
        <v>0</v>
      </c>
      <c r="G10" s="688">
        <f t="shared" si="1"/>
        <v>0</v>
      </c>
      <c r="H10" s="689">
        <v>5.2199999999999998E-3</v>
      </c>
      <c r="I10" s="689">
        <v>5.2100000000000002E-3</v>
      </c>
      <c r="J10" s="687">
        <f t="shared" si="2"/>
        <v>0</v>
      </c>
      <c r="K10" s="2">
        <f t="shared" si="3"/>
        <v>0</v>
      </c>
      <c r="L10" s="450">
        <f t="shared" si="4"/>
        <v>0</v>
      </c>
      <c r="M10" s="16" t="e">
        <f t="shared" si="5"/>
        <v>#DIV/0!</v>
      </c>
    </row>
    <row r="11" spans="1:13" x14ac:dyDescent="0.25">
      <c r="A11" s="23" t="s">
        <v>233</v>
      </c>
      <c r="B11" s="19" t="s">
        <v>271</v>
      </c>
      <c r="C11" s="114">
        <v>0</v>
      </c>
      <c r="D11" s="685">
        <f>'Util Rev and Load Data'!W70</f>
        <v>0</v>
      </c>
      <c r="E11" s="685">
        <v>0</v>
      </c>
      <c r="F11" s="685">
        <f t="shared" si="0"/>
        <v>0</v>
      </c>
      <c r="G11" s="688">
        <f t="shared" si="1"/>
        <v>0</v>
      </c>
      <c r="H11" s="689">
        <v>1.2132000000000001</v>
      </c>
      <c r="I11" s="689">
        <v>1.21316</v>
      </c>
      <c r="J11" s="687">
        <f t="shared" si="2"/>
        <v>0</v>
      </c>
      <c r="K11" s="2">
        <f t="shared" si="3"/>
        <v>0</v>
      </c>
      <c r="L11" s="450">
        <f t="shared" si="4"/>
        <v>0</v>
      </c>
      <c r="M11" s="16" t="e">
        <f t="shared" si="5"/>
        <v>#DIV/0!</v>
      </c>
    </row>
    <row r="12" spans="1:13" x14ac:dyDescent="0.25">
      <c r="A12" s="448" t="s">
        <v>234</v>
      </c>
      <c r="B12" s="19" t="s">
        <v>47</v>
      </c>
      <c r="C12" s="114">
        <v>114744.36000000002</v>
      </c>
      <c r="D12" s="685">
        <f>'Util Rev and Load Data'!H70</f>
        <v>118088</v>
      </c>
      <c r="E12" s="685">
        <v>0</v>
      </c>
      <c r="F12" s="685">
        <f t="shared" si="0"/>
        <v>118088</v>
      </c>
      <c r="G12" s="688">
        <f t="shared" si="1"/>
        <v>3343.6399999999849</v>
      </c>
      <c r="H12" s="689">
        <v>1.091E-2</v>
      </c>
      <c r="I12" s="689">
        <v>1.0240000000000001E-2</v>
      </c>
      <c r="J12" s="690">
        <f t="shared" si="2"/>
        <v>1174.9822464000003</v>
      </c>
      <c r="K12" s="281">
        <f t="shared" si="3"/>
        <v>1209.2211200000002</v>
      </c>
      <c r="L12" s="450">
        <f t="shared" si="4"/>
        <v>34.238873599999806</v>
      </c>
      <c r="M12" s="16">
        <f t="shared" si="5"/>
        <v>2.9139907181494448E-2</v>
      </c>
    </row>
    <row r="13" spans="1:13" x14ac:dyDescent="0.25">
      <c r="C13" s="114"/>
      <c r="D13" s="685"/>
      <c r="E13" s="685"/>
      <c r="F13" s="685"/>
      <c r="G13" s="688"/>
      <c r="H13" s="686"/>
      <c r="I13" s="686"/>
      <c r="J13" s="691">
        <f>SUM(J5:J12)</f>
        <v>160825.9943508</v>
      </c>
      <c r="K13" s="265">
        <f>SUM(K5:K12)</f>
        <v>164161.75845999998</v>
      </c>
      <c r="L13" s="692">
        <f>SUM(L5:L12)</f>
        <v>3335.7641091999926</v>
      </c>
      <c r="M13" s="16">
        <f>L13/J13</f>
        <v>2.0741448685987245E-2</v>
      </c>
    </row>
    <row r="14" spans="1:13" x14ac:dyDescent="0.25">
      <c r="A14" s="60" t="s">
        <v>92</v>
      </c>
      <c r="B14" s="59"/>
      <c r="C14" s="399"/>
      <c r="D14" s="693"/>
      <c r="E14" s="59"/>
      <c r="F14" s="685"/>
      <c r="G14" s="688"/>
      <c r="H14" s="686"/>
      <c r="I14" s="686"/>
      <c r="J14" s="687"/>
      <c r="L14" s="450"/>
    </row>
    <row r="15" spans="1:13" x14ac:dyDescent="0.25">
      <c r="A15" s="23" t="s">
        <v>227</v>
      </c>
      <c r="B15" s="19" t="s">
        <v>47</v>
      </c>
      <c r="C15" s="114">
        <v>14441384.509999998</v>
      </c>
      <c r="D15" s="685">
        <f>VLOOKUP(A14,'Util Rev and Load Data'!A$70:W$85,3)</f>
        <v>14673998</v>
      </c>
      <c r="E15" s="685">
        <v>305978</v>
      </c>
      <c r="F15" s="685">
        <f t="shared" si="0"/>
        <v>14368020</v>
      </c>
      <c r="G15" s="688">
        <f t="shared" si="1"/>
        <v>-73364.509999997914</v>
      </c>
      <c r="H15" s="689">
        <v>1.371E-2</v>
      </c>
      <c r="I15" s="689">
        <v>1.188E-2</v>
      </c>
      <c r="J15" s="687">
        <f>C15*I15</f>
        <v>171563.64797879997</v>
      </c>
      <c r="K15" s="2">
        <f>I15*F15</f>
        <v>170692.07759999999</v>
      </c>
      <c r="L15" s="450">
        <f>K15-J15</f>
        <v>-871.57037879998097</v>
      </c>
      <c r="M15" s="16">
        <f>G15/C15</f>
        <v>-5.0801576503413746E-3</v>
      </c>
    </row>
    <row r="16" spans="1:13" x14ac:dyDescent="0.25">
      <c r="A16" s="23" t="s">
        <v>228</v>
      </c>
      <c r="B16" s="19" t="s">
        <v>47</v>
      </c>
      <c r="C16" s="114">
        <v>2160113.5500000003</v>
      </c>
      <c r="D16" s="685">
        <f>VLOOKUP(A14,'Util Rev and Load Data'!A$70:W$85,7)</f>
        <v>2226114</v>
      </c>
      <c r="E16" s="685">
        <v>0</v>
      </c>
      <c r="F16" s="685">
        <f t="shared" si="0"/>
        <v>2226114</v>
      </c>
      <c r="G16" s="688">
        <f t="shared" si="1"/>
        <v>66000.449999999721</v>
      </c>
      <c r="H16" s="689">
        <v>1.091E-2</v>
      </c>
      <c r="I16" s="689">
        <v>1.0240000000000001E-2</v>
      </c>
      <c r="J16" s="687">
        <f t="shared" ref="J16:J22" si="6">C16*I16</f>
        <v>22119.562752000005</v>
      </c>
      <c r="K16" s="2">
        <f t="shared" ref="K16:K22" si="7">I16*F16</f>
        <v>22795.407360000001</v>
      </c>
      <c r="L16" s="450">
        <f t="shared" ref="L16:L22" si="8">K16-J16</f>
        <v>675.84460799999579</v>
      </c>
      <c r="M16" s="16">
        <f t="shared" ref="M16:M22" si="9">G16/C16</f>
        <v>3.0554157673794376E-2</v>
      </c>
    </row>
    <row r="17" spans="1:13" x14ac:dyDescent="0.25">
      <c r="A17" s="23" t="s">
        <v>229</v>
      </c>
      <c r="B17" s="19" t="s">
        <v>47</v>
      </c>
      <c r="C17" s="114">
        <v>9836149.5700000003</v>
      </c>
      <c r="D17" s="685">
        <f>VLOOKUP(A14,'Util Rev and Load Data'!A$70:W$85,11)</f>
        <v>9946096</v>
      </c>
      <c r="E17" s="685">
        <v>0</v>
      </c>
      <c r="F17" s="685">
        <f t="shared" si="0"/>
        <v>9946096</v>
      </c>
      <c r="G17" s="688">
        <f t="shared" si="1"/>
        <v>109946.4299999997</v>
      </c>
      <c r="H17" s="689">
        <v>7.0699999999999999E-3</v>
      </c>
      <c r="I17" s="689">
        <v>6.62E-3</v>
      </c>
      <c r="J17" s="687">
        <f t="shared" si="6"/>
        <v>65115.310153400002</v>
      </c>
      <c r="K17" s="2">
        <f t="shared" si="7"/>
        <v>65843.15552</v>
      </c>
      <c r="L17" s="450">
        <f t="shared" si="8"/>
        <v>727.84536659999867</v>
      </c>
      <c r="M17" s="16">
        <f t="shared" si="9"/>
        <v>1.117779159594456E-2</v>
      </c>
    </row>
    <row r="18" spans="1:13" x14ac:dyDescent="0.25">
      <c r="A18" s="23" t="s">
        <v>230</v>
      </c>
      <c r="B18" s="19" t="s">
        <v>271</v>
      </c>
      <c r="C18" s="114">
        <v>23226.04</v>
      </c>
      <c r="D18" s="685">
        <f>VLOOKUP(A14,'Util Rev and Load Data'!A$70:W$85,12)</f>
        <v>23767.329999999998</v>
      </c>
      <c r="E18" s="685">
        <v>0</v>
      </c>
      <c r="F18" s="685">
        <f t="shared" si="0"/>
        <v>23767.329999999998</v>
      </c>
      <c r="G18" s="688">
        <f t="shared" si="1"/>
        <v>541.28999999999724</v>
      </c>
      <c r="H18" s="689">
        <v>1.1383000000000001</v>
      </c>
      <c r="I18" s="689">
        <v>1.13825</v>
      </c>
      <c r="J18" s="687">
        <f t="shared" si="6"/>
        <v>26437.04003</v>
      </c>
      <c r="K18" s="2">
        <f t="shared" si="7"/>
        <v>27053.163372499999</v>
      </c>
      <c r="L18" s="450">
        <f t="shared" si="8"/>
        <v>616.12334249999913</v>
      </c>
      <c r="M18" s="16">
        <f t="shared" si="9"/>
        <v>2.3305307318854062E-2</v>
      </c>
    </row>
    <row r="19" spans="1:13" x14ac:dyDescent="0.25">
      <c r="A19" s="23" t="s">
        <v>231</v>
      </c>
      <c r="B19" s="19" t="s">
        <v>47</v>
      </c>
      <c r="C19" s="114">
        <v>0</v>
      </c>
      <c r="D19" s="685">
        <f>VLOOKUP(A14,'Util Rev and Load Data'!A$70:W$85,19)</f>
        <v>0</v>
      </c>
      <c r="E19" s="685">
        <v>0</v>
      </c>
      <c r="F19" s="685">
        <f t="shared" si="0"/>
        <v>0</v>
      </c>
      <c r="G19" s="688">
        <f t="shared" si="1"/>
        <v>0</v>
      </c>
      <c r="H19" s="689">
        <v>7.7000000000000002E-3</v>
      </c>
      <c r="I19" s="689">
        <v>7.5700000000000003E-3</v>
      </c>
      <c r="J19" s="687">
        <f t="shared" si="6"/>
        <v>0</v>
      </c>
      <c r="K19" s="2">
        <f t="shared" si="7"/>
        <v>0</v>
      </c>
      <c r="L19" s="450">
        <f t="shared" si="8"/>
        <v>0</v>
      </c>
      <c r="M19" s="16" t="e">
        <f t="shared" si="9"/>
        <v>#DIV/0!</v>
      </c>
    </row>
    <row r="20" spans="1:13" x14ac:dyDescent="0.25">
      <c r="A20" s="23" t="s">
        <v>232</v>
      </c>
      <c r="B20" s="19" t="s">
        <v>47</v>
      </c>
      <c r="C20" s="114">
        <v>0</v>
      </c>
      <c r="D20" s="685">
        <f>VLOOKUP(A14,'Util Rev and Load Data'!A$70:W$85,22)</f>
        <v>0</v>
      </c>
      <c r="E20" s="685">
        <v>0</v>
      </c>
      <c r="F20" s="685">
        <f t="shared" si="0"/>
        <v>0</v>
      </c>
      <c r="G20" s="688">
        <f t="shared" si="1"/>
        <v>0</v>
      </c>
      <c r="H20" s="689">
        <v>5.2199999999999998E-3</v>
      </c>
      <c r="I20" s="689">
        <v>5.2100000000000002E-3</v>
      </c>
      <c r="J20" s="687">
        <f t="shared" si="6"/>
        <v>0</v>
      </c>
      <c r="K20" s="2">
        <f t="shared" si="7"/>
        <v>0</v>
      </c>
      <c r="L20" s="450">
        <f t="shared" si="8"/>
        <v>0</v>
      </c>
      <c r="M20" s="16" t="e">
        <f t="shared" si="9"/>
        <v>#DIV/0!</v>
      </c>
    </row>
    <row r="21" spans="1:13" x14ac:dyDescent="0.25">
      <c r="A21" s="23" t="s">
        <v>233</v>
      </c>
      <c r="B21" s="19" t="s">
        <v>271</v>
      </c>
      <c r="C21" s="114">
        <v>0</v>
      </c>
      <c r="D21" s="685">
        <f>VLOOKUP(A14,'Util Rev and Load Data'!A$70:W$85,23)</f>
        <v>0</v>
      </c>
      <c r="E21" s="685">
        <v>0</v>
      </c>
      <c r="F21" s="685">
        <f t="shared" si="0"/>
        <v>0</v>
      </c>
      <c r="G21" s="688">
        <f t="shared" si="1"/>
        <v>0</v>
      </c>
      <c r="H21" s="689">
        <v>1.2132000000000001</v>
      </c>
      <c r="I21" s="689">
        <v>1.21316</v>
      </c>
      <c r="J21" s="687">
        <f t="shared" si="6"/>
        <v>0</v>
      </c>
      <c r="K21" s="2">
        <f t="shared" si="7"/>
        <v>0</v>
      </c>
      <c r="L21" s="450">
        <f t="shared" si="8"/>
        <v>0</v>
      </c>
      <c r="M21" s="16" t="e">
        <f t="shared" si="9"/>
        <v>#DIV/0!</v>
      </c>
    </row>
    <row r="22" spans="1:13" x14ac:dyDescent="0.25">
      <c r="A22" s="448" t="s">
        <v>234</v>
      </c>
      <c r="B22" s="19" t="s">
        <v>47</v>
      </c>
      <c r="C22" s="114">
        <v>80796.930000000008</v>
      </c>
      <c r="D22" s="685">
        <f>VLOOKUP(A14,'Util Rev and Load Data'!A$70:W$85,8)</f>
        <v>64260</v>
      </c>
      <c r="E22" s="685">
        <v>0</v>
      </c>
      <c r="F22" s="685">
        <f t="shared" si="0"/>
        <v>64260</v>
      </c>
      <c r="G22" s="688">
        <f t="shared" si="1"/>
        <v>-16536.930000000008</v>
      </c>
      <c r="H22" s="689">
        <v>1.091E-2</v>
      </c>
      <c r="I22" s="689">
        <v>1.0240000000000001E-2</v>
      </c>
      <c r="J22" s="690">
        <f t="shared" si="6"/>
        <v>827.36056320000012</v>
      </c>
      <c r="K22" s="281">
        <f t="shared" si="7"/>
        <v>658.02240000000006</v>
      </c>
      <c r="L22" s="450">
        <f t="shared" si="8"/>
        <v>-169.33816320000005</v>
      </c>
      <c r="M22" s="16">
        <f t="shared" si="9"/>
        <v>-0.20467275179886174</v>
      </c>
    </row>
    <row r="23" spans="1:13" x14ac:dyDescent="0.25">
      <c r="C23" s="114"/>
      <c r="D23" s="685"/>
      <c r="E23" s="685"/>
      <c r="F23" s="685"/>
      <c r="G23" s="688"/>
      <c r="H23" s="686"/>
      <c r="I23" s="686"/>
      <c r="J23" s="691">
        <f>SUM(J15:J22)</f>
        <v>286062.9214774</v>
      </c>
      <c r="K23" s="265">
        <f>SUM(K15:K22)</f>
        <v>287041.8262525</v>
      </c>
      <c r="L23" s="692">
        <f>SUM(L15:L22)</f>
        <v>978.90477510001256</v>
      </c>
      <c r="M23" s="16">
        <f>L23/J23</f>
        <v>3.4219911131591709E-3</v>
      </c>
    </row>
    <row r="24" spans="1:13" x14ac:dyDescent="0.25">
      <c r="A24" s="60" t="s">
        <v>93</v>
      </c>
      <c r="B24" s="59"/>
      <c r="C24" s="399"/>
      <c r="D24" s="693"/>
      <c r="E24" s="59"/>
      <c r="F24" s="685"/>
      <c r="G24" s="688"/>
      <c r="H24" s="686"/>
      <c r="I24" s="686"/>
      <c r="J24" s="687"/>
      <c r="L24" s="450"/>
    </row>
    <row r="25" spans="1:13" x14ac:dyDescent="0.25">
      <c r="A25" s="23" t="s">
        <v>227</v>
      </c>
      <c r="B25" s="19" t="s">
        <v>47</v>
      </c>
      <c r="C25" s="114">
        <v>1566776744</v>
      </c>
      <c r="D25" s="685">
        <f>VLOOKUP(A24,'Util Rev and Load Data'!A$70:W$85,3)</f>
        <v>1642927366</v>
      </c>
      <c r="E25" s="685">
        <f>114602115-47017388</f>
        <v>67584727</v>
      </c>
      <c r="F25" s="685">
        <f t="shared" si="0"/>
        <v>1575342639</v>
      </c>
      <c r="G25" s="688">
        <f t="shared" si="1"/>
        <v>8565895</v>
      </c>
      <c r="H25" s="689">
        <v>1.371E-2</v>
      </c>
      <c r="I25" s="689">
        <v>1.188E-2</v>
      </c>
      <c r="J25" s="687">
        <f>C25*I25</f>
        <v>18613307.71872</v>
      </c>
      <c r="K25" s="2">
        <f>I25*F25</f>
        <v>18715070.551320001</v>
      </c>
      <c r="L25" s="450">
        <f>K25-J25</f>
        <v>101762.83260000125</v>
      </c>
      <c r="M25" s="16">
        <f>G25/C25</f>
        <v>5.4672084154958585E-3</v>
      </c>
    </row>
    <row r="26" spans="1:13" x14ac:dyDescent="0.25">
      <c r="A26" s="23" t="s">
        <v>228</v>
      </c>
      <c r="B26" s="19" t="s">
        <v>47</v>
      </c>
      <c r="C26" s="114">
        <v>196578877</v>
      </c>
      <c r="D26" s="685">
        <f>VLOOKUP(A24,'Util Rev and Load Data'!A$70:W$85,7)</f>
        <v>302677429</v>
      </c>
      <c r="E26" s="685">
        <f>6131176-2692480</f>
        <v>3438696</v>
      </c>
      <c r="F26" s="685">
        <f t="shared" si="0"/>
        <v>299238733</v>
      </c>
      <c r="G26" s="688">
        <f t="shared" si="1"/>
        <v>102659856</v>
      </c>
      <c r="H26" s="689">
        <v>1.091E-2</v>
      </c>
      <c r="I26" s="689">
        <v>1.0240000000000001E-2</v>
      </c>
      <c r="J26" s="687">
        <f t="shared" ref="J26:J32" si="10">C26*I26</f>
        <v>2012967.7004800001</v>
      </c>
      <c r="K26" s="2">
        <f t="shared" ref="K26:K32" si="11">I26*F26</f>
        <v>3064204.62592</v>
      </c>
      <c r="L26" s="450">
        <f t="shared" ref="L26:L32" si="12">K26-J26</f>
        <v>1051236.9254399999</v>
      </c>
      <c r="M26" s="16">
        <f t="shared" ref="M26:M32" si="13">G26/C26</f>
        <v>0.52223238613780465</v>
      </c>
    </row>
    <row r="27" spans="1:13" x14ac:dyDescent="0.25">
      <c r="A27" s="23" t="s">
        <v>229</v>
      </c>
      <c r="B27" s="19" t="s">
        <v>47</v>
      </c>
      <c r="C27" s="114">
        <v>1164760155</v>
      </c>
      <c r="D27" s="685">
        <f>VLOOKUP(A24,'Util Rev and Load Data'!A$70:W$85,11)</f>
        <v>1122771727</v>
      </c>
      <c r="E27" s="685">
        <f>53946880-48518843</f>
        <v>5428037</v>
      </c>
      <c r="F27" s="685">
        <f t="shared" si="0"/>
        <v>1117343690</v>
      </c>
      <c r="G27" s="688">
        <f t="shared" si="1"/>
        <v>-47416465</v>
      </c>
      <c r="H27" s="689">
        <v>7.0699999999999999E-3</v>
      </c>
      <c r="I27" s="689">
        <v>6.62E-3</v>
      </c>
      <c r="J27" s="687">
        <f t="shared" si="10"/>
        <v>7710712.2260999996</v>
      </c>
      <c r="K27" s="2">
        <f t="shared" si="11"/>
        <v>7396815.2278000005</v>
      </c>
      <c r="L27" s="450">
        <f t="shared" si="12"/>
        <v>-313896.99829999916</v>
      </c>
      <c r="M27" s="16">
        <f t="shared" si="13"/>
        <v>-4.0709209356496232E-2</v>
      </c>
    </row>
    <row r="28" spans="1:13" x14ac:dyDescent="0.25">
      <c r="A28" s="23" t="s">
        <v>230</v>
      </c>
      <c r="B28" s="19" t="s">
        <v>271</v>
      </c>
      <c r="C28" s="114">
        <v>3567091.4000000004</v>
      </c>
      <c r="D28" s="685">
        <f>VLOOKUP(A24,'Util Rev and Load Data'!A$70:W$85,12)</f>
        <v>3539956</v>
      </c>
      <c r="E28" s="685">
        <v>0</v>
      </c>
      <c r="F28" s="685">
        <f t="shared" si="0"/>
        <v>3539956</v>
      </c>
      <c r="G28" s="688">
        <f t="shared" si="1"/>
        <v>-27135.400000000373</v>
      </c>
      <c r="H28" s="689">
        <v>1.1383000000000001</v>
      </c>
      <c r="I28" s="689">
        <v>1.13825</v>
      </c>
      <c r="J28" s="687">
        <f t="shared" si="10"/>
        <v>4060241.7860500002</v>
      </c>
      <c r="K28" s="2">
        <f t="shared" si="11"/>
        <v>4029354.9169999999</v>
      </c>
      <c r="L28" s="450">
        <f t="shared" si="12"/>
        <v>-30886.869050000329</v>
      </c>
      <c r="M28" s="16">
        <f t="shared" si="13"/>
        <v>-7.6071501840408043E-3</v>
      </c>
    </row>
    <row r="29" spans="1:13" x14ac:dyDescent="0.25">
      <c r="A29" s="23" t="s">
        <v>231</v>
      </c>
      <c r="B29" s="19" t="s">
        <v>47</v>
      </c>
      <c r="C29" s="114">
        <v>0</v>
      </c>
      <c r="D29" s="685">
        <f>VLOOKUP(A24,'Util Rev and Load Data'!A$70:W$85,19)</f>
        <v>0</v>
      </c>
      <c r="E29" s="685">
        <v>0</v>
      </c>
      <c r="F29" s="685">
        <f t="shared" si="0"/>
        <v>0</v>
      </c>
      <c r="G29" s="688">
        <f t="shared" si="1"/>
        <v>0</v>
      </c>
      <c r="H29" s="689">
        <v>7.7000000000000002E-3</v>
      </c>
      <c r="I29" s="689">
        <v>7.5700000000000003E-3</v>
      </c>
      <c r="J29" s="687">
        <f t="shared" si="10"/>
        <v>0</v>
      </c>
      <c r="K29" s="2">
        <f t="shared" si="11"/>
        <v>0</v>
      </c>
      <c r="L29" s="450">
        <f t="shared" si="12"/>
        <v>0</v>
      </c>
      <c r="M29" s="16" t="e">
        <f t="shared" si="13"/>
        <v>#DIV/0!</v>
      </c>
    </row>
    <row r="30" spans="1:13" x14ac:dyDescent="0.25">
      <c r="A30" s="23" t="s">
        <v>232</v>
      </c>
      <c r="B30" s="19" t="s">
        <v>47</v>
      </c>
      <c r="C30" s="114">
        <v>563791712</v>
      </c>
      <c r="D30" s="685">
        <f>VLOOKUP(A24,'Util Rev and Load Data'!A$70:W$85,22)</f>
        <v>571161426</v>
      </c>
      <c r="E30" s="685">
        <f>84506261-83728350</f>
        <v>777911</v>
      </c>
      <c r="F30" s="685">
        <f t="shared" si="0"/>
        <v>570383515</v>
      </c>
      <c r="G30" s="688">
        <f t="shared" si="1"/>
        <v>6591803</v>
      </c>
      <c r="H30" s="689">
        <v>5.2199999999999998E-3</v>
      </c>
      <c r="I30" s="689">
        <v>5.2100000000000002E-3</v>
      </c>
      <c r="J30" s="687">
        <f t="shared" si="10"/>
        <v>2937354.8195199999</v>
      </c>
      <c r="K30" s="2">
        <f t="shared" si="11"/>
        <v>2971698.1131500001</v>
      </c>
      <c r="L30" s="450">
        <f t="shared" si="12"/>
        <v>34343.293630000204</v>
      </c>
      <c r="M30" s="16">
        <f t="shared" si="13"/>
        <v>1.1691911852723369E-2</v>
      </c>
    </row>
    <row r="31" spans="1:13" x14ac:dyDescent="0.25">
      <c r="A31" s="23" t="s">
        <v>233</v>
      </c>
      <c r="B31" s="19" t="s">
        <v>271</v>
      </c>
      <c r="C31" s="114">
        <v>1071645</v>
      </c>
      <c r="D31" s="685">
        <f>VLOOKUP(A24,'Util Rev and Load Data'!A$70:W$85,23)</f>
        <v>1067253</v>
      </c>
      <c r="E31" s="685">
        <v>0</v>
      </c>
      <c r="F31" s="685">
        <f t="shared" si="0"/>
        <v>1067253</v>
      </c>
      <c r="G31" s="688">
        <f t="shared" si="1"/>
        <v>-4392</v>
      </c>
      <c r="H31" s="689">
        <v>1.2132000000000001</v>
      </c>
      <c r="I31" s="689">
        <v>1.21316</v>
      </c>
      <c r="J31" s="687">
        <f t="shared" si="10"/>
        <v>1300076.8482000001</v>
      </c>
      <c r="K31" s="2">
        <f t="shared" si="11"/>
        <v>1294748.6494799999</v>
      </c>
      <c r="L31" s="450">
        <f t="shared" si="12"/>
        <v>-5328.1987200002186</v>
      </c>
      <c r="M31" s="16">
        <f t="shared" si="13"/>
        <v>-4.0983721288299765E-3</v>
      </c>
    </row>
    <row r="32" spans="1:13" x14ac:dyDescent="0.25">
      <c r="A32" s="448" t="s">
        <v>234</v>
      </c>
      <c r="B32" s="19" t="s">
        <v>47</v>
      </c>
      <c r="C32" s="114">
        <v>8965352</v>
      </c>
      <c r="D32" s="685">
        <f>VLOOKUP(A24,'Util Rev and Load Data'!A$70:W$85,8)</f>
        <v>8891000</v>
      </c>
      <c r="E32" s="685">
        <v>0</v>
      </c>
      <c r="F32" s="685">
        <f t="shared" si="0"/>
        <v>8891000</v>
      </c>
      <c r="G32" s="688">
        <f t="shared" si="1"/>
        <v>-74352</v>
      </c>
      <c r="H32" s="689">
        <v>1.091E-2</v>
      </c>
      <c r="I32" s="689">
        <v>1.0240000000000001E-2</v>
      </c>
      <c r="J32" s="690">
        <f t="shared" si="10"/>
        <v>91805.20448</v>
      </c>
      <c r="K32" s="281">
        <f t="shared" si="11"/>
        <v>91043.840000000011</v>
      </c>
      <c r="L32" s="450">
        <f t="shared" si="12"/>
        <v>-761.36447999998927</v>
      </c>
      <c r="M32" s="16">
        <f t="shared" si="13"/>
        <v>-8.2932605434789392E-3</v>
      </c>
    </row>
    <row r="33" spans="1:13" x14ac:dyDescent="0.25">
      <c r="C33" s="114"/>
      <c r="D33" s="685"/>
      <c r="E33" s="685"/>
      <c r="F33" s="685"/>
      <c r="G33" s="688"/>
      <c r="H33" s="686"/>
      <c r="I33" s="686"/>
      <c r="J33" s="691">
        <f>SUM(J25:J32)</f>
        <v>36726466.303549998</v>
      </c>
      <c r="K33" s="265">
        <f>SUM(K25:K32)</f>
        <v>37562935.924670003</v>
      </c>
      <c r="L33" s="692">
        <f>SUM(L25:L32)</f>
        <v>836469.62112000166</v>
      </c>
      <c r="M33" s="16">
        <f>L33/J33</f>
        <v>2.277566303837808E-2</v>
      </c>
    </row>
    <row r="34" spans="1:13" x14ac:dyDescent="0.25">
      <c r="A34" s="60" t="s">
        <v>94</v>
      </c>
      <c r="B34" s="59"/>
      <c r="C34" s="399"/>
      <c r="D34" s="693"/>
      <c r="E34" s="59"/>
      <c r="F34" s="685"/>
      <c r="G34" s="688"/>
      <c r="H34" s="686"/>
      <c r="I34" s="686"/>
      <c r="J34" s="687"/>
      <c r="L34" s="450"/>
    </row>
    <row r="35" spans="1:13" x14ac:dyDescent="0.25">
      <c r="A35" s="23" t="s">
        <v>227</v>
      </c>
      <c r="B35" s="19" t="s">
        <v>47</v>
      </c>
      <c r="C35" s="114">
        <v>24881542.049999997</v>
      </c>
      <c r="D35" s="685">
        <f>VLOOKUP(A34,'Util Rev and Load Data'!A$70:W$85,3)</f>
        <v>25693297</v>
      </c>
      <c r="E35" s="685">
        <v>633801</v>
      </c>
      <c r="F35" s="685">
        <f t="shared" si="0"/>
        <v>25059496</v>
      </c>
      <c r="G35" s="688">
        <f t="shared" si="1"/>
        <v>177953.95000000298</v>
      </c>
      <c r="H35" s="689">
        <v>1.371E-2</v>
      </c>
      <c r="I35" s="689">
        <v>1.188E-2</v>
      </c>
      <c r="J35" s="687">
        <f>C35*I35</f>
        <v>295592.71955399995</v>
      </c>
      <c r="K35" s="2">
        <f>I35*F35</f>
        <v>297706.81248000002</v>
      </c>
      <c r="L35" s="450">
        <f>K35-J35</f>
        <v>2114.0929260000703</v>
      </c>
      <c r="M35" s="16">
        <f>G35/C35</f>
        <v>7.1520466714804359E-3</v>
      </c>
    </row>
    <row r="36" spans="1:13" x14ac:dyDescent="0.25">
      <c r="A36" s="23" t="s">
        <v>228</v>
      </c>
      <c r="B36" s="19" t="s">
        <v>47</v>
      </c>
      <c r="C36" s="114">
        <v>5076608.3900000006</v>
      </c>
      <c r="D36" s="685">
        <f>VLOOKUP(A34,'Util Rev and Load Data'!A$70:W$85,7)</f>
        <v>4972597</v>
      </c>
      <c r="E36" s="685">
        <v>0</v>
      </c>
      <c r="F36" s="685">
        <f t="shared" si="0"/>
        <v>4972597</v>
      </c>
      <c r="G36" s="688">
        <f t="shared" si="1"/>
        <v>-104011.3900000006</v>
      </c>
      <c r="H36" s="689">
        <v>1.091E-2</v>
      </c>
      <c r="I36" s="689">
        <v>1.0240000000000001E-2</v>
      </c>
      <c r="J36" s="687">
        <f t="shared" ref="J36:J42" si="14">C36*I36</f>
        <v>51984.469913600013</v>
      </c>
      <c r="K36" s="2">
        <f t="shared" ref="K36:K42" si="15">I36*F36</f>
        <v>50919.393280000004</v>
      </c>
      <c r="L36" s="450">
        <f t="shared" ref="L36:L42" si="16">K36-J36</f>
        <v>-1065.0766336000088</v>
      </c>
      <c r="M36" s="16">
        <f t="shared" ref="M36:M42" si="17">G36/C36</f>
        <v>-2.0488361915976069E-2</v>
      </c>
    </row>
    <row r="37" spans="1:13" x14ac:dyDescent="0.25">
      <c r="A37" s="23" t="s">
        <v>229</v>
      </c>
      <c r="B37" s="19" t="s">
        <v>47</v>
      </c>
      <c r="C37" s="114">
        <v>4897167.67</v>
      </c>
      <c r="D37" s="685">
        <f>VLOOKUP(A34,'Util Rev and Load Data'!A$70:W$85,11)</f>
        <v>5527444</v>
      </c>
      <c r="E37" s="685">
        <v>0</v>
      </c>
      <c r="F37" s="685">
        <f t="shared" si="0"/>
        <v>5527444</v>
      </c>
      <c r="G37" s="688">
        <f t="shared" si="1"/>
        <v>630276.33000000007</v>
      </c>
      <c r="H37" s="689">
        <v>7.0699999999999999E-3</v>
      </c>
      <c r="I37" s="689">
        <v>6.62E-3</v>
      </c>
      <c r="J37" s="687">
        <f t="shared" si="14"/>
        <v>32419.249975399998</v>
      </c>
      <c r="K37" s="2">
        <f t="shared" si="15"/>
        <v>36591.679279999997</v>
      </c>
      <c r="L37" s="450">
        <f t="shared" si="16"/>
        <v>4172.4293045999984</v>
      </c>
      <c r="M37" s="16">
        <f t="shared" si="17"/>
        <v>0.12870221574422835</v>
      </c>
    </row>
    <row r="38" spans="1:13" x14ac:dyDescent="0.25">
      <c r="A38" s="23" t="s">
        <v>230</v>
      </c>
      <c r="B38" s="19" t="s">
        <v>271</v>
      </c>
      <c r="C38" s="114">
        <v>19254.500000000004</v>
      </c>
      <c r="D38" s="685">
        <f>VLOOKUP(A34,'Util Rev and Load Data'!A$70:W$85,12)</f>
        <v>22464</v>
      </c>
      <c r="E38" s="685">
        <v>0</v>
      </c>
      <c r="F38" s="685">
        <f t="shared" si="0"/>
        <v>22464</v>
      </c>
      <c r="G38" s="688">
        <f t="shared" si="1"/>
        <v>3209.4999999999964</v>
      </c>
      <c r="H38" s="689">
        <v>1.1383000000000001</v>
      </c>
      <c r="I38" s="689">
        <v>1.13825</v>
      </c>
      <c r="J38" s="687">
        <f t="shared" si="14"/>
        <v>21916.434625000005</v>
      </c>
      <c r="K38" s="2">
        <f t="shared" si="15"/>
        <v>25569.648000000001</v>
      </c>
      <c r="L38" s="450">
        <f t="shared" si="16"/>
        <v>3653.2133749999957</v>
      </c>
      <c r="M38" s="16">
        <f t="shared" si="17"/>
        <v>0.16668830662961884</v>
      </c>
    </row>
    <row r="39" spans="1:13" x14ac:dyDescent="0.25">
      <c r="A39" s="23" t="s">
        <v>231</v>
      </c>
      <c r="B39" s="19" t="s">
        <v>47</v>
      </c>
      <c r="C39" s="114">
        <v>0</v>
      </c>
      <c r="D39" s="685">
        <f>VLOOKUP(A34,'Util Rev and Load Data'!A$70:W$85,19)</f>
        <v>0</v>
      </c>
      <c r="E39" s="685">
        <v>0</v>
      </c>
      <c r="F39" s="685">
        <f t="shared" si="0"/>
        <v>0</v>
      </c>
      <c r="G39" s="688">
        <f t="shared" si="1"/>
        <v>0</v>
      </c>
      <c r="H39" s="689">
        <v>7.7000000000000002E-3</v>
      </c>
      <c r="I39" s="689">
        <v>7.5700000000000003E-3</v>
      </c>
      <c r="J39" s="687">
        <f t="shared" si="14"/>
        <v>0</v>
      </c>
      <c r="K39" s="2">
        <f t="shared" si="15"/>
        <v>0</v>
      </c>
      <c r="L39" s="450">
        <f t="shared" si="16"/>
        <v>0</v>
      </c>
      <c r="M39" s="16" t="e">
        <f t="shared" si="17"/>
        <v>#DIV/0!</v>
      </c>
    </row>
    <row r="40" spans="1:13" x14ac:dyDescent="0.25">
      <c r="A40" s="23" t="s">
        <v>232</v>
      </c>
      <c r="B40" s="19" t="s">
        <v>47</v>
      </c>
      <c r="C40" s="114">
        <v>0</v>
      </c>
      <c r="D40" s="685">
        <f>VLOOKUP(A34,'Util Rev and Load Data'!A$70:W$85,22)</f>
        <v>0</v>
      </c>
      <c r="E40" s="685">
        <v>0</v>
      </c>
      <c r="F40" s="685">
        <f t="shared" si="0"/>
        <v>0</v>
      </c>
      <c r="G40" s="688">
        <f t="shared" si="1"/>
        <v>0</v>
      </c>
      <c r="H40" s="689">
        <v>5.2199999999999998E-3</v>
      </c>
      <c r="I40" s="689">
        <v>5.2100000000000002E-3</v>
      </c>
      <c r="J40" s="687">
        <f t="shared" si="14"/>
        <v>0</v>
      </c>
      <c r="K40" s="2">
        <f t="shared" si="15"/>
        <v>0</v>
      </c>
      <c r="L40" s="450">
        <f t="shared" si="16"/>
        <v>0</v>
      </c>
      <c r="M40" s="16" t="e">
        <f t="shared" si="17"/>
        <v>#DIV/0!</v>
      </c>
    </row>
    <row r="41" spans="1:13" x14ac:dyDescent="0.25">
      <c r="A41" s="23" t="s">
        <v>233</v>
      </c>
      <c r="B41" s="19" t="s">
        <v>271</v>
      </c>
      <c r="C41" s="114">
        <v>0</v>
      </c>
      <c r="D41" s="685">
        <f>VLOOKUP(A34,'Util Rev and Load Data'!A$70:W$85,23)</f>
        <v>0</v>
      </c>
      <c r="E41" s="685">
        <v>0</v>
      </c>
      <c r="F41" s="685">
        <f t="shared" si="0"/>
        <v>0</v>
      </c>
      <c r="G41" s="688">
        <f t="shared" si="1"/>
        <v>0</v>
      </c>
      <c r="H41" s="689">
        <v>1.2132000000000001</v>
      </c>
      <c r="I41" s="689">
        <v>1.21316</v>
      </c>
      <c r="J41" s="687">
        <f t="shared" si="14"/>
        <v>0</v>
      </c>
      <c r="K41" s="2">
        <f t="shared" si="15"/>
        <v>0</v>
      </c>
      <c r="L41" s="450">
        <f t="shared" si="16"/>
        <v>0</v>
      </c>
      <c r="M41" s="16" t="e">
        <f t="shared" si="17"/>
        <v>#DIV/0!</v>
      </c>
    </row>
    <row r="42" spans="1:13" x14ac:dyDescent="0.25">
      <c r="A42" s="448" t="s">
        <v>234</v>
      </c>
      <c r="B42" s="19" t="s">
        <v>47</v>
      </c>
      <c r="C42" s="114">
        <v>121166.99999999999</v>
      </c>
      <c r="D42" s="685">
        <f>VLOOKUP(A34,'Util Rev and Load Data'!A$70:W$85,8)</f>
        <v>118294</v>
      </c>
      <c r="E42" s="685">
        <v>0</v>
      </c>
      <c r="F42" s="685">
        <f t="shared" si="0"/>
        <v>118294</v>
      </c>
      <c r="G42" s="688">
        <f t="shared" si="1"/>
        <v>-2872.9999999999854</v>
      </c>
      <c r="H42" s="689">
        <v>1.091E-2</v>
      </c>
      <c r="I42" s="689">
        <v>1.0240000000000001E-2</v>
      </c>
      <c r="J42" s="690">
        <f t="shared" si="14"/>
        <v>1240.75008</v>
      </c>
      <c r="K42" s="281">
        <f t="shared" si="15"/>
        <v>1211.3305600000001</v>
      </c>
      <c r="L42" s="450">
        <f t="shared" si="16"/>
        <v>-29.41951999999992</v>
      </c>
      <c r="M42" s="16">
        <f t="shared" si="17"/>
        <v>-2.3711076448207729E-2</v>
      </c>
    </row>
    <row r="43" spans="1:13" x14ac:dyDescent="0.25">
      <c r="C43" s="114"/>
      <c r="D43" s="685"/>
      <c r="E43" s="685"/>
      <c r="F43" s="685"/>
      <c r="G43" s="688"/>
      <c r="H43" s="686"/>
      <c r="I43" s="686"/>
      <c r="J43" s="691">
        <f>SUM(J35:J42)</f>
        <v>403153.62414799997</v>
      </c>
      <c r="K43" s="265">
        <f>SUM(K35:K42)</f>
        <v>411998.86359999998</v>
      </c>
      <c r="L43" s="692">
        <f>SUM(L35:L42)</f>
        <v>8845.2394520000562</v>
      </c>
      <c r="M43" s="16">
        <f>L43/J43</f>
        <v>2.1940121388448485E-2</v>
      </c>
    </row>
    <row r="44" spans="1:13" x14ac:dyDescent="0.25">
      <c r="A44" s="60" t="s">
        <v>95</v>
      </c>
      <c r="B44" s="59"/>
      <c r="C44" s="399"/>
      <c r="D44" s="693"/>
      <c r="E44" s="59"/>
      <c r="F44" s="685"/>
      <c r="G44" s="688"/>
      <c r="H44" s="686"/>
      <c r="I44" s="686"/>
      <c r="J44" s="687"/>
      <c r="L44" s="450"/>
    </row>
    <row r="45" spans="1:13" x14ac:dyDescent="0.25">
      <c r="A45" s="23" t="s">
        <v>227</v>
      </c>
      <c r="B45" s="19" t="s">
        <v>47</v>
      </c>
      <c r="C45" s="114">
        <v>8495490</v>
      </c>
      <c r="D45" s="685">
        <f>VLOOKUP(A44,'Util Rev and Load Data'!A$70:W$85,3)</f>
        <v>8976342</v>
      </c>
      <c r="E45" s="685">
        <v>200000</v>
      </c>
      <c r="F45" s="685">
        <f t="shared" si="0"/>
        <v>8776342</v>
      </c>
      <c r="G45" s="688">
        <f t="shared" si="1"/>
        <v>280852</v>
      </c>
      <c r="H45" s="689">
        <v>1.371E-2</v>
      </c>
      <c r="I45" s="689">
        <v>1.188E-2</v>
      </c>
      <c r="J45" s="687">
        <f>C45*I45</f>
        <v>100926.4212</v>
      </c>
      <c r="K45" s="2">
        <f>I45*F45</f>
        <v>104262.94296</v>
      </c>
      <c r="L45" s="450">
        <f>K45-J45</f>
        <v>3336.5217600000033</v>
      </c>
      <c r="M45" s="16">
        <f>G45/C45</f>
        <v>3.3058952455950155E-2</v>
      </c>
    </row>
    <row r="46" spans="1:13" x14ac:dyDescent="0.25">
      <c r="A46" s="23" t="s">
        <v>228</v>
      </c>
      <c r="B46" s="19" t="s">
        <v>47</v>
      </c>
      <c r="C46" s="114">
        <v>2390266</v>
      </c>
      <c r="D46" s="685">
        <f>VLOOKUP(A44,'Util Rev and Load Data'!A$70:W$85,7)</f>
        <v>2280911</v>
      </c>
      <c r="E46" s="685">
        <v>0</v>
      </c>
      <c r="F46" s="685">
        <f t="shared" si="0"/>
        <v>2280911</v>
      </c>
      <c r="G46" s="688">
        <f t="shared" si="1"/>
        <v>-109355</v>
      </c>
      <c r="H46" s="689">
        <v>1.091E-2</v>
      </c>
      <c r="I46" s="689">
        <v>1.0240000000000001E-2</v>
      </c>
      <c r="J46" s="687">
        <f t="shared" ref="J46:J52" si="18">C46*I46</f>
        <v>24476.323840000001</v>
      </c>
      <c r="K46" s="2">
        <f t="shared" ref="K46:K52" si="19">I46*F46</f>
        <v>23356.52864</v>
      </c>
      <c r="L46" s="450">
        <f t="shared" ref="L46:L52" si="20">K46-J46</f>
        <v>-1119.7952000000005</v>
      </c>
      <c r="M46" s="16">
        <f t="shared" ref="M46:M52" si="21">G46/C46</f>
        <v>-4.5750138269129881E-2</v>
      </c>
    </row>
    <row r="47" spans="1:13" x14ac:dyDescent="0.25">
      <c r="A47" s="23" t="s">
        <v>229</v>
      </c>
      <c r="B47" s="19" t="s">
        <v>47</v>
      </c>
      <c r="C47" s="114">
        <v>1344720</v>
      </c>
      <c r="D47" s="685">
        <f>VLOOKUP(A44,'Util Rev and Load Data'!A$70:W$85,11)</f>
        <v>1600286</v>
      </c>
      <c r="E47" s="685">
        <v>0</v>
      </c>
      <c r="F47" s="685">
        <f t="shared" si="0"/>
        <v>1600286</v>
      </c>
      <c r="G47" s="688">
        <f t="shared" si="1"/>
        <v>255566</v>
      </c>
      <c r="H47" s="689">
        <v>7.0699999999999999E-3</v>
      </c>
      <c r="I47" s="689">
        <v>6.62E-3</v>
      </c>
      <c r="J47" s="687">
        <f t="shared" si="18"/>
        <v>8902.0463999999993</v>
      </c>
      <c r="K47" s="2">
        <f t="shared" si="19"/>
        <v>10593.893319999999</v>
      </c>
      <c r="L47" s="450">
        <f t="shared" si="20"/>
        <v>1691.84692</v>
      </c>
      <c r="M47" s="16">
        <f t="shared" si="21"/>
        <v>0.19005146052709856</v>
      </c>
    </row>
    <row r="48" spans="1:13" x14ac:dyDescent="0.25">
      <c r="A48" s="23" t="s">
        <v>230</v>
      </c>
      <c r="B48" s="19" t="s">
        <v>271</v>
      </c>
      <c r="C48" s="114">
        <v>4399.1400000000003</v>
      </c>
      <c r="D48" s="685">
        <f>VLOOKUP(A44,'Util Rev and Load Data'!A$70:W$85,12)</f>
        <v>4619</v>
      </c>
      <c r="E48" s="685">
        <v>0</v>
      </c>
      <c r="F48" s="685">
        <f t="shared" si="0"/>
        <v>4619</v>
      </c>
      <c r="G48" s="688">
        <f t="shared" si="1"/>
        <v>219.85999999999967</v>
      </c>
      <c r="H48" s="689">
        <v>1.1383000000000001</v>
      </c>
      <c r="I48" s="689">
        <v>1.13825</v>
      </c>
      <c r="J48" s="687">
        <f t="shared" si="18"/>
        <v>5007.321105</v>
      </c>
      <c r="K48" s="2">
        <f t="shared" si="19"/>
        <v>5257.5767500000002</v>
      </c>
      <c r="L48" s="450">
        <f t="shared" si="20"/>
        <v>250.25564500000019</v>
      </c>
      <c r="M48" s="16">
        <f t="shared" si="21"/>
        <v>4.9977950235727812E-2</v>
      </c>
    </row>
    <row r="49" spans="1:13" x14ac:dyDescent="0.25">
      <c r="A49" s="23" t="s">
        <v>231</v>
      </c>
      <c r="B49" s="19" t="s">
        <v>47</v>
      </c>
      <c r="C49" s="114">
        <v>0</v>
      </c>
      <c r="D49" s="685">
        <f>VLOOKUP(A44,'Util Rev and Load Data'!A$70:W$85,19)</f>
        <v>0</v>
      </c>
      <c r="E49" s="685">
        <v>0</v>
      </c>
      <c r="F49" s="685">
        <f t="shared" si="0"/>
        <v>0</v>
      </c>
      <c r="G49" s="688">
        <f t="shared" si="1"/>
        <v>0</v>
      </c>
      <c r="H49" s="689">
        <v>7.7000000000000002E-3</v>
      </c>
      <c r="I49" s="689">
        <v>7.5700000000000003E-3</v>
      </c>
      <c r="J49" s="687">
        <f t="shared" si="18"/>
        <v>0</v>
      </c>
      <c r="K49" s="2">
        <f t="shared" si="19"/>
        <v>0</v>
      </c>
      <c r="L49" s="450">
        <f t="shared" si="20"/>
        <v>0</v>
      </c>
      <c r="M49" s="16" t="e">
        <f t="shared" si="21"/>
        <v>#DIV/0!</v>
      </c>
    </row>
    <row r="50" spans="1:13" x14ac:dyDescent="0.25">
      <c r="A50" s="23" t="s">
        <v>232</v>
      </c>
      <c r="B50" s="19" t="s">
        <v>47</v>
      </c>
      <c r="C50" s="114">
        <v>0</v>
      </c>
      <c r="D50" s="685">
        <f>VLOOKUP(A44,'Util Rev and Load Data'!A$70:W$85,22)</f>
        <v>0</v>
      </c>
      <c r="E50" s="685">
        <v>0</v>
      </c>
      <c r="F50" s="685">
        <f t="shared" si="0"/>
        <v>0</v>
      </c>
      <c r="G50" s="688">
        <f t="shared" si="1"/>
        <v>0</v>
      </c>
      <c r="H50" s="689">
        <v>5.2199999999999998E-3</v>
      </c>
      <c r="I50" s="689">
        <v>5.2100000000000002E-3</v>
      </c>
      <c r="J50" s="687">
        <f t="shared" si="18"/>
        <v>0</v>
      </c>
      <c r="K50" s="2">
        <f t="shared" si="19"/>
        <v>0</v>
      </c>
      <c r="L50" s="450">
        <f t="shared" si="20"/>
        <v>0</v>
      </c>
      <c r="M50" s="16" t="e">
        <f t="shared" si="21"/>
        <v>#DIV/0!</v>
      </c>
    </row>
    <row r="51" spans="1:13" x14ac:dyDescent="0.25">
      <c r="A51" s="23" t="s">
        <v>233</v>
      </c>
      <c r="B51" s="19" t="s">
        <v>271</v>
      </c>
      <c r="C51" s="114">
        <v>0</v>
      </c>
      <c r="D51" s="685">
        <f>VLOOKUP(A44,'Util Rev and Load Data'!A$70:W$85,23)</f>
        <v>0</v>
      </c>
      <c r="E51" s="685">
        <v>0</v>
      </c>
      <c r="F51" s="685">
        <f t="shared" si="0"/>
        <v>0</v>
      </c>
      <c r="G51" s="688">
        <f t="shared" si="1"/>
        <v>0</v>
      </c>
      <c r="H51" s="689">
        <v>1.2132000000000001</v>
      </c>
      <c r="I51" s="689">
        <v>1.21316</v>
      </c>
      <c r="J51" s="687">
        <f t="shared" si="18"/>
        <v>0</v>
      </c>
      <c r="K51" s="2">
        <f t="shared" si="19"/>
        <v>0</v>
      </c>
      <c r="L51" s="450">
        <f t="shared" si="20"/>
        <v>0</v>
      </c>
      <c r="M51" s="16" t="e">
        <f t="shared" si="21"/>
        <v>#DIV/0!</v>
      </c>
    </row>
    <row r="52" spans="1:13" x14ac:dyDescent="0.25">
      <c r="A52" s="448" t="s">
        <v>234</v>
      </c>
      <c r="B52" s="19" t="s">
        <v>47</v>
      </c>
      <c r="C52" s="114">
        <v>44844</v>
      </c>
      <c r="D52" s="685">
        <f>VLOOKUP(A44,'Util Rev and Load Data'!A$70:W$85,8)</f>
        <v>45204</v>
      </c>
      <c r="E52" s="685">
        <v>0</v>
      </c>
      <c r="F52" s="685">
        <f t="shared" si="0"/>
        <v>45204</v>
      </c>
      <c r="G52" s="688">
        <f t="shared" si="1"/>
        <v>360</v>
      </c>
      <c r="H52" s="689">
        <v>1.091E-2</v>
      </c>
      <c r="I52" s="689">
        <v>1.0240000000000001E-2</v>
      </c>
      <c r="J52" s="690">
        <f t="shared" si="18"/>
        <v>459.20256000000006</v>
      </c>
      <c r="K52" s="281">
        <f t="shared" si="19"/>
        <v>462.88896000000005</v>
      </c>
      <c r="L52" s="450">
        <f t="shared" si="20"/>
        <v>3.6863999999999919</v>
      </c>
      <c r="M52" s="16">
        <f t="shared" si="21"/>
        <v>8.0278298100080279E-3</v>
      </c>
    </row>
    <row r="53" spans="1:13" x14ac:dyDescent="0.25">
      <c r="C53" s="114"/>
      <c r="D53" s="685"/>
      <c r="E53" s="685"/>
      <c r="F53" s="685"/>
      <c r="G53" s="688"/>
      <c r="H53" s="686"/>
      <c r="I53" s="686"/>
      <c r="J53" s="691">
        <f>SUM(J45:J52)</f>
        <v>139771.31510500002</v>
      </c>
      <c r="K53" s="265">
        <f>SUM(K45:K52)</f>
        <v>143933.83063000001</v>
      </c>
      <c r="L53" s="692">
        <f>SUM(L45:L52)</f>
        <v>4162.5155250000025</v>
      </c>
      <c r="M53" s="16">
        <f>L53/J53</f>
        <v>2.9780899763824985E-2</v>
      </c>
    </row>
    <row r="54" spans="1:13" x14ac:dyDescent="0.25">
      <c r="A54" s="60" t="s">
        <v>96</v>
      </c>
      <c r="B54" s="59"/>
      <c r="C54" s="399"/>
      <c r="D54" s="693"/>
      <c r="E54" s="59"/>
      <c r="F54" s="685"/>
      <c r="G54" s="688"/>
      <c r="H54" s="686"/>
      <c r="I54" s="686"/>
      <c r="J54" s="687"/>
      <c r="L54" s="450"/>
    </row>
    <row r="55" spans="1:13" x14ac:dyDescent="0.25">
      <c r="A55" s="23" t="s">
        <v>227</v>
      </c>
      <c r="B55" s="19" t="s">
        <v>47</v>
      </c>
      <c r="C55" s="114">
        <v>3638535.49</v>
      </c>
      <c r="D55" s="685">
        <f>VLOOKUP(A54,'Util Rev and Load Data'!A$70:W$85,3)</f>
        <v>3865155</v>
      </c>
      <c r="E55" s="685">
        <v>65874</v>
      </c>
      <c r="F55" s="685">
        <f t="shared" si="0"/>
        <v>3799281</v>
      </c>
      <c r="G55" s="688">
        <f t="shared" si="1"/>
        <v>160745.50999999978</v>
      </c>
      <c r="H55" s="689">
        <v>1.371E-2</v>
      </c>
      <c r="I55" s="689">
        <v>1.188E-2</v>
      </c>
      <c r="J55" s="687">
        <f>C55*I55</f>
        <v>43225.8016212</v>
      </c>
      <c r="K55" s="2">
        <f>I55*F55</f>
        <v>45135.458279999999</v>
      </c>
      <c r="L55" s="450">
        <f>K55-J55</f>
        <v>1909.6566587999987</v>
      </c>
      <c r="M55" s="16">
        <f>G55/C55</f>
        <v>4.4178629133008615E-2</v>
      </c>
    </row>
    <row r="56" spans="1:13" x14ac:dyDescent="0.25">
      <c r="A56" s="23" t="s">
        <v>228</v>
      </c>
      <c r="B56" s="19" t="s">
        <v>47</v>
      </c>
      <c r="C56" s="114">
        <v>581083.33000000007</v>
      </c>
      <c r="D56" s="685">
        <f>VLOOKUP(A54,'Util Rev and Load Data'!A$70:W$85,7)</f>
        <v>593617</v>
      </c>
      <c r="E56" s="685">
        <v>0</v>
      </c>
      <c r="F56" s="685">
        <f t="shared" si="0"/>
        <v>593617</v>
      </c>
      <c r="G56" s="688">
        <f t="shared" si="1"/>
        <v>12533.669999999925</v>
      </c>
      <c r="H56" s="689">
        <v>1.091E-2</v>
      </c>
      <c r="I56" s="689">
        <v>1.0240000000000001E-2</v>
      </c>
      <c r="J56" s="687">
        <f t="shared" ref="J56:J62" si="22">C56*I56</f>
        <v>5950.2932992000015</v>
      </c>
      <c r="K56" s="2">
        <f t="shared" ref="K56:K62" si="23">I56*F56</f>
        <v>6078.6380800000006</v>
      </c>
      <c r="L56" s="450">
        <f t="shared" ref="L56:L62" si="24">K56-J56</f>
        <v>128.34478079999917</v>
      </c>
      <c r="M56" s="16">
        <f t="shared" ref="M56:M62" si="25">G56/C56</f>
        <v>2.1569488148971548E-2</v>
      </c>
    </row>
    <row r="57" spans="1:13" x14ac:dyDescent="0.25">
      <c r="A57" s="23" t="s">
        <v>229</v>
      </c>
      <c r="B57" s="19" t="s">
        <v>47</v>
      </c>
      <c r="C57" s="114">
        <v>720779.17999999993</v>
      </c>
      <c r="D57" s="685">
        <f>VLOOKUP(A54,'Util Rev and Load Data'!A$70:W$85,11)</f>
        <v>790907</v>
      </c>
      <c r="E57" s="685">
        <v>0</v>
      </c>
      <c r="F57" s="685">
        <f t="shared" si="0"/>
        <v>790907</v>
      </c>
      <c r="G57" s="688">
        <f t="shared" si="1"/>
        <v>70127.820000000065</v>
      </c>
      <c r="H57" s="689">
        <v>7.0699999999999999E-3</v>
      </c>
      <c r="I57" s="689">
        <v>6.62E-3</v>
      </c>
      <c r="J57" s="687">
        <f t="shared" si="22"/>
        <v>4771.5581715999997</v>
      </c>
      <c r="K57" s="2">
        <f t="shared" si="23"/>
        <v>5235.8043399999997</v>
      </c>
      <c r="L57" s="450">
        <f t="shared" si="24"/>
        <v>464.24616839999999</v>
      </c>
      <c r="M57" s="16">
        <f t="shared" si="25"/>
        <v>9.729445847756045E-2</v>
      </c>
    </row>
    <row r="58" spans="1:13" x14ac:dyDescent="0.25">
      <c r="A58" s="23" t="s">
        <v>230</v>
      </c>
      <c r="B58" s="19" t="s">
        <v>271</v>
      </c>
      <c r="C58" s="114">
        <v>4377.99</v>
      </c>
      <c r="D58" s="685">
        <f>VLOOKUP(A54,'Util Rev and Load Data'!A$70:W$85,12)</f>
        <v>4568</v>
      </c>
      <c r="E58" s="685">
        <v>0</v>
      </c>
      <c r="F58" s="685">
        <f t="shared" si="0"/>
        <v>4568</v>
      </c>
      <c r="G58" s="688">
        <f t="shared" si="1"/>
        <v>190.01000000000022</v>
      </c>
      <c r="H58" s="689">
        <v>1.1383000000000001</v>
      </c>
      <c r="I58" s="689">
        <v>1.13825</v>
      </c>
      <c r="J58" s="687">
        <f t="shared" si="22"/>
        <v>4983.2471175000001</v>
      </c>
      <c r="K58" s="2">
        <f t="shared" si="23"/>
        <v>5199.5259999999998</v>
      </c>
      <c r="L58" s="450">
        <f t="shared" si="24"/>
        <v>216.27888249999978</v>
      </c>
      <c r="M58" s="16">
        <f t="shared" si="25"/>
        <v>4.3401195525800705E-2</v>
      </c>
    </row>
    <row r="59" spans="1:13" x14ac:dyDescent="0.25">
      <c r="A59" s="23" t="s">
        <v>231</v>
      </c>
      <c r="B59" s="19" t="s">
        <v>47</v>
      </c>
      <c r="C59" s="114">
        <v>0</v>
      </c>
      <c r="D59" s="685">
        <f>VLOOKUP(A54,'Util Rev and Load Data'!A$70:W$85,19)</f>
        <v>0</v>
      </c>
      <c r="E59" s="685">
        <v>0</v>
      </c>
      <c r="F59" s="685">
        <f t="shared" si="0"/>
        <v>0</v>
      </c>
      <c r="G59" s="688">
        <f t="shared" si="1"/>
        <v>0</v>
      </c>
      <c r="H59" s="689">
        <v>7.7000000000000002E-3</v>
      </c>
      <c r="I59" s="689">
        <v>7.5700000000000003E-3</v>
      </c>
      <c r="J59" s="687">
        <f t="shared" si="22"/>
        <v>0</v>
      </c>
      <c r="K59" s="2">
        <f t="shared" si="23"/>
        <v>0</v>
      </c>
      <c r="L59" s="450">
        <f t="shared" si="24"/>
        <v>0</v>
      </c>
      <c r="M59" s="16" t="e">
        <f t="shared" si="25"/>
        <v>#DIV/0!</v>
      </c>
    </row>
    <row r="60" spans="1:13" x14ac:dyDescent="0.25">
      <c r="A60" s="23" t="s">
        <v>232</v>
      </c>
      <c r="B60" s="19" t="s">
        <v>47</v>
      </c>
      <c r="C60" s="114">
        <v>0</v>
      </c>
      <c r="D60" s="685">
        <f>VLOOKUP(A54,'Util Rev and Load Data'!A$70:W$85,22)</f>
        <v>0</v>
      </c>
      <c r="E60" s="685">
        <v>0</v>
      </c>
      <c r="F60" s="685">
        <f t="shared" si="0"/>
        <v>0</v>
      </c>
      <c r="G60" s="688">
        <f t="shared" si="1"/>
        <v>0</v>
      </c>
      <c r="H60" s="689">
        <v>5.2199999999999998E-3</v>
      </c>
      <c r="I60" s="689">
        <v>5.2100000000000002E-3</v>
      </c>
      <c r="J60" s="687">
        <f t="shared" si="22"/>
        <v>0</v>
      </c>
      <c r="K60" s="2">
        <f t="shared" si="23"/>
        <v>0</v>
      </c>
      <c r="L60" s="450">
        <f t="shared" si="24"/>
        <v>0</v>
      </c>
      <c r="M60" s="16" t="e">
        <f t="shared" si="25"/>
        <v>#DIV/0!</v>
      </c>
    </row>
    <row r="61" spans="1:13" x14ac:dyDescent="0.25">
      <c r="A61" s="23" t="s">
        <v>233</v>
      </c>
      <c r="B61" s="19" t="s">
        <v>271</v>
      </c>
      <c r="C61" s="114">
        <v>0</v>
      </c>
      <c r="D61" s="685">
        <f>VLOOKUP(A54,'Util Rev and Load Data'!A$70:W$85,23)</f>
        <v>0</v>
      </c>
      <c r="E61" s="685">
        <v>0</v>
      </c>
      <c r="F61" s="685">
        <f t="shared" si="0"/>
        <v>0</v>
      </c>
      <c r="G61" s="688">
        <f t="shared" si="1"/>
        <v>0</v>
      </c>
      <c r="H61" s="689">
        <v>1.2132000000000001</v>
      </c>
      <c r="I61" s="689">
        <v>1.21316</v>
      </c>
      <c r="J61" s="687">
        <f t="shared" si="22"/>
        <v>0</v>
      </c>
      <c r="K61" s="2">
        <f t="shared" si="23"/>
        <v>0</v>
      </c>
      <c r="L61" s="450">
        <f t="shared" si="24"/>
        <v>0</v>
      </c>
      <c r="M61" s="16" t="e">
        <f t="shared" si="25"/>
        <v>#DIV/0!</v>
      </c>
    </row>
    <row r="62" spans="1:13" x14ac:dyDescent="0.25">
      <c r="A62" s="448" t="s">
        <v>234</v>
      </c>
      <c r="B62" s="19" t="s">
        <v>47</v>
      </c>
      <c r="C62" s="114">
        <v>52161.120000000003</v>
      </c>
      <c r="D62" s="685">
        <f>VLOOKUP(A54,'Util Rev and Load Data'!A$70:W$85,8)</f>
        <v>17172</v>
      </c>
      <c r="E62" s="685">
        <v>0</v>
      </c>
      <c r="F62" s="685">
        <f t="shared" si="0"/>
        <v>17172</v>
      </c>
      <c r="G62" s="688">
        <f t="shared" si="1"/>
        <v>-34989.120000000003</v>
      </c>
      <c r="H62" s="689">
        <v>1.091E-2</v>
      </c>
      <c r="I62" s="689">
        <v>1.0240000000000001E-2</v>
      </c>
      <c r="J62" s="690">
        <f t="shared" si="22"/>
        <v>534.12986880000005</v>
      </c>
      <c r="K62" s="281">
        <f t="shared" si="23"/>
        <v>175.84128000000001</v>
      </c>
      <c r="L62" s="450">
        <f t="shared" si="24"/>
        <v>-358.28858880000007</v>
      </c>
      <c r="M62" s="16">
        <f t="shared" si="25"/>
        <v>-0.6707892775308506</v>
      </c>
    </row>
    <row r="63" spans="1:13" x14ac:dyDescent="0.25">
      <c r="C63" s="114"/>
      <c r="D63" s="685"/>
      <c r="E63" s="685"/>
      <c r="F63" s="685"/>
      <c r="G63" s="688"/>
      <c r="H63" s="686"/>
      <c r="I63" s="686"/>
      <c r="J63" s="691">
        <f>SUM(J55:J62)</f>
        <v>59465.030078300006</v>
      </c>
      <c r="K63" s="265">
        <f>SUM(K55:K62)</f>
        <v>61825.267979999997</v>
      </c>
      <c r="L63" s="692">
        <f>SUM(L55:L62)</f>
        <v>2360.2379016999976</v>
      </c>
      <c r="M63" s="16">
        <f>L63/J63</f>
        <v>3.9691191589278217E-2</v>
      </c>
    </row>
    <row r="64" spans="1:13" x14ac:dyDescent="0.25">
      <c r="A64" s="60" t="s">
        <v>97</v>
      </c>
      <c r="B64" s="59"/>
      <c r="C64" s="399"/>
      <c r="D64" s="693"/>
      <c r="E64" s="59"/>
      <c r="F64" s="685"/>
      <c r="G64" s="688"/>
      <c r="H64" s="686"/>
      <c r="I64" s="686"/>
      <c r="J64" s="687"/>
      <c r="L64" s="450"/>
    </row>
    <row r="65" spans="1:13" x14ac:dyDescent="0.25">
      <c r="A65" s="23" t="s">
        <v>227</v>
      </c>
      <c r="B65" s="19" t="s">
        <v>47</v>
      </c>
      <c r="C65" s="114">
        <v>5554188</v>
      </c>
      <c r="D65" s="685">
        <f>VLOOKUP(A64,'Util Rev and Load Data'!A$70:W$85,3)</f>
        <v>5461407</v>
      </c>
      <c r="E65" s="685">
        <v>62650</v>
      </c>
      <c r="F65" s="685">
        <f t="shared" si="0"/>
        <v>5398757</v>
      </c>
      <c r="G65" s="688">
        <f t="shared" si="1"/>
        <v>-155431</v>
      </c>
      <c r="H65" s="689">
        <v>1.371E-2</v>
      </c>
      <c r="I65" s="689">
        <v>1.188E-2</v>
      </c>
      <c r="J65" s="687">
        <f>C65*I65</f>
        <v>65983.75344</v>
      </c>
      <c r="K65" s="2">
        <f>I65*F65</f>
        <v>64137.233159999996</v>
      </c>
      <c r="L65" s="450">
        <f>K65-J65</f>
        <v>-1846.5202800000043</v>
      </c>
      <c r="M65" s="16">
        <f>G65/C65</f>
        <v>-2.7984468656804561E-2</v>
      </c>
    </row>
    <row r="66" spans="1:13" x14ac:dyDescent="0.25">
      <c r="A66" s="23" t="s">
        <v>228</v>
      </c>
      <c r="B66" s="19" t="s">
        <v>47</v>
      </c>
      <c r="C66" s="114">
        <v>1560715</v>
      </c>
      <c r="D66" s="685">
        <f>VLOOKUP(A64,'Util Rev and Load Data'!A$70:W$85,7)</f>
        <v>1302901</v>
      </c>
      <c r="E66" s="685">
        <v>0</v>
      </c>
      <c r="F66" s="685">
        <f t="shared" si="0"/>
        <v>1302901</v>
      </c>
      <c r="G66" s="688">
        <f t="shared" si="1"/>
        <v>-257814</v>
      </c>
      <c r="H66" s="689">
        <v>1.091E-2</v>
      </c>
      <c r="I66" s="689">
        <v>1.0240000000000001E-2</v>
      </c>
      <c r="J66" s="687">
        <f t="shared" ref="J66:J72" si="26">C66*I66</f>
        <v>15981.721600000001</v>
      </c>
      <c r="K66" s="2">
        <f t="shared" ref="K66:K72" si="27">I66*F66</f>
        <v>13341.706240000001</v>
      </c>
      <c r="L66" s="450">
        <f t="shared" ref="L66:L72" si="28">K66-J66</f>
        <v>-2640.0153599999994</v>
      </c>
      <c r="M66" s="16">
        <f t="shared" ref="M66:M72" si="29">G66/C66</f>
        <v>-0.16518967268207199</v>
      </c>
    </row>
    <row r="67" spans="1:13" x14ac:dyDescent="0.25">
      <c r="A67" s="23" t="s">
        <v>229</v>
      </c>
      <c r="B67" s="19" t="s">
        <v>47</v>
      </c>
      <c r="C67" s="114">
        <v>5085519</v>
      </c>
      <c r="D67" s="685">
        <f>VLOOKUP(A64,'Util Rev and Load Data'!A$70:W$85,11)</f>
        <v>5334938</v>
      </c>
      <c r="E67" s="685">
        <v>0</v>
      </c>
      <c r="F67" s="685">
        <f t="shared" si="0"/>
        <v>5334938</v>
      </c>
      <c r="G67" s="688">
        <f t="shared" si="1"/>
        <v>249419</v>
      </c>
      <c r="H67" s="689">
        <v>7.0699999999999999E-3</v>
      </c>
      <c r="I67" s="689">
        <v>6.62E-3</v>
      </c>
      <c r="J67" s="687">
        <f t="shared" si="26"/>
        <v>33666.135779999997</v>
      </c>
      <c r="K67" s="2">
        <f t="shared" si="27"/>
        <v>35317.289559999997</v>
      </c>
      <c r="L67" s="450">
        <f t="shared" si="28"/>
        <v>1651.1537800000006</v>
      </c>
      <c r="M67" s="16">
        <f t="shared" si="29"/>
        <v>4.9044945068536759E-2</v>
      </c>
    </row>
    <row r="68" spans="1:13" x14ac:dyDescent="0.25">
      <c r="A68" s="23" t="s">
        <v>230</v>
      </c>
      <c r="B68" s="19" t="s">
        <v>271</v>
      </c>
      <c r="C68" s="114">
        <v>12757</v>
      </c>
      <c r="D68" s="685">
        <f>VLOOKUP(A64,'Util Rev and Load Data'!A$70:W$85,12)</f>
        <v>11901.18</v>
      </c>
      <c r="E68" s="685">
        <v>0</v>
      </c>
      <c r="F68" s="685">
        <f t="shared" si="0"/>
        <v>11901.18</v>
      </c>
      <c r="G68" s="688">
        <f t="shared" si="1"/>
        <v>-855.81999999999971</v>
      </c>
      <c r="H68" s="689">
        <v>1.1383000000000001</v>
      </c>
      <c r="I68" s="689">
        <v>1.13825</v>
      </c>
      <c r="J68" s="687">
        <f t="shared" si="26"/>
        <v>14520.65525</v>
      </c>
      <c r="K68" s="2">
        <f t="shared" si="27"/>
        <v>13546.518135</v>
      </c>
      <c r="L68" s="450">
        <f t="shared" si="28"/>
        <v>-974.13711499999954</v>
      </c>
      <c r="M68" s="16">
        <f t="shared" si="29"/>
        <v>-6.7086305557732984E-2</v>
      </c>
    </row>
    <row r="69" spans="1:13" x14ac:dyDescent="0.25">
      <c r="A69" s="23" t="s">
        <v>231</v>
      </c>
      <c r="B69" s="19" t="s">
        <v>47</v>
      </c>
      <c r="C69" s="114">
        <v>0</v>
      </c>
      <c r="D69" s="685">
        <f>VLOOKUP(A64,'Util Rev and Load Data'!A$70:W$85,19)</f>
        <v>0</v>
      </c>
      <c r="E69" s="685">
        <v>0</v>
      </c>
      <c r="F69" s="685">
        <f t="shared" si="0"/>
        <v>0</v>
      </c>
      <c r="G69" s="688">
        <f t="shared" si="1"/>
        <v>0</v>
      </c>
      <c r="H69" s="689">
        <v>7.7000000000000002E-3</v>
      </c>
      <c r="I69" s="689">
        <v>7.5700000000000003E-3</v>
      </c>
      <c r="J69" s="687">
        <f t="shared" si="26"/>
        <v>0</v>
      </c>
      <c r="K69" s="2">
        <f t="shared" si="27"/>
        <v>0</v>
      </c>
      <c r="L69" s="450">
        <f t="shared" si="28"/>
        <v>0</v>
      </c>
      <c r="M69" s="16" t="e">
        <f t="shared" si="29"/>
        <v>#DIV/0!</v>
      </c>
    </row>
    <row r="70" spans="1:13" x14ac:dyDescent="0.25">
      <c r="A70" s="23" t="s">
        <v>232</v>
      </c>
      <c r="B70" s="19" t="s">
        <v>47</v>
      </c>
      <c r="C70" s="114">
        <v>0</v>
      </c>
      <c r="D70" s="685">
        <f>VLOOKUP(A64,'Util Rev and Load Data'!A$70:W$85,22)</f>
        <v>0</v>
      </c>
      <c r="E70" s="685">
        <v>0</v>
      </c>
      <c r="F70" s="685">
        <f t="shared" ref="F70:F132" si="30">D70-E70</f>
        <v>0</v>
      </c>
      <c r="G70" s="688">
        <f t="shared" ref="G70:G132" si="31">F70-C70</f>
        <v>0</v>
      </c>
      <c r="H70" s="689">
        <v>5.2199999999999998E-3</v>
      </c>
      <c r="I70" s="689">
        <v>5.2100000000000002E-3</v>
      </c>
      <c r="J70" s="687">
        <f t="shared" si="26"/>
        <v>0</v>
      </c>
      <c r="K70" s="2">
        <f t="shared" si="27"/>
        <v>0</v>
      </c>
      <c r="L70" s="450">
        <f t="shared" si="28"/>
        <v>0</v>
      </c>
      <c r="M70" s="16" t="e">
        <f t="shared" si="29"/>
        <v>#DIV/0!</v>
      </c>
    </row>
    <row r="71" spans="1:13" x14ac:dyDescent="0.25">
      <c r="A71" s="23" t="s">
        <v>233</v>
      </c>
      <c r="B71" s="19" t="s">
        <v>271</v>
      </c>
      <c r="C71" s="114">
        <v>0</v>
      </c>
      <c r="D71" s="685">
        <f>VLOOKUP(A64,'Util Rev and Load Data'!A$70:W$85,23)</f>
        <v>0</v>
      </c>
      <c r="E71" s="685">
        <v>0</v>
      </c>
      <c r="F71" s="685">
        <f t="shared" si="30"/>
        <v>0</v>
      </c>
      <c r="G71" s="688">
        <f t="shared" si="31"/>
        <v>0</v>
      </c>
      <c r="H71" s="689">
        <v>1.2132000000000001</v>
      </c>
      <c r="I71" s="689">
        <v>1.21316</v>
      </c>
      <c r="J71" s="687">
        <f t="shared" si="26"/>
        <v>0</v>
      </c>
      <c r="K71" s="2">
        <f t="shared" si="27"/>
        <v>0</v>
      </c>
      <c r="L71" s="450">
        <f t="shared" si="28"/>
        <v>0</v>
      </c>
      <c r="M71" s="16" t="e">
        <f t="shared" si="29"/>
        <v>#DIV/0!</v>
      </c>
    </row>
    <row r="72" spans="1:13" x14ac:dyDescent="0.25">
      <c r="A72" s="448" t="s">
        <v>234</v>
      </c>
      <c r="B72" s="19" t="s">
        <v>47</v>
      </c>
      <c r="C72" s="114">
        <v>64436</v>
      </c>
      <c r="D72" s="685">
        <f>VLOOKUP(A64,'Util Rev and Load Data'!A$70:W$85,8)</f>
        <v>63993</v>
      </c>
      <c r="E72" s="685">
        <v>0</v>
      </c>
      <c r="F72" s="685">
        <f t="shared" si="30"/>
        <v>63993</v>
      </c>
      <c r="G72" s="688">
        <f t="shared" si="31"/>
        <v>-443</v>
      </c>
      <c r="H72" s="689">
        <v>1.091E-2</v>
      </c>
      <c r="I72" s="689">
        <v>1.0240000000000001E-2</v>
      </c>
      <c r="J72" s="690">
        <f t="shared" si="26"/>
        <v>659.82464000000004</v>
      </c>
      <c r="K72" s="281">
        <f t="shared" si="27"/>
        <v>655.28832</v>
      </c>
      <c r="L72" s="450">
        <f t="shared" si="28"/>
        <v>-4.5363200000000461</v>
      </c>
      <c r="M72" s="16">
        <f t="shared" si="29"/>
        <v>-6.8750387981873487E-3</v>
      </c>
    </row>
    <row r="73" spans="1:13" x14ac:dyDescent="0.25">
      <c r="C73" s="114"/>
      <c r="D73" s="685"/>
      <c r="E73" s="685"/>
      <c r="F73" s="685"/>
      <c r="G73" s="688"/>
      <c r="H73" s="686"/>
      <c r="I73" s="686"/>
      <c r="J73" s="691">
        <f>SUM(J65:J72)</f>
        <v>130812.09071</v>
      </c>
      <c r="K73" s="265">
        <f>SUM(K65:K72)</f>
        <v>126998.03541500002</v>
      </c>
      <c r="L73" s="692">
        <f>SUM(L65:L72)</f>
        <v>-3814.0552950000028</v>
      </c>
      <c r="M73" s="16">
        <f>L73/J73</f>
        <v>-2.9156749000025232E-2</v>
      </c>
    </row>
    <row r="74" spans="1:13" x14ac:dyDescent="0.25">
      <c r="A74" s="60" t="s">
        <v>98</v>
      </c>
      <c r="B74" s="59"/>
      <c r="C74" s="399"/>
      <c r="D74" s="693"/>
      <c r="E74" s="59"/>
      <c r="F74" s="685"/>
      <c r="G74" s="688"/>
      <c r="H74" s="686"/>
      <c r="I74" s="686"/>
      <c r="J74" s="687"/>
      <c r="L74" s="450"/>
    </row>
    <row r="75" spans="1:13" x14ac:dyDescent="0.25">
      <c r="A75" s="23" t="s">
        <v>227</v>
      </c>
      <c r="B75" s="19" t="s">
        <v>47</v>
      </c>
      <c r="C75" s="114">
        <v>17250183.960000001</v>
      </c>
      <c r="D75" s="685">
        <f>VLOOKUP(A74,'Util Rev and Load Data'!A$70:W$85,3)</f>
        <v>17413340</v>
      </c>
      <c r="E75" s="685">
        <v>42457</v>
      </c>
      <c r="F75" s="685">
        <f t="shared" si="30"/>
        <v>17370883</v>
      </c>
      <c r="G75" s="688">
        <f t="shared" si="31"/>
        <v>120699.03999999911</v>
      </c>
      <c r="H75" s="689">
        <v>1.371E-2</v>
      </c>
      <c r="I75" s="689">
        <v>1.188E-2</v>
      </c>
      <c r="J75" s="687">
        <f>C75*I75</f>
        <v>204932.18544480001</v>
      </c>
      <c r="K75" s="2">
        <f>I75*F75</f>
        <v>206366.09004000001</v>
      </c>
      <c r="L75" s="450">
        <f>K75-J75</f>
        <v>1433.9045952000015</v>
      </c>
      <c r="M75" s="16">
        <f>G75/C75</f>
        <v>6.9969711789670151E-3</v>
      </c>
    </row>
    <row r="76" spans="1:13" x14ac:dyDescent="0.25">
      <c r="A76" s="23" t="s">
        <v>228</v>
      </c>
      <c r="B76" s="19" t="s">
        <v>47</v>
      </c>
      <c r="C76" s="114">
        <v>4961585.37</v>
      </c>
      <c r="D76" s="685">
        <f>VLOOKUP(A74,'Util Rev and Load Data'!A$70:W$85,7)</f>
        <v>4303561</v>
      </c>
      <c r="E76" s="685">
        <v>0</v>
      </c>
      <c r="F76" s="685">
        <f t="shared" si="30"/>
        <v>4303561</v>
      </c>
      <c r="G76" s="688">
        <f t="shared" si="31"/>
        <v>-658024.37000000011</v>
      </c>
      <c r="H76" s="689">
        <v>1.091E-2</v>
      </c>
      <c r="I76" s="689">
        <v>1.0240000000000001E-2</v>
      </c>
      <c r="J76" s="687">
        <f t="shared" ref="J76:J82" si="32">C76*I76</f>
        <v>50806.634188800002</v>
      </c>
      <c r="K76" s="2">
        <f t="shared" ref="K76:K82" si="33">I76*F76</f>
        <v>44068.464640000006</v>
      </c>
      <c r="L76" s="450">
        <f t="shared" ref="L76:L82" si="34">K76-J76</f>
        <v>-6738.1695487999968</v>
      </c>
      <c r="M76" s="16">
        <f t="shared" ref="M76:M82" si="35">G76/C76</f>
        <v>-0.13262381294066097</v>
      </c>
    </row>
    <row r="77" spans="1:13" x14ac:dyDescent="0.25">
      <c r="A77" s="23" t="s">
        <v>229</v>
      </c>
      <c r="B77" s="19" t="s">
        <v>47</v>
      </c>
      <c r="C77" s="114">
        <v>11023328.82</v>
      </c>
      <c r="D77" s="685">
        <f>VLOOKUP(A74,'Util Rev and Load Data'!A$70:W$85,11)</f>
        <v>12257955</v>
      </c>
      <c r="E77" s="685">
        <v>0</v>
      </c>
      <c r="F77" s="685">
        <f t="shared" si="30"/>
        <v>12257955</v>
      </c>
      <c r="G77" s="688">
        <f t="shared" si="31"/>
        <v>1234626.1799999997</v>
      </c>
      <c r="H77" s="689">
        <v>7.0699999999999999E-3</v>
      </c>
      <c r="I77" s="689">
        <v>6.62E-3</v>
      </c>
      <c r="J77" s="687">
        <f t="shared" si="32"/>
        <v>72974.436788400009</v>
      </c>
      <c r="K77" s="2">
        <f t="shared" si="33"/>
        <v>81147.662100000001</v>
      </c>
      <c r="L77" s="450">
        <f t="shared" si="34"/>
        <v>8173.225311599992</v>
      </c>
      <c r="M77" s="16">
        <f t="shared" si="35"/>
        <v>0.1120012112638766</v>
      </c>
    </row>
    <row r="78" spans="1:13" x14ac:dyDescent="0.25">
      <c r="A78" s="23" t="s">
        <v>230</v>
      </c>
      <c r="B78" s="19" t="s">
        <v>271</v>
      </c>
      <c r="C78" s="114">
        <v>36580.14</v>
      </c>
      <c r="D78" s="685">
        <f>VLOOKUP(A74,'Util Rev and Load Data'!A$70:W$85,12)</f>
        <v>43774</v>
      </c>
      <c r="E78" s="685">
        <v>0</v>
      </c>
      <c r="F78" s="685">
        <f t="shared" si="30"/>
        <v>43774</v>
      </c>
      <c r="G78" s="688">
        <f t="shared" si="31"/>
        <v>7193.8600000000006</v>
      </c>
      <c r="H78" s="689">
        <v>1.1383000000000001</v>
      </c>
      <c r="I78" s="689">
        <v>1.13825</v>
      </c>
      <c r="J78" s="687">
        <f t="shared" si="32"/>
        <v>41637.344355000001</v>
      </c>
      <c r="K78" s="2">
        <f t="shared" si="33"/>
        <v>49825.755499999999</v>
      </c>
      <c r="L78" s="450">
        <f t="shared" si="34"/>
        <v>8188.4111449999982</v>
      </c>
      <c r="M78" s="16">
        <f t="shared" si="35"/>
        <v>0.19666026428548389</v>
      </c>
    </row>
    <row r="79" spans="1:13" x14ac:dyDescent="0.25">
      <c r="A79" s="23" t="s">
        <v>231</v>
      </c>
      <c r="B79" s="19" t="s">
        <v>47</v>
      </c>
      <c r="C79" s="114">
        <v>0</v>
      </c>
      <c r="D79" s="685">
        <f>VLOOKUP(A74,'Util Rev and Load Data'!A$70:W$85,19)</f>
        <v>0</v>
      </c>
      <c r="E79" s="685">
        <v>0</v>
      </c>
      <c r="F79" s="685">
        <f t="shared" si="30"/>
        <v>0</v>
      </c>
      <c r="G79" s="688">
        <f t="shared" si="31"/>
        <v>0</v>
      </c>
      <c r="H79" s="689">
        <v>7.7000000000000002E-3</v>
      </c>
      <c r="I79" s="689">
        <v>7.5700000000000003E-3</v>
      </c>
      <c r="J79" s="687">
        <f t="shared" si="32"/>
        <v>0</v>
      </c>
      <c r="K79" s="2">
        <f t="shared" si="33"/>
        <v>0</v>
      </c>
      <c r="L79" s="450">
        <f t="shared" si="34"/>
        <v>0</v>
      </c>
      <c r="M79" s="16" t="e">
        <f t="shared" si="35"/>
        <v>#DIV/0!</v>
      </c>
    </row>
    <row r="80" spans="1:13" x14ac:dyDescent="0.25">
      <c r="A80" s="23" t="s">
        <v>232</v>
      </c>
      <c r="B80" s="19" t="s">
        <v>47</v>
      </c>
      <c r="C80" s="114">
        <v>16739192.439999998</v>
      </c>
      <c r="D80" s="685">
        <f>VLOOKUP(A74,'Util Rev and Load Data'!A$70:W$85,22)</f>
        <v>17097580</v>
      </c>
      <c r="E80" s="685">
        <v>0</v>
      </c>
      <c r="F80" s="685">
        <f t="shared" si="30"/>
        <v>17097580</v>
      </c>
      <c r="G80" s="688">
        <f t="shared" si="31"/>
        <v>358387.56000000238</v>
      </c>
      <c r="H80" s="689">
        <v>5.2199999999999998E-3</v>
      </c>
      <c r="I80" s="689">
        <v>5.2100000000000002E-3</v>
      </c>
      <c r="J80" s="687">
        <f t="shared" si="32"/>
        <v>87211.192612399987</v>
      </c>
      <c r="K80" s="2">
        <f t="shared" si="33"/>
        <v>89078.391799999998</v>
      </c>
      <c r="L80" s="450">
        <f t="shared" si="34"/>
        <v>1867.1991876000102</v>
      </c>
      <c r="M80" s="16">
        <f t="shared" si="35"/>
        <v>2.1410086614668398E-2</v>
      </c>
    </row>
    <row r="81" spans="1:13" x14ac:dyDescent="0.25">
      <c r="A81" s="23" t="s">
        <v>233</v>
      </c>
      <c r="B81" s="19" t="s">
        <v>271</v>
      </c>
      <c r="C81" s="114">
        <v>71807</v>
      </c>
      <c r="D81" s="685">
        <f>VLOOKUP(A74,'Util Rev and Load Data'!A$70:W$85,23)</f>
        <v>66866</v>
      </c>
      <c r="E81" s="685">
        <v>0</v>
      </c>
      <c r="F81" s="685">
        <f t="shared" si="30"/>
        <v>66866</v>
      </c>
      <c r="G81" s="688">
        <f t="shared" si="31"/>
        <v>-4941</v>
      </c>
      <c r="H81" s="689">
        <v>1.2132000000000001</v>
      </c>
      <c r="I81" s="689">
        <v>1.21316</v>
      </c>
      <c r="J81" s="687">
        <f t="shared" si="32"/>
        <v>87113.380120000002</v>
      </c>
      <c r="K81" s="2">
        <f t="shared" si="33"/>
        <v>81119.156560000003</v>
      </c>
      <c r="L81" s="450">
        <f t="shared" si="34"/>
        <v>-5994.2235599999985</v>
      </c>
      <c r="M81" s="16">
        <f t="shared" si="35"/>
        <v>-6.8809447546896538E-2</v>
      </c>
    </row>
    <row r="82" spans="1:13" x14ac:dyDescent="0.25">
      <c r="A82" s="448" t="s">
        <v>234</v>
      </c>
      <c r="B82" s="19" t="s">
        <v>47</v>
      </c>
      <c r="C82" s="114">
        <v>324729.44</v>
      </c>
      <c r="D82" s="685">
        <f>VLOOKUP(A74,'Util Rev and Load Data'!A$70:W$85,8)</f>
        <v>306522</v>
      </c>
      <c r="E82" s="685">
        <v>0</v>
      </c>
      <c r="F82" s="685">
        <f t="shared" si="30"/>
        <v>306522</v>
      </c>
      <c r="G82" s="688">
        <f t="shared" si="31"/>
        <v>-18207.440000000002</v>
      </c>
      <c r="H82" s="689">
        <v>1.091E-2</v>
      </c>
      <c r="I82" s="689">
        <v>1.0240000000000001E-2</v>
      </c>
      <c r="J82" s="690">
        <f t="shared" si="32"/>
        <v>3325.2294656000004</v>
      </c>
      <c r="K82" s="281">
        <f t="shared" si="33"/>
        <v>3138.7852800000001</v>
      </c>
      <c r="L82" s="450">
        <f t="shared" si="34"/>
        <v>-186.44418560000031</v>
      </c>
      <c r="M82" s="16">
        <f t="shared" si="35"/>
        <v>-5.6069569793240806E-2</v>
      </c>
    </row>
    <row r="83" spans="1:13" x14ac:dyDescent="0.25">
      <c r="C83" s="114"/>
      <c r="D83" s="685"/>
      <c r="E83" s="685"/>
      <c r="F83" s="685"/>
      <c r="G83" s="688"/>
      <c r="H83" s="686"/>
      <c r="I83" s="686"/>
      <c r="J83" s="691">
        <f>SUM(J75:J82)</f>
        <v>548000.40297499998</v>
      </c>
      <c r="K83" s="265">
        <f>SUM(K75:K82)</f>
        <v>554744.30591999996</v>
      </c>
      <c r="L83" s="692">
        <f>SUM(L75:L82)</f>
        <v>6743.9029450000062</v>
      </c>
      <c r="M83" s="16">
        <f>L83/J83</f>
        <v>1.2306383185830733E-2</v>
      </c>
    </row>
    <row r="84" spans="1:13" x14ac:dyDescent="0.25">
      <c r="A84" s="60" t="s">
        <v>99</v>
      </c>
      <c r="B84" s="59"/>
      <c r="C84" s="399"/>
      <c r="D84" s="693"/>
      <c r="E84" s="59"/>
      <c r="F84" s="685"/>
      <c r="G84" s="688"/>
      <c r="H84" s="686"/>
      <c r="I84" s="686"/>
      <c r="J84" s="687"/>
      <c r="L84" s="450"/>
    </row>
    <row r="85" spans="1:13" x14ac:dyDescent="0.25">
      <c r="A85" s="23" t="s">
        <v>227</v>
      </c>
      <c r="B85" s="19" t="s">
        <v>47</v>
      </c>
      <c r="C85" s="114">
        <v>32392325</v>
      </c>
      <c r="D85" s="685">
        <f>VLOOKUP(A84,'Util Rev and Load Data'!A$70:W$85,3)</f>
        <v>33526203</v>
      </c>
      <c r="E85" s="685">
        <v>1641163</v>
      </c>
      <c r="F85" s="685">
        <f t="shared" si="30"/>
        <v>31885040</v>
      </c>
      <c r="G85" s="688">
        <f t="shared" si="31"/>
        <v>-507285</v>
      </c>
      <c r="H85" s="689">
        <v>1.371E-2</v>
      </c>
      <c r="I85" s="689">
        <v>1.188E-2</v>
      </c>
      <c r="J85" s="687">
        <f>C85*I85</f>
        <v>384820.821</v>
      </c>
      <c r="K85" s="2">
        <f>I85*F85</f>
        <v>378794.27519999997</v>
      </c>
      <c r="L85" s="450">
        <f>K85-J85</f>
        <v>-6026.5458000000217</v>
      </c>
      <c r="M85" s="16">
        <f>G85/C85</f>
        <v>-1.5660654182742362E-2</v>
      </c>
    </row>
    <row r="86" spans="1:13" x14ac:dyDescent="0.25">
      <c r="A86" s="23" t="s">
        <v>228</v>
      </c>
      <c r="B86" s="19" t="s">
        <v>47</v>
      </c>
      <c r="C86" s="114">
        <v>11560774</v>
      </c>
      <c r="D86" s="685">
        <f>VLOOKUP(A84,'Util Rev and Load Data'!A$70:W$85,7)</f>
        <v>11903747</v>
      </c>
      <c r="E86" s="685">
        <v>0</v>
      </c>
      <c r="F86" s="685">
        <f t="shared" si="30"/>
        <v>11903747</v>
      </c>
      <c r="G86" s="688">
        <f t="shared" si="31"/>
        <v>342973</v>
      </c>
      <c r="H86" s="689">
        <v>1.091E-2</v>
      </c>
      <c r="I86" s="689">
        <v>1.0240000000000001E-2</v>
      </c>
      <c r="J86" s="687">
        <f t="shared" ref="J86:J92" si="36">C86*I86</f>
        <v>118382.32576000001</v>
      </c>
      <c r="K86" s="2">
        <f t="shared" ref="K86:K92" si="37">I86*F86</f>
        <v>121894.36928000001</v>
      </c>
      <c r="L86" s="450">
        <f t="shared" ref="L86:L92" si="38">K86-J86</f>
        <v>3512.0435200000065</v>
      </c>
      <c r="M86" s="16">
        <f t="shared" ref="M86:M92" si="39">G86/C86</f>
        <v>2.9666958284972962E-2</v>
      </c>
    </row>
    <row r="87" spans="1:13" x14ac:dyDescent="0.25">
      <c r="A87" s="23" t="s">
        <v>229</v>
      </c>
      <c r="B87" s="19" t="s">
        <v>47</v>
      </c>
      <c r="C87" s="114">
        <v>15671806</v>
      </c>
      <c r="D87" s="685">
        <f>VLOOKUP(A84,'Util Rev and Load Data'!A$70:W$85,11)</f>
        <v>16943526</v>
      </c>
      <c r="E87" s="685">
        <v>0</v>
      </c>
      <c r="F87" s="685">
        <f t="shared" si="30"/>
        <v>16943526</v>
      </c>
      <c r="G87" s="688">
        <f t="shared" si="31"/>
        <v>1271720</v>
      </c>
      <c r="H87" s="689">
        <v>7.0699999999999999E-3</v>
      </c>
      <c r="I87" s="689">
        <v>6.62E-3</v>
      </c>
      <c r="J87" s="687">
        <f t="shared" si="36"/>
        <v>103747.35572000001</v>
      </c>
      <c r="K87" s="2">
        <f t="shared" si="37"/>
        <v>112166.14212</v>
      </c>
      <c r="L87" s="450">
        <f t="shared" si="38"/>
        <v>8418.7863999999972</v>
      </c>
      <c r="M87" s="16">
        <f t="shared" si="39"/>
        <v>8.1146997353081063E-2</v>
      </c>
    </row>
    <row r="88" spans="1:13" x14ac:dyDescent="0.25">
      <c r="A88" s="23" t="s">
        <v>230</v>
      </c>
      <c r="B88" s="19" t="s">
        <v>271</v>
      </c>
      <c r="C88" s="114">
        <v>53388.3</v>
      </c>
      <c r="D88" s="685">
        <f>VLOOKUP(A84,'Util Rev and Load Data'!A$70:W$85,12)</f>
        <v>57065.79</v>
      </c>
      <c r="E88" s="685">
        <v>0</v>
      </c>
      <c r="F88" s="685">
        <f t="shared" si="30"/>
        <v>57065.79</v>
      </c>
      <c r="G88" s="688">
        <f t="shared" si="31"/>
        <v>3677.489999999998</v>
      </c>
      <c r="H88" s="689">
        <v>1.1383000000000001</v>
      </c>
      <c r="I88" s="689">
        <v>1.13825</v>
      </c>
      <c r="J88" s="687">
        <f t="shared" si="36"/>
        <v>60769.232475000004</v>
      </c>
      <c r="K88" s="2">
        <f t="shared" si="37"/>
        <v>64955.135467499997</v>
      </c>
      <c r="L88" s="450">
        <f t="shared" si="38"/>
        <v>4185.9029924999923</v>
      </c>
      <c r="M88" s="16">
        <f t="shared" si="39"/>
        <v>6.8881946044357989E-2</v>
      </c>
    </row>
    <row r="89" spans="1:13" x14ac:dyDescent="0.25">
      <c r="A89" s="23" t="s">
        <v>231</v>
      </c>
      <c r="B89" s="19" t="s">
        <v>47</v>
      </c>
      <c r="C89" s="114">
        <v>0</v>
      </c>
      <c r="D89" s="685">
        <f>VLOOKUP(A84,'Util Rev and Load Data'!A$70:W$85,19)</f>
        <v>0</v>
      </c>
      <c r="E89" s="685">
        <v>0</v>
      </c>
      <c r="F89" s="685">
        <f t="shared" si="30"/>
        <v>0</v>
      </c>
      <c r="G89" s="688">
        <f t="shared" si="31"/>
        <v>0</v>
      </c>
      <c r="H89" s="689">
        <v>7.7000000000000002E-3</v>
      </c>
      <c r="I89" s="689">
        <v>7.5700000000000003E-3</v>
      </c>
      <c r="J89" s="687">
        <f t="shared" si="36"/>
        <v>0</v>
      </c>
      <c r="K89" s="2">
        <f t="shared" si="37"/>
        <v>0</v>
      </c>
      <c r="L89" s="450">
        <f t="shared" si="38"/>
        <v>0</v>
      </c>
      <c r="M89" s="16" t="e">
        <f t="shared" si="39"/>
        <v>#DIV/0!</v>
      </c>
    </row>
    <row r="90" spans="1:13" x14ac:dyDescent="0.25">
      <c r="A90" s="23" t="s">
        <v>232</v>
      </c>
      <c r="B90" s="19" t="s">
        <v>47</v>
      </c>
      <c r="C90" s="114">
        <v>0</v>
      </c>
      <c r="D90" s="685">
        <f>VLOOKUP(A84,'Util Rev and Load Data'!A$70:W$85,22)</f>
        <v>0</v>
      </c>
      <c r="E90" s="685">
        <v>0</v>
      </c>
      <c r="F90" s="685">
        <f t="shared" si="30"/>
        <v>0</v>
      </c>
      <c r="G90" s="688">
        <f t="shared" si="31"/>
        <v>0</v>
      </c>
      <c r="H90" s="689">
        <v>5.2199999999999998E-3</v>
      </c>
      <c r="I90" s="689">
        <v>5.2100000000000002E-3</v>
      </c>
      <c r="J90" s="687">
        <f t="shared" si="36"/>
        <v>0</v>
      </c>
      <c r="K90" s="2">
        <f t="shared" si="37"/>
        <v>0</v>
      </c>
      <c r="L90" s="450">
        <f t="shared" si="38"/>
        <v>0</v>
      </c>
      <c r="M90" s="16" t="e">
        <f t="shared" si="39"/>
        <v>#DIV/0!</v>
      </c>
    </row>
    <row r="91" spans="1:13" x14ac:dyDescent="0.25">
      <c r="A91" s="23" t="s">
        <v>233</v>
      </c>
      <c r="B91" s="19" t="s">
        <v>271</v>
      </c>
      <c r="C91" s="114">
        <v>0</v>
      </c>
      <c r="D91" s="685">
        <f>VLOOKUP(A84,'Util Rev and Load Data'!A$70:W$85,23)</f>
        <v>0</v>
      </c>
      <c r="E91" s="685">
        <v>0</v>
      </c>
      <c r="F91" s="685">
        <f t="shared" si="30"/>
        <v>0</v>
      </c>
      <c r="G91" s="688">
        <f t="shared" si="31"/>
        <v>0</v>
      </c>
      <c r="H91" s="689">
        <v>1.2132000000000001</v>
      </c>
      <c r="I91" s="689">
        <v>1.21316</v>
      </c>
      <c r="J91" s="687">
        <f t="shared" si="36"/>
        <v>0</v>
      </c>
      <c r="K91" s="2">
        <f t="shared" si="37"/>
        <v>0</v>
      </c>
      <c r="L91" s="450">
        <f t="shared" si="38"/>
        <v>0</v>
      </c>
      <c r="M91" s="16" t="e">
        <f t="shared" si="39"/>
        <v>#DIV/0!</v>
      </c>
    </row>
    <row r="92" spans="1:13" x14ac:dyDescent="0.25">
      <c r="A92" s="448" t="s">
        <v>234</v>
      </c>
      <c r="B92" s="19" t="s">
        <v>47</v>
      </c>
      <c r="C92" s="114">
        <v>468355</v>
      </c>
      <c r="D92" s="685">
        <f>VLOOKUP(A84,'Util Rev and Load Data'!A$70:W$85,8)</f>
        <v>476514</v>
      </c>
      <c r="E92" s="685">
        <v>0</v>
      </c>
      <c r="F92" s="685">
        <f t="shared" si="30"/>
        <v>476514</v>
      </c>
      <c r="G92" s="688">
        <f t="shared" si="31"/>
        <v>8159</v>
      </c>
      <c r="H92" s="689">
        <v>1.091E-2</v>
      </c>
      <c r="I92" s="689">
        <v>1.0240000000000001E-2</v>
      </c>
      <c r="J92" s="690">
        <f t="shared" si="36"/>
        <v>4795.9552000000003</v>
      </c>
      <c r="K92" s="281">
        <f t="shared" si="37"/>
        <v>4879.5033600000006</v>
      </c>
      <c r="L92" s="450">
        <f t="shared" si="38"/>
        <v>83.54816000000028</v>
      </c>
      <c r="M92" s="16">
        <f t="shared" si="39"/>
        <v>1.7420546380416565E-2</v>
      </c>
    </row>
    <row r="93" spans="1:13" x14ac:dyDescent="0.25">
      <c r="C93" s="114"/>
      <c r="D93" s="685"/>
      <c r="E93" s="685"/>
      <c r="F93" s="685"/>
      <c r="G93" s="688"/>
      <c r="H93" s="686"/>
      <c r="I93" s="686"/>
      <c r="J93" s="691">
        <f>SUM(J85:J92)</f>
        <v>672515.69015499996</v>
      </c>
      <c r="K93" s="265">
        <f>SUM(K85:K92)</f>
        <v>682689.42542749993</v>
      </c>
      <c r="L93" s="692">
        <f>SUM(L85:L92)</f>
        <v>10173.735272499975</v>
      </c>
      <c r="M93" s="16">
        <f>L93/J93</f>
        <v>1.5127877938662151E-2</v>
      </c>
    </row>
    <row r="94" spans="1:13" x14ac:dyDescent="0.25">
      <c r="A94" s="60" t="s">
        <v>100</v>
      </c>
      <c r="B94" s="59"/>
      <c r="C94" s="399"/>
      <c r="D94" s="693"/>
      <c r="E94" s="59"/>
      <c r="F94" s="685"/>
      <c r="G94" s="688"/>
      <c r="H94" s="686"/>
      <c r="I94" s="686"/>
      <c r="J94" s="687"/>
      <c r="L94" s="450"/>
    </row>
    <row r="95" spans="1:13" x14ac:dyDescent="0.25">
      <c r="A95" s="23" t="s">
        <v>227</v>
      </c>
      <c r="B95" s="19" t="s">
        <v>47</v>
      </c>
      <c r="C95" s="114">
        <v>22954235</v>
      </c>
      <c r="D95" s="685">
        <f>VLOOKUP(A94,'Util Rev and Load Data'!A$70:W$85,3)</f>
        <v>23704851</v>
      </c>
      <c r="E95" s="685">
        <v>638429</v>
      </c>
      <c r="F95" s="685">
        <f t="shared" si="30"/>
        <v>23066422</v>
      </c>
      <c r="G95" s="688">
        <f t="shared" si="31"/>
        <v>112187</v>
      </c>
      <c r="H95" s="689">
        <v>1.371E-2</v>
      </c>
      <c r="I95" s="689">
        <v>1.188E-2</v>
      </c>
      <c r="J95" s="687">
        <f>C95*I95</f>
        <v>272696.31180000002</v>
      </c>
      <c r="K95" s="2">
        <f>I95*F95</f>
        <v>274029.09336</v>
      </c>
      <c r="L95" s="450">
        <f>K95-J95</f>
        <v>1332.781559999974</v>
      </c>
      <c r="M95" s="16">
        <f>G95/C95</f>
        <v>4.8874205565988147E-3</v>
      </c>
    </row>
    <row r="96" spans="1:13" x14ac:dyDescent="0.25">
      <c r="A96" s="23" t="s">
        <v>228</v>
      </c>
      <c r="B96" s="19" t="s">
        <v>47</v>
      </c>
      <c r="C96" s="114">
        <v>5208493</v>
      </c>
      <c r="D96" s="685">
        <f>VLOOKUP(A94,'Util Rev and Load Data'!A$70:W$85,7)</f>
        <v>5432394</v>
      </c>
      <c r="E96" s="685">
        <v>0</v>
      </c>
      <c r="F96" s="685">
        <f t="shared" si="30"/>
        <v>5432394</v>
      </c>
      <c r="G96" s="688">
        <f t="shared" si="31"/>
        <v>223901</v>
      </c>
      <c r="H96" s="689">
        <v>1.091E-2</v>
      </c>
      <c r="I96" s="689">
        <v>1.0240000000000001E-2</v>
      </c>
      <c r="J96" s="687">
        <f t="shared" ref="J96:J102" si="40">C96*I96</f>
        <v>53334.968320000007</v>
      </c>
      <c r="K96" s="2">
        <f t="shared" ref="K96:K102" si="41">I96*F96</f>
        <v>55627.714560000008</v>
      </c>
      <c r="L96" s="450">
        <f t="shared" ref="L96:L102" si="42">K96-J96</f>
        <v>2292.7462400000004</v>
      </c>
      <c r="M96" s="16">
        <f t="shared" ref="M96:M102" si="43">G96/C96</f>
        <v>4.298767416986065E-2</v>
      </c>
    </row>
    <row r="97" spans="1:13" x14ac:dyDescent="0.25">
      <c r="A97" s="23" t="s">
        <v>229</v>
      </c>
      <c r="B97" s="19" t="s">
        <v>47</v>
      </c>
      <c r="C97" s="114">
        <v>17766838</v>
      </c>
      <c r="D97" s="685">
        <f>VLOOKUP(A94,'Util Rev and Load Data'!A$70:W$85,11)</f>
        <v>17820955</v>
      </c>
      <c r="E97" s="685">
        <v>0</v>
      </c>
      <c r="F97" s="685">
        <f t="shared" si="30"/>
        <v>17820955</v>
      </c>
      <c r="G97" s="688">
        <f t="shared" si="31"/>
        <v>54117</v>
      </c>
      <c r="H97" s="689">
        <v>7.0699999999999999E-3</v>
      </c>
      <c r="I97" s="689">
        <v>6.62E-3</v>
      </c>
      <c r="J97" s="687">
        <f t="shared" si="40"/>
        <v>117616.46756</v>
      </c>
      <c r="K97" s="2">
        <f t="shared" si="41"/>
        <v>117974.7221</v>
      </c>
      <c r="L97" s="450">
        <f t="shared" si="42"/>
        <v>358.25453999999445</v>
      </c>
      <c r="M97" s="16">
        <f t="shared" si="43"/>
        <v>3.0459556168632822E-3</v>
      </c>
    </row>
    <row r="98" spans="1:13" x14ac:dyDescent="0.25">
      <c r="A98" s="23" t="s">
        <v>230</v>
      </c>
      <c r="B98" s="19" t="s">
        <v>271</v>
      </c>
      <c r="C98" s="114">
        <v>51748.3</v>
      </c>
      <c r="D98" s="685">
        <f>VLOOKUP(A94,'Util Rev and Load Data'!A$70:W$85,12)</f>
        <v>51663</v>
      </c>
      <c r="E98" s="685">
        <v>0</v>
      </c>
      <c r="F98" s="685">
        <f t="shared" si="30"/>
        <v>51663</v>
      </c>
      <c r="G98" s="688">
        <f t="shared" si="31"/>
        <v>-85.30000000000291</v>
      </c>
      <c r="H98" s="689">
        <v>1.1383000000000001</v>
      </c>
      <c r="I98" s="689">
        <v>1.13825</v>
      </c>
      <c r="J98" s="687">
        <f t="shared" si="40"/>
        <v>58902.502475000001</v>
      </c>
      <c r="K98" s="2">
        <f t="shared" si="41"/>
        <v>58805.409749999999</v>
      </c>
      <c r="L98" s="450">
        <f t="shared" si="42"/>
        <v>-97.092725000002247</v>
      </c>
      <c r="M98" s="16">
        <f t="shared" si="43"/>
        <v>-1.6483633278774937E-3</v>
      </c>
    </row>
    <row r="99" spans="1:13" x14ac:dyDescent="0.25">
      <c r="A99" s="23" t="s">
        <v>231</v>
      </c>
      <c r="B99" s="19" t="s">
        <v>47</v>
      </c>
      <c r="C99" s="114">
        <v>0</v>
      </c>
      <c r="D99" s="685">
        <f>VLOOKUP(A94,'Util Rev and Load Data'!A$70:W$85,19)</f>
        <v>0</v>
      </c>
      <c r="E99" s="685">
        <v>0</v>
      </c>
      <c r="F99" s="685">
        <f t="shared" si="30"/>
        <v>0</v>
      </c>
      <c r="G99" s="688">
        <f t="shared" si="31"/>
        <v>0</v>
      </c>
      <c r="H99" s="689">
        <v>7.7000000000000002E-3</v>
      </c>
      <c r="I99" s="689">
        <v>7.5700000000000003E-3</v>
      </c>
      <c r="J99" s="687">
        <f t="shared" si="40"/>
        <v>0</v>
      </c>
      <c r="K99" s="2">
        <f t="shared" si="41"/>
        <v>0</v>
      </c>
      <c r="L99" s="450">
        <f t="shared" si="42"/>
        <v>0</v>
      </c>
      <c r="M99" s="16" t="e">
        <f t="shared" si="43"/>
        <v>#DIV/0!</v>
      </c>
    </row>
    <row r="100" spans="1:13" x14ac:dyDescent="0.25">
      <c r="A100" s="23" t="s">
        <v>232</v>
      </c>
      <c r="B100" s="19" t="s">
        <v>47</v>
      </c>
      <c r="C100" s="114">
        <v>0</v>
      </c>
      <c r="D100" s="685">
        <f>VLOOKUP(A94,'Util Rev and Load Data'!A$70:W$85,22)</f>
        <v>0</v>
      </c>
      <c r="E100" s="685">
        <v>0</v>
      </c>
      <c r="F100" s="685">
        <f t="shared" si="30"/>
        <v>0</v>
      </c>
      <c r="G100" s="688">
        <f t="shared" si="31"/>
        <v>0</v>
      </c>
      <c r="H100" s="689">
        <v>5.2199999999999998E-3</v>
      </c>
      <c r="I100" s="689">
        <v>5.2100000000000002E-3</v>
      </c>
      <c r="J100" s="687">
        <f t="shared" si="40"/>
        <v>0</v>
      </c>
      <c r="K100" s="2">
        <f t="shared" si="41"/>
        <v>0</v>
      </c>
      <c r="L100" s="450">
        <f t="shared" si="42"/>
        <v>0</v>
      </c>
      <c r="M100" s="16" t="e">
        <f t="shared" si="43"/>
        <v>#DIV/0!</v>
      </c>
    </row>
    <row r="101" spans="1:13" x14ac:dyDescent="0.25">
      <c r="A101" s="23" t="s">
        <v>233</v>
      </c>
      <c r="B101" s="19" t="s">
        <v>271</v>
      </c>
      <c r="C101" s="114">
        <v>0</v>
      </c>
      <c r="D101" s="685">
        <f>VLOOKUP(A94,'Util Rev and Load Data'!A$70:W$85,23)</f>
        <v>0</v>
      </c>
      <c r="E101" s="685">
        <v>0</v>
      </c>
      <c r="F101" s="685">
        <f t="shared" si="30"/>
        <v>0</v>
      </c>
      <c r="G101" s="688">
        <f t="shared" si="31"/>
        <v>0</v>
      </c>
      <c r="H101" s="689">
        <v>1.2132000000000001</v>
      </c>
      <c r="I101" s="689">
        <v>1.21316</v>
      </c>
      <c r="J101" s="687">
        <f t="shared" si="40"/>
        <v>0</v>
      </c>
      <c r="K101" s="2">
        <f t="shared" si="41"/>
        <v>0</v>
      </c>
      <c r="L101" s="450">
        <f t="shared" si="42"/>
        <v>0</v>
      </c>
      <c r="M101" s="16" t="e">
        <f t="shared" si="43"/>
        <v>#DIV/0!</v>
      </c>
    </row>
    <row r="102" spans="1:13" x14ac:dyDescent="0.25">
      <c r="A102" s="448" t="s">
        <v>234</v>
      </c>
      <c r="B102" s="19" t="s">
        <v>47</v>
      </c>
      <c r="C102" s="114">
        <v>65247</v>
      </c>
      <c r="D102" s="685">
        <f>VLOOKUP(A94,'Util Rev and Load Data'!A$70:W$85,8)</f>
        <v>37312</v>
      </c>
      <c r="E102" s="685">
        <v>0</v>
      </c>
      <c r="F102" s="685">
        <f t="shared" si="30"/>
        <v>37312</v>
      </c>
      <c r="G102" s="688">
        <f t="shared" si="31"/>
        <v>-27935</v>
      </c>
      <c r="H102" s="689">
        <v>1.091E-2</v>
      </c>
      <c r="I102" s="689">
        <v>1.0240000000000001E-2</v>
      </c>
      <c r="J102" s="690">
        <f t="shared" si="40"/>
        <v>668.12928000000011</v>
      </c>
      <c r="K102" s="281">
        <f t="shared" si="41"/>
        <v>382.07488000000001</v>
      </c>
      <c r="L102" s="450">
        <f t="shared" si="42"/>
        <v>-286.0544000000001</v>
      </c>
      <c r="M102" s="16">
        <f t="shared" si="43"/>
        <v>-0.42814229006697624</v>
      </c>
    </row>
    <row r="103" spans="1:13" x14ac:dyDescent="0.25">
      <c r="C103" s="114"/>
      <c r="D103" s="685"/>
      <c r="E103" s="685"/>
      <c r="F103" s="685"/>
      <c r="G103" s="688"/>
      <c r="H103" s="686"/>
      <c r="I103" s="686"/>
      <c r="J103" s="691">
        <f>SUM(J95:J102)</f>
        <v>503218.37943500001</v>
      </c>
      <c r="K103" s="265">
        <f>SUM(K95:K102)</f>
        <v>506819.01464999997</v>
      </c>
      <c r="L103" s="692">
        <f>SUM(L95:L102)</f>
        <v>3600.6352149999666</v>
      </c>
      <c r="M103" s="16">
        <f>L103/J103</f>
        <v>7.155214042544834E-3</v>
      </c>
    </row>
    <row r="104" spans="1:13" x14ac:dyDescent="0.25">
      <c r="A104" s="60" t="s">
        <v>101</v>
      </c>
      <c r="B104" s="59"/>
      <c r="C104" s="399"/>
      <c r="D104" s="693"/>
      <c r="E104" s="59"/>
      <c r="F104" s="685"/>
      <c r="G104" s="688"/>
      <c r="H104" s="686"/>
      <c r="I104" s="686"/>
      <c r="J104" s="687"/>
      <c r="L104" s="450"/>
    </row>
    <row r="105" spans="1:13" x14ac:dyDescent="0.25">
      <c r="A105" s="23" t="s">
        <v>227</v>
      </c>
      <c r="B105" s="19" t="s">
        <v>47</v>
      </c>
      <c r="C105" s="114">
        <v>10734827</v>
      </c>
      <c r="D105" s="685">
        <f>VLOOKUP(A104,'Util Rev and Load Data'!A$70:W$85,3)</f>
        <v>10792180</v>
      </c>
      <c r="E105" s="685">
        <v>177072</v>
      </c>
      <c r="F105" s="685">
        <f t="shared" si="30"/>
        <v>10615108</v>
      </c>
      <c r="G105" s="688">
        <f t="shared" si="31"/>
        <v>-119719</v>
      </c>
      <c r="H105" s="689">
        <v>1.371E-2</v>
      </c>
      <c r="I105" s="689">
        <v>1.188E-2</v>
      </c>
      <c r="J105" s="687">
        <f>C105*I105</f>
        <v>127529.74476</v>
      </c>
      <c r="K105" s="2">
        <f>I105*F105</f>
        <v>126107.48304000001</v>
      </c>
      <c r="L105" s="450">
        <f>K105-J105</f>
        <v>-1422.261719999995</v>
      </c>
      <c r="M105" s="16">
        <f>G105/C105</f>
        <v>-1.1152392115867354E-2</v>
      </c>
    </row>
    <row r="106" spans="1:13" x14ac:dyDescent="0.25">
      <c r="A106" s="23" t="s">
        <v>228</v>
      </c>
      <c r="B106" s="19" t="s">
        <v>47</v>
      </c>
      <c r="C106" s="114">
        <v>2657397</v>
      </c>
      <c r="D106" s="685">
        <f>VLOOKUP(A104,'Util Rev and Load Data'!A$70:W$85,7)</f>
        <v>2565391</v>
      </c>
      <c r="E106" s="685">
        <v>0</v>
      </c>
      <c r="F106" s="685">
        <f t="shared" si="30"/>
        <v>2565391</v>
      </c>
      <c r="G106" s="688">
        <f t="shared" si="31"/>
        <v>-92006</v>
      </c>
      <c r="H106" s="689">
        <v>1.091E-2</v>
      </c>
      <c r="I106" s="689">
        <v>1.0240000000000001E-2</v>
      </c>
      <c r="J106" s="687">
        <f t="shared" ref="J106:J112" si="44">C106*I106</f>
        <v>27211.745280000003</v>
      </c>
      <c r="K106" s="2">
        <f t="shared" ref="K106:K112" si="45">I106*F106</f>
        <v>26269.603840000003</v>
      </c>
      <c r="L106" s="450">
        <f t="shared" ref="L106:L112" si="46">K106-J106</f>
        <v>-942.14143999999942</v>
      </c>
      <c r="M106" s="16">
        <f t="shared" ref="M106:M112" si="47">G106/C106</f>
        <v>-3.4622602494094788E-2</v>
      </c>
    </row>
    <row r="107" spans="1:13" x14ac:dyDescent="0.25">
      <c r="A107" s="23" t="s">
        <v>229</v>
      </c>
      <c r="B107" s="19" t="s">
        <v>47</v>
      </c>
      <c r="C107" s="114">
        <v>6252675</v>
      </c>
      <c r="D107" s="685">
        <f>VLOOKUP(A104,'Util Rev and Load Data'!A$70:W$85,11)</f>
        <v>7218841.120005413</v>
      </c>
      <c r="E107" s="685">
        <v>0</v>
      </c>
      <c r="F107" s="685">
        <f t="shared" si="30"/>
        <v>7218841.120005413</v>
      </c>
      <c r="G107" s="688">
        <f t="shared" si="31"/>
        <v>966166.12000541296</v>
      </c>
      <c r="H107" s="689">
        <v>7.0699999999999999E-3</v>
      </c>
      <c r="I107" s="689">
        <v>6.62E-3</v>
      </c>
      <c r="J107" s="687">
        <f t="shared" si="44"/>
        <v>41392.708500000001</v>
      </c>
      <c r="K107" s="2">
        <f t="shared" si="45"/>
        <v>47788.728214435832</v>
      </c>
      <c r="L107" s="450">
        <f t="shared" si="46"/>
        <v>6396.0197144358317</v>
      </c>
      <c r="M107" s="16">
        <f t="shared" si="47"/>
        <v>0.1545204444506412</v>
      </c>
    </row>
    <row r="108" spans="1:13" x14ac:dyDescent="0.25">
      <c r="A108" s="23" t="s">
        <v>230</v>
      </c>
      <c r="B108" s="19" t="s">
        <v>271</v>
      </c>
      <c r="C108" s="114">
        <v>18386.583999999999</v>
      </c>
      <c r="D108" s="685">
        <f>VLOOKUP(A104,'Util Rev and Load Data'!A$70:W$85,12)</f>
        <v>19416.615999999998</v>
      </c>
      <c r="E108" s="685">
        <v>0</v>
      </c>
      <c r="F108" s="685">
        <f t="shared" si="30"/>
        <v>19416.615999999998</v>
      </c>
      <c r="G108" s="688">
        <f t="shared" si="31"/>
        <v>1030.0319999999992</v>
      </c>
      <c r="H108" s="689">
        <v>1.1383000000000001</v>
      </c>
      <c r="I108" s="689">
        <v>1.13825</v>
      </c>
      <c r="J108" s="687">
        <f t="shared" si="44"/>
        <v>20928.529237999999</v>
      </c>
      <c r="K108" s="2">
        <f t="shared" si="45"/>
        <v>22100.963161999996</v>
      </c>
      <c r="L108" s="450">
        <f t="shared" si="46"/>
        <v>1172.4339239999972</v>
      </c>
      <c r="M108" s="16">
        <f t="shared" si="47"/>
        <v>5.6020846504168435E-2</v>
      </c>
    </row>
    <row r="109" spans="1:13" x14ac:dyDescent="0.25">
      <c r="A109" s="23" t="s">
        <v>231</v>
      </c>
      <c r="B109" s="19" t="s">
        <v>47</v>
      </c>
      <c r="C109" s="114">
        <v>0</v>
      </c>
      <c r="D109" s="685">
        <f>VLOOKUP(A104,'Util Rev and Load Data'!A$70:W$85,19)</f>
        <v>0</v>
      </c>
      <c r="E109" s="685">
        <v>0</v>
      </c>
      <c r="F109" s="685">
        <f t="shared" si="30"/>
        <v>0</v>
      </c>
      <c r="G109" s="688">
        <f t="shared" si="31"/>
        <v>0</v>
      </c>
      <c r="H109" s="689">
        <v>7.7000000000000002E-3</v>
      </c>
      <c r="I109" s="689">
        <v>7.5700000000000003E-3</v>
      </c>
      <c r="J109" s="687">
        <f t="shared" si="44"/>
        <v>0</v>
      </c>
      <c r="K109" s="2">
        <f t="shared" si="45"/>
        <v>0</v>
      </c>
      <c r="L109" s="450">
        <f t="shared" si="46"/>
        <v>0</v>
      </c>
      <c r="M109" s="16" t="e">
        <f t="shared" si="47"/>
        <v>#DIV/0!</v>
      </c>
    </row>
    <row r="110" spans="1:13" x14ac:dyDescent="0.25">
      <c r="A110" s="23" t="s">
        <v>232</v>
      </c>
      <c r="B110" s="19" t="s">
        <v>47</v>
      </c>
      <c r="C110" s="114">
        <v>7194914</v>
      </c>
      <c r="D110" s="685">
        <f>VLOOKUP(A104,'Util Rev and Load Data'!A$70:W$85,22)</f>
        <v>7896119</v>
      </c>
      <c r="E110" s="685">
        <v>0</v>
      </c>
      <c r="F110" s="685">
        <f t="shared" si="30"/>
        <v>7896119</v>
      </c>
      <c r="G110" s="688">
        <f t="shared" si="31"/>
        <v>701205</v>
      </c>
      <c r="H110" s="689">
        <v>5.2199999999999998E-3</v>
      </c>
      <c r="I110" s="689">
        <v>5.2100000000000002E-3</v>
      </c>
      <c r="J110" s="687">
        <f t="shared" si="44"/>
        <v>37485.501940000002</v>
      </c>
      <c r="K110" s="2">
        <f t="shared" si="45"/>
        <v>41138.779990000003</v>
      </c>
      <c r="L110" s="450">
        <f t="shared" si="46"/>
        <v>3653.2780500000008</v>
      </c>
      <c r="M110" s="16">
        <f t="shared" si="47"/>
        <v>9.7458426883212226E-2</v>
      </c>
    </row>
    <row r="111" spans="1:13" x14ac:dyDescent="0.25">
      <c r="A111" s="23" t="s">
        <v>233</v>
      </c>
      <c r="B111" s="19" t="s">
        <v>271</v>
      </c>
      <c r="C111" s="114">
        <v>16827.696</v>
      </c>
      <c r="D111" s="685">
        <f>VLOOKUP(A104,'Util Rev and Load Data'!A$70:W$85,23)</f>
        <v>16855.473999999998</v>
      </c>
      <c r="E111" s="685">
        <v>0</v>
      </c>
      <c r="F111" s="685">
        <f t="shared" si="30"/>
        <v>16855.473999999998</v>
      </c>
      <c r="G111" s="688">
        <f t="shared" si="31"/>
        <v>27.777999999998428</v>
      </c>
      <c r="H111" s="689">
        <v>1.2132000000000001</v>
      </c>
      <c r="I111" s="689">
        <v>1.21316</v>
      </c>
      <c r="J111" s="687">
        <f t="shared" si="44"/>
        <v>20414.687679359999</v>
      </c>
      <c r="K111" s="2">
        <f t="shared" si="45"/>
        <v>20448.386837839997</v>
      </c>
      <c r="L111" s="450">
        <f t="shared" si="46"/>
        <v>33.699158479998005</v>
      </c>
      <c r="M111" s="16">
        <f t="shared" si="47"/>
        <v>1.6507310329351343E-3</v>
      </c>
    </row>
    <row r="112" spans="1:13" x14ac:dyDescent="0.25">
      <c r="A112" s="448" t="s">
        <v>234</v>
      </c>
      <c r="B112" s="19" t="s">
        <v>47</v>
      </c>
      <c r="C112" s="114">
        <v>88509</v>
      </c>
      <c r="D112" s="685">
        <f>VLOOKUP(A104,'Util Rev and Load Data'!A$70:W$85,8)</f>
        <v>88147</v>
      </c>
      <c r="E112" s="685">
        <v>0</v>
      </c>
      <c r="F112" s="685">
        <f t="shared" si="30"/>
        <v>88147</v>
      </c>
      <c r="G112" s="688">
        <f t="shared" si="31"/>
        <v>-362</v>
      </c>
      <c r="H112" s="689">
        <v>1.091E-2</v>
      </c>
      <c r="I112" s="689">
        <v>1.0240000000000001E-2</v>
      </c>
      <c r="J112" s="690">
        <f t="shared" si="44"/>
        <v>906.33216000000004</v>
      </c>
      <c r="K112" s="281">
        <f t="shared" si="45"/>
        <v>902.62528000000009</v>
      </c>
      <c r="L112" s="450">
        <f t="shared" si="46"/>
        <v>-3.7068799999999555</v>
      </c>
      <c r="M112" s="16">
        <f t="shared" si="47"/>
        <v>-4.0899795501022499E-3</v>
      </c>
    </row>
    <row r="113" spans="1:13" x14ac:dyDescent="0.25">
      <c r="C113" s="114"/>
      <c r="D113" s="685"/>
      <c r="E113" s="685"/>
      <c r="F113" s="685"/>
      <c r="G113" s="688"/>
      <c r="H113" s="686"/>
      <c r="I113" s="686"/>
      <c r="J113" s="691">
        <f>SUM(J105:J112)</f>
        <v>275869.24955735996</v>
      </c>
      <c r="K113" s="265">
        <f>SUM(K105:K112)</f>
        <v>284756.57036427583</v>
      </c>
      <c r="L113" s="692">
        <f>SUM(L105:L112)</f>
        <v>8887.3208069158336</v>
      </c>
      <c r="M113" s="16">
        <f>L113/J113</f>
        <v>3.2215699361838233E-2</v>
      </c>
    </row>
    <row r="114" spans="1:13" x14ac:dyDescent="0.25">
      <c r="A114" s="60" t="s">
        <v>102</v>
      </c>
      <c r="B114" s="59"/>
      <c r="C114" s="399"/>
      <c r="D114" s="693"/>
      <c r="E114" s="59"/>
      <c r="F114" s="685"/>
      <c r="G114" s="688"/>
      <c r="H114" s="686"/>
      <c r="I114" s="686"/>
      <c r="J114" s="687"/>
      <c r="L114" s="450"/>
    </row>
    <row r="115" spans="1:13" x14ac:dyDescent="0.25">
      <c r="A115" s="23" t="s">
        <v>227</v>
      </c>
      <c r="B115" s="19" t="s">
        <v>47</v>
      </c>
      <c r="C115" s="114">
        <v>4042099</v>
      </c>
      <c r="D115" s="685">
        <f>VLOOKUP(A114,'Util Rev and Load Data'!A$70:W$85,3)</f>
        <v>4097061</v>
      </c>
      <c r="E115" s="685">
        <v>25367</v>
      </c>
      <c r="F115" s="685">
        <f t="shared" si="30"/>
        <v>4071694</v>
      </c>
      <c r="G115" s="688">
        <f t="shared" si="31"/>
        <v>29595</v>
      </c>
      <c r="H115" s="689">
        <v>1.371E-2</v>
      </c>
      <c r="I115" s="689">
        <v>1.188E-2</v>
      </c>
      <c r="J115" s="687">
        <f>C115*I115</f>
        <v>48020.136120000003</v>
      </c>
      <c r="K115" s="2">
        <f>I115*F115</f>
        <v>48371.724719999998</v>
      </c>
      <c r="L115" s="450">
        <f>K115-J115</f>
        <v>351.58859999999549</v>
      </c>
      <c r="M115" s="16">
        <f>G115/C115</f>
        <v>7.321691032307719E-3</v>
      </c>
    </row>
    <row r="116" spans="1:13" x14ac:dyDescent="0.25">
      <c r="A116" s="23" t="s">
        <v>228</v>
      </c>
      <c r="B116" s="19" t="s">
        <v>47</v>
      </c>
      <c r="C116" s="114">
        <v>2022283</v>
      </c>
      <c r="D116" s="685">
        <f>VLOOKUP(A114,'Util Rev and Load Data'!A$70:W$85,7)</f>
        <v>2064666</v>
      </c>
      <c r="E116" s="685">
        <v>0</v>
      </c>
      <c r="F116" s="685">
        <f t="shared" si="30"/>
        <v>2064666</v>
      </c>
      <c r="G116" s="688">
        <f t="shared" si="31"/>
        <v>42383</v>
      </c>
      <c r="H116" s="689">
        <v>1.091E-2</v>
      </c>
      <c r="I116" s="689">
        <v>1.0240000000000001E-2</v>
      </c>
      <c r="J116" s="687">
        <f t="shared" ref="J116:J122" si="48">C116*I116</f>
        <v>20708.177920000002</v>
      </c>
      <c r="K116" s="2">
        <f t="shared" ref="K116:K122" si="49">I116*F116</f>
        <v>21142.179840000001</v>
      </c>
      <c r="L116" s="450">
        <f t="shared" ref="L116:L122" si="50">K116-J116</f>
        <v>434.00191999999879</v>
      </c>
      <c r="M116" s="16">
        <f t="shared" ref="M116:M122" si="51">G116/C116</f>
        <v>2.0957996482193639E-2</v>
      </c>
    </row>
    <row r="117" spans="1:13" x14ac:dyDescent="0.25">
      <c r="A117" s="23" t="s">
        <v>229</v>
      </c>
      <c r="B117" s="19" t="s">
        <v>47</v>
      </c>
      <c r="C117" s="114">
        <v>0</v>
      </c>
      <c r="D117" s="685">
        <f>VLOOKUP(A114,'Util Rev and Load Data'!A$70:W$85,11)</f>
        <v>0</v>
      </c>
      <c r="E117" s="685">
        <v>0</v>
      </c>
      <c r="F117" s="685">
        <f t="shared" si="30"/>
        <v>0</v>
      </c>
      <c r="G117" s="688">
        <f t="shared" si="31"/>
        <v>0</v>
      </c>
      <c r="H117" s="689">
        <v>7.0699999999999999E-3</v>
      </c>
      <c r="I117" s="689">
        <v>6.62E-3</v>
      </c>
      <c r="J117" s="687">
        <f t="shared" si="48"/>
        <v>0</v>
      </c>
      <c r="K117" s="2">
        <f t="shared" si="49"/>
        <v>0</v>
      </c>
      <c r="L117" s="450">
        <f t="shared" si="50"/>
        <v>0</v>
      </c>
      <c r="M117" s="16" t="e">
        <f t="shared" si="51"/>
        <v>#DIV/0!</v>
      </c>
    </row>
    <row r="118" spans="1:13" x14ac:dyDescent="0.25">
      <c r="A118" s="23" t="s">
        <v>230</v>
      </c>
      <c r="B118" s="19" t="s">
        <v>271</v>
      </c>
      <c r="C118" s="114">
        <v>0</v>
      </c>
      <c r="D118" s="685">
        <f>VLOOKUP(A114,'Util Rev and Load Data'!A$70:W$85,12)</f>
        <v>0</v>
      </c>
      <c r="E118" s="685">
        <v>0</v>
      </c>
      <c r="F118" s="685">
        <f t="shared" si="30"/>
        <v>0</v>
      </c>
      <c r="G118" s="688">
        <f t="shared" si="31"/>
        <v>0</v>
      </c>
      <c r="H118" s="689">
        <v>1.1383000000000001</v>
      </c>
      <c r="I118" s="689">
        <v>1.13825</v>
      </c>
      <c r="J118" s="687">
        <f t="shared" si="48"/>
        <v>0</v>
      </c>
      <c r="K118" s="2">
        <f t="shared" si="49"/>
        <v>0</v>
      </c>
      <c r="L118" s="450">
        <f t="shared" si="50"/>
        <v>0</v>
      </c>
      <c r="M118" s="16" t="e">
        <f t="shared" si="51"/>
        <v>#DIV/0!</v>
      </c>
    </row>
    <row r="119" spans="1:13" x14ac:dyDescent="0.25">
      <c r="A119" s="23" t="s">
        <v>231</v>
      </c>
      <c r="B119" s="19" t="s">
        <v>47</v>
      </c>
      <c r="C119" s="114">
        <v>0</v>
      </c>
      <c r="D119" s="685">
        <f>VLOOKUP(A114,'Util Rev and Load Data'!A$70:W$85,19)</f>
        <v>0</v>
      </c>
      <c r="E119" s="685">
        <v>0</v>
      </c>
      <c r="F119" s="685">
        <f t="shared" si="30"/>
        <v>0</v>
      </c>
      <c r="G119" s="688">
        <f t="shared" si="31"/>
        <v>0</v>
      </c>
      <c r="H119" s="689">
        <v>7.7000000000000002E-3</v>
      </c>
      <c r="I119" s="689">
        <v>7.5700000000000003E-3</v>
      </c>
      <c r="J119" s="687">
        <f t="shared" si="48"/>
        <v>0</v>
      </c>
      <c r="K119" s="2">
        <f t="shared" si="49"/>
        <v>0</v>
      </c>
      <c r="L119" s="450">
        <f t="shared" si="50"/>
        <v>0</v>
      </c>
      <c r="M119" s="16" t="e">
        <f t="shared" si="51"/>
        <v>#DIV/0!</v>
      </c>
    </row>
    <row r="120" spans="1:13" x14ac:dyDescent="0.25">
      <c r="A120" s="23" t="s">
        <v>232</v>
      </c>
      <c r="B120" s="19" t="s">
        <v>47</v>
      </c>
      <c r="C120" s="114">
        <v>5743200</v>
      </c>
      <c r="D120" s="685">
        <f>VLOOKUP(A114,'Util Rev and Load Data'!A$70:W$85,22)</f>
        <v>6616800</v>
      </c>
      <c r="E120" s="685">
        <v>0</v>
      </c>
      <c r="F120" s="685">
        <f t="shared" si="30"/>
        <v>6616800</v>
      </c>
      <c r="G120" s="688">
        <f t="shared" si="31"/>
        <v>873600</v>
      </c>
      <c r="H120" s="689">
        <v>5.2199999999999998E-3</v>
      </c>
      <c r="I120" s="689">
        <v>5.2100000000000002E-3</v>
      </c>
      <c r="J120" s="687">
        <f t="shared" si="48"/>
        <v>29922.072</v>
      </c>
      <c r="K120" s="2">
        <f t="shared" si="49"/>
        <v>34473.527999999998</v>
      </c>
      <c r="L120" s="450">
        <f t="shared" si="50"/>
        <v>4551.4559999999983</v>
      </c>
      <c r="M120" s="16">
        <f t="shared" si="51"/>
        <v>0.15211032177183451</v>
      </c>
    </row>
    <row r="121" spans="1:13" x14ac:dyDescent="0.25">
      <c r="A121" s="23" t="s">
        <v>233</v>
      </c>
      <c r="B121" s="19" t="s">
        <v>271</v>
      </c>
      <c r="C121" s="114">
        <v>24115</v>
      </c>
      <c r="D121" s="685">
        <f>VLOOKUP(A114,'Util Rev and Load Data'!A$70:W$85,23)</f>
        <v>24236</v>
      </c>
      <c r="E121" s="685">
        <v>0</v>
      </c>
      <c r="F121" s="685">
        <f t="shared" si="30"/>
        <v>24236</v>
      </c>
      <c r="G121" s="688">
        <f t="shared" si="31"/>
        <v>121</v>
      </c>
      <c r="H121" s="689">
        <v>1.2132000000000001</v>
      </c>
      <c r="I121" s="689">
        <v>1.21316</v>
      </c>
      <c r="J121" s="687">
        <f t="shared" si="48"/>
        <v>29255.3534</v>
      </c>
      <c r="K121" s="2">
        <f t="shared" si="49"/>
        <v>29402.145759999999</v>
      </c>
      <c r="L121" s="450">
        <f t="shared" si="50"/>
        <v>146.79235999999946</v>
      </c>
      <c r="M121" s="16">
        <f t="shared" si="51"/>
        <v>5.0176238855484138E-3</v>
      </c>
    </row>
    <row r="122" spans="1:13" x14ac:dyDescent="0.25">
      <c r="A122" s="448" t="s">
        <v>234</v>
      </c>
      <c r="B122" s="19" t="s">
        <v>47</v>
      </c>
      <c r="C122" s="114">
        <v>141354</v>
      </c>
      <c r="D122" s="685">
        <f>VLOOKUP(A114,'Util Rev and Load Data'!A$70:W$85,8)</f>
        <v>111926</v>
      </c>
      <c r="E122" s="685">
        <v>0</v>
      </c>
      <c r="F122" s="685">
        <f t="shared" si="30"/>
        <v>111926</v>
      </c>
      <c r="G122" s="688">
        <f t="shared" si="31"/>
        <v>-29428</v>
      </c>
      <c r="H122" s="689">
        <v>1.091E-2</v>
      </c>
      <c r="I122" s="689">
        <v>1.0240000000000001E-2</v>
      </c>
      <c r="J122" s="690">
        <f t="shared" si="48"/>
        <v>1447.46496</v>
      </c>
      <c r="K122" s="281">
        <f t="shared" si="49"/>
        <v>1146.1222400000001</v>
      </c>
      <c r="L122" s="450">
        <f t="shared" si="50"/>
        <v>-301.34271999999987</v>
      </c>
      <c r="M122" s="16">
        <f t="shared" si="51"/>
        <v>-0.20818653876084159</v>
      </c>
    </row>
    <row r="123" spans="1:13" x14ac:dyDescent="0.25">
      <c r="C123" s="114"/>
      <c r="D123" s="685"/>
      <c r="E123" s="685"/>
      <c r="F123" s="685"/>
      <c r="G123" s="688"/>
      <c r="H123" s="686"/>
      <c r="I123" s="686"/>
      <c r="J123" s="691">
        <f>SUM(J115:J122)</f>
        <v>129353.2044</v>
      </c>
      <c r="K123" s="265">
        <f>SUM(K115:K122)</f>
        <v>134535.70055999997</v>
      </c>
      <c r="L123" s="692">
        <f>SUM(L115:L122)</f>
        <v>5182.4961599999924</v>
      </c>
      <c r="M123" s="16">
        <f>L123/J123</f>
        <v>4.0064690967949401E-2</v>
      </c>
    </row>
    <row r="124" spans="1:13" x14ac:dyDescent="0.25">
      <c r="A124" s="60" t="s">
        <v>103</v>
      </c>
      <c r="B124" s="59"/>
      <c r="C124" s="399"/>
      <c r="D124" s="693"/>
      <c r="E124" s="59"/>
      <c r="F124" s="685"/>
      <c r="G124" s="688"/>
      <c r="H124" s="686"/>
      <c r="I124" s="686"/>
      <c r="J124" s="687"/>
      <c r="L124" s="450"/>
    </row>
    <row r="125" spans="1:13" x14ac:dyDescent="0.25">
      <c r="A125" s="23" t="s">
        <v>227</v>
      </c>
      <c r="B125" s="19" t="s">
        <v>47</v>
      </c>
      <c r="C125" s="114">
        <v>26165003</v>
      </c>
      <c r="D125" s="685">
        <f>VLOOKUP(A124,'Util Rev and Load Data'!A$70:W$85,3)</f>
        <v>27552439</v>
      </c>
      <c r="E125" s="384">
        <v>1220287</v>
      </c>
      <c r="F125" s="685">
        <f t="shared" si="30"/>
        <v>26332152</v>
      </c>
      <c r="G125" s="688">
        <f t="shared" si="31"/>
        <v>167149</v>
      </c>
      <c r="H125" s="689">
        <v>1.371E-2</v>
      </c>
      <c r="I125" s="689">
        <v>1.188E-2</v>
      </c>
      <c r="J125" s="687">
        <f>C125*I125</f>
        <v>310840.23563999997</v>
      </c>
      <c r="K125" s="2">
        <f>I125*F125</f>
        <v>312825.96575999999</v>
      </c>
      <c r="L125" s="450">
        <f>K125-J125</f>
        <v>1985.730120000022</v>
      </c>
      <c r="M125" s="16">
        <f>G125/C125</f>
        <v>6.3882660361246658E-3</v>
      </c>
    </row>
    <row r="126" spans="1:13" x14ac:dyDescent="0.25">
      <c r="A126" s="23" t="s">
        <v>228</v>
      </c>
      <c r="B126" s="19" t="s">
        <v>47</v>
      </c>
      <c r="C126" s="114">
        <v>6377771</v>
      </c>
      <c r="D126" s="685">
        <f>VLOOKUP(A124,'Util Rev and Load Data'!A$70:W$85,7)</f>
        <v>7554608</v>
      </c>
      <c r="E126" s="384">
        <v>0</v>
      </c>
      <c r="F126" s="685">
        <f t="shared" si="30"/>
        <v>7554608</v>
      </c>
      <c r="G126" s="688">
        <f t="shared" si="31"/>
        <v>1176837</v>
      </c>
      <c r="H126" s="689">
        <v>1.091E-2</v>
      </c>
      <c r="I126" s="689">
        <v>1.0240000000000001E-2</v>
      </c>
      <c r="J126" s="687">
        <f t="shared" ref="J126:J132" si="52">C126*I126</f>
        <v>65308.375040000006</v>
      </c>
      <c r="K126" s="2">
        <f t="shared" ref="K126:K132" si="53">I126*F126</f>
        <v>77359.185920000004</v>
      </c>
      <c r="L126" s="450">
        <f t="shared" ref="L126:L132" si="54">K126-J126</f>
        <v>12050.810879999997</v>
      </c>
      <c r="M126" s="16">
        <f t="shared" ref="M126:M132" si="55">G126/C126</f>
        <v>0.18452167693070196</v>
      </c>
    </row>
    <row r="127" spans="1:13" x14ac:dyDescent="0.25">
      <c r="A127" s="23" t="s">
        <v>229</v>
      </c>
      <c r="B127" s="19" t="s">
        <v>47</v>
      </c>
      <c r="C127" s="114">
        <v>30120869</v>
      </c>
      <c r="D127" s="685">
        <f>VLOOKUP(A124,'Util Rev and Load Data'!A$70:W$85,11)</f>
        <v>33445067</v>
      </c>
      <c r="E127" s="384">
        <v>0</v>
      </c>
      <c r="F127" s="685">
        <f t="shared" si="30"/>
        <v>33445067</v>
      </c>
      <c r="G127" s="688">
        <f t="shared" si="31"/>
        <v>3324198</v>
      </c>
      <c r="H127" s="689">
        <v>7.0699999999999999E-3</v>
      </c>
      <c r="I127" s="689">
        <v>6.62E-3</v>
      </c>
      <c r="J127" s="687">
        <f t="shared" si="52"/>
        <v>199400.15278</v>
      </c>
      <c r="K127" s="2">
        <f t="shared" si="53"/>
        <v>221406.34354</v>
      </c>
      <c r="L127" s="450">
        <f t="shared" si="54"/>
        <v>22006.190759999998</v>
      </c>
      <c r="M127" s="16">
        <f t="shared" si="55"/>
        <v>0.11036195536058405</v>
      </c>
    </row>
    <row r="128" spans="1:13" x14ac:dyDescent="0.25">
      <c r="A128" s="23" t="s">
        <v>230</v>
      </c>
      <c r="B128" s="19" t="s">
        <v>271</v>
      </c>
      <c r="C128" s="114">
        <v>97311.74</v>
      </c>
      <c r="D128" s="685">
        <f>VLOOKUP(A124,'Util Rev and Load Data'!A$70:W$85,12)</f>
        <v>92952</v>
      </c>
      <c r="E128" s="384">
        <v>0</v>
      </c>
      <c r="F128" s="685">
        <f t="shared" si="30"/>
        <v>92952</v>
      </c>
      <c r="G128" s="688">
        <f t="shared" si="31"/>
        <v>-4359.7400000000052</v>
      </c>
      <c r="H128" s="689">
        <v>1.1383000000000001</v>
      </c>
      <c r="I128" s="689">
        <v>1.13825</v>
      </c>
      <c r="J128" s="687">
        <f t="shared" si="52"/>
        <v>110765.088055</v>
      </c>
      <c r="K128" s="2">
        <f t="shared" si="53"/>
        <v>105802.614</v>
      </c>
      <c r="L128" s="450">
        <f t="shared" si="54"/>
        <v>-4962.4740549999988</v>
      </c>
      <c r="M128" s="16">
        <f t="shared" si="55"/>
        <v>-4.4801788561174685E-2</v>
      </c>
    </row>
    <row r="129" spans="1:13" x14ac:dyDescent="0.25">
      <c r="A129" s="23" t="s">
        <v>231</v>
      </c>
      <c r="B129" s="19" t="s">
        <v>47</v>
      </c>
      <c r="C129" s="114">
        <v>0</v>
      </c>
      <c r="D129" s="685">
        <f>VLOOKUP(A124,'Util Rev and Load Data'!A$70:W$85,19)</f>
        <v>0</v>
      </c>
      <c r="E129" s="384">
        <v>0</v>
      </c>
      <c r="F129" s="685">
        <f t="shared" si="30"/>
        <v>0</v>
      </c>
      <c r="G129" s="688">
        <f t="shared" si="31"/>
        <v>0</v>
      </c>
      <c r="H129" s="689">
        <v>7.7000000000000002E-3</v>
      </c>
      <c r="I129" s="689">
        <v>7.5700000000000003E-3</v>
      </c>
      <c r="J129" s="687">
        <f t="shared" si="52"/>
        <v>0</v>
      </c>
      <c r="K129" s="2">
        <f t="shared" si="53"/>
        <v>0</v>
      </c>
      <c r="L129" s="450">
        <f t="shared" si="54"/>
        <v>0</v>
      </c>
      <c r="M129" s="16" t="e">
        <f t="shared" si="55"/>
        <v>#DIV/0!</v>
      </c>
    </row>
    <row r="130" spans="1:13" x14ac:dyDescent="0.25">
      <c r="A130" s="23" t="s">
        <v>232</v>
      </c>
      <c r="B130" s="19" t="s">
        <v>47</v>
      </c>
      <c r="C130" s="114">
        <v>7322200</v>
      </c>
      <c r="D130" s="685">
        <f>VLOOKUP(A124,'Util Rev and Load Data'!A$70:W$85,22)</f>
        <v>9150600</v>
      </c>
      <c r="E130" s="384">
        <v>0</v>
      </c>
      <c r="F130" s="685">
        <f t="shared" si="30"/>
        <v>9150600</v>
      </c>
      <c r="G130" s="688">
        <f t="shared" si="31"/>
        <v>1828400</v>
      </c>
      <c r="H130" s="689">
        <v>5.2199999999999998E-3</v>
      </c>
      <c r="I130" s="689">
        <v>5.2100000000000002E-3</v>
      </c>
      <c r="J130" s="687">
        <f t="shared" si="52"/>
        <v>38148.662000000004</v>
      </c>
      <c r="K130" s="2">
        <f t="shared" si="53"/>
        <v>47674.626000000004</v>
      </c>
      <c r="L130" s="450">
        <f t="shared" si="54"/>
        <v>9525.9639999999999</v>
      </c>
      <c r="M130" s="16">
        <f t="shared" si="55"/>
        <v>0.24970637240173718</v>
      </c>
    </row>
    <row r="131" spans="1:13" x14ac:dyDescent="0.25">
      <c r="A131" s="23" t="s">
        <v>233</v>
      </c>
      <c r="B131" s="19" t="s">
        <v>271</v>
      </c>
      <c r="C131" s="114">
        <v>31960</v>
      </c>
      <c r="D131" s="685">
        <f>VLOOKUP(A124,'Util Rev and Load Data'!A$70:W$85,23)</f>
        <v>28000</v>
      </c>
      <c r="E131" s="384">
        <v>0</v>
      </c>
      <c r="F131" s="685">
        <f t="shared" si="30"/>
        <v>28000</v>
      </c>
      <c r="G131" s="688">
        <f t="shared" si="31"/>
        <v>-3960</v>
      </c>
      <c r="H131" s="689">
        <v>1.2132000000000001</v>
      </c>
      <c r="I131" s="689">
        <v>1.21316</v>
      </c>
      <c r="J131" s="687">
        <f t="shared" si="52"/>
        <v>38772.5936</v>
      </c>
      <c r="K131" s="2">
        <f t="shared" si="53"/>
        <v>33968.480000000003</v>
      </c>
      <c r="L131" s="450">
        <f t="shared" si="54"/>
        <v>-4804.1135999999969</v>
      </c>
      <c r="M131" s="16">
        <f t="shared" si="55"/>
        <v>-0.12390488110137672</v>
      </c>
    </row>
    <row r="132" spans="1:13" x14ac:dyDescent="0.25">
      <c r="A132" s="448" t="s">
        <v>234</v>
      </c>
      <c r="B132" s="19" t="s">
        <v>47</v>
      </c>
      <c r="C132" s="114">
        <v>45815</v>
      </c>
      <c r="D132" s="685">
        <f>VLOOKUP(A124,'Util Rev and Load Data'!A$70:W$85,8)</f>
        <v>44967</v>
      </c>
      <c r="E132" s="384">
        <v>0</v>
      </c>
      <c r="F132" s="685">
        <f t="shared" si="30"/>
        <v>44967</v>
      </c>
      <c r="G132" s="688">
        <f t="shared" si="31"/>
        <v>-848</v>
      </c>
      <c r="H132" s="689">
        <v>1.091E-2</v>
      </c>
      <c r="I132" s="689">
        <v>1.0240000000000001E-2</v>
      </c>
      <c r="J132" s="690">
        <f t="shared" si="52"/>
        <v>469.14560000000006</v>
      </c>
      <c r="K132" s="281">
        <f t="shared" si="53"/>
        <v>460.46208000000001</v>
      </c>
      <c r="L132" s="450">
        <f t="shared" si="54"/>
        <v>-8.6835200000000441</v>
      </c>
      <c r="M132" s="16">
        <f t="shared" si="55"/>
        <v>-1.850922187056641E-2</v>
      </c>
    </row>
    <row r="133" spans="1:13" x14ac:dyDescent="0.25">
      <c r="C133" s="114"/>
      <c r="D133" s="685"/>
      <c r="E133" s="685"/>
      <c r="F133" s="685"/>
      <c r="G133" s="688"/>
      <c r="H133" s="686"/>
      <c r="I133" s="686"/>
      <c r="J133" s="691">
        <f>SUM(J125:J132)</f>
        <v>763704.25271500007</v>
      </c>
      <c r="K133" s="265">
        <f>SUM(K125:K132)</f>
        <v>799497.67729999998</v>
      </c>
      <c r="L133" s="692">
        <f>SUM(L125:L132)</f>
        <v>35793.424585000022</v>
      </c>
      <c r="M133" s="16">
        <f>L133/J133</f>
        <v>4.6868175026854864E-2</v>
      </c>
    </row>
    <row r="134" spans="1:13" x14ac:dyDescent="0.25">
      <c r="A134" s="60" t="s">
        <v>104</v>
      </c>
      <c r="B134" s="59"/>
      <c r="C134" s="399"/>
      <c r="D134" s="693"/>
      <c r="E134" s="59"/>
      <c r="F134" s="685"/>
      <c r="G134" s="688"/>
      <c r="H134" s="686"/>
      <c r="I134" s="686"/>
      <c r="J134" s="687"/>
      <c r="L134" s="450"/>
    </row>
    <row r="135" spans="1:13" x14ac:dyDescent="0.25">
      <c r="A135" s="23" t="s">
        <v>227</v>
      </c>
      <c r="B135" s="19" t="s">
        <v>47</v>
      </c>
      <c r="C135" s="114">
        <v>27434174</v>
      </c>
      <c r="D135" s="685">
        <f>VLOOKUP(A134,'Util Rev and Load Data'!A$70:W$85,3)</f>
        <v>27513609</v>
      </c>
      <c r="E135" s="685">
        <v>240191</v>
      </c>
      <c r="F135" s="685">
        <f t="shared" ref="F135:F162" si="56">D135-E135</f>
        <v>27273418</v>
      </c>
      <c r="G135" s="688">
        <f t="shared" ref="G135:G162" si="57">F135-C135</f>
        <v>-160756</v>
      </c>
      <c r="H135" s="689">
        <v>1.371E-2</v>
      </c>
      <c r="I135" s="689">
        <v>1.188E-2</v>
      </c>
      <c r="J135" s="687">
        <f>C135*I135</f>
        <v>325917.98712000001</v>
      </c>
      <c r="K135" s="2">
        <f>I135*F135</f>
        <v>324008.20584000001</v>
      </c>
      <c r="L135" s="450">
        <f>K135-J135</f>
        <v>-1909.7812799999956</v>
      </c>
      <c r="M135" s="16">
        <f>G135/C135</f>
        <v>-5.8596989287885981E-3</v>
      </c>
    </row>
    <row r="136" spans="1:13" x14ac:dyDescent="0.25">
      <c r="A136" s="23" t="s">
        <v>228</v>
      </c>
      <c r="B136" s="19" t="s">
        <v>47</v>
      </c>
      <c r="C136" s="114">
        <v>2913976</v>
      </c>
      <c r="D136" s="685">
        <f>VLOOKUP(A134,'Util Rev and Load Data'!A$70:W$85,7)</f>
        <v>2941004</v>
      </c>
      <c r="E136" s="685">
        <v>0</v>
      </c>
      <c r="F136" s="685">
        <f t="shared" si="56"/>
        <v>2941004</v>
      </c>
      <c r="G136" s="688">
        <f t="shared" si="57"/>
        <v>27028</v>
      </c>
      <c r="H136" s="689">
        <v>1.091E-2</v>
      </c>
      <c r="I136" s="689">
        <v>1.0240000000000001E-2</v>
      </c>
      <c r="J136" s="687">
        <f t="shared" ref="J136:J142" si="58">C136*I136</f>
        <v>29839.114240000003</v>
      </c>
      <c r="K136" s="2">
        <f t="shared" ref="K136:K142" si="59">I136*F136</f>
        <v>30115.880960000002</v>
      </c>
      <c r="L136" s="450">
        <f t="shared" ref="L136:L142" si="60">K136-J136</f>
        <v>276.76671999999962</v>
      </c>
      <c r="M136" s="16">
        <f t="shared" ref="M136:M142" si="61">G136/C136</f>
        <v>9.2752994533928899E-3</v>
      </c>
    </row>
    <row r="137" spans="1:13" x14ac:dyDescent="0.25">
      <c r="A137" s="23" t="s">
        <v>229</v>
      </c>
      <c r="B137" s="19" t="s">
        <v>47</v>
      </c>
      <c r="C137" s="114">
        <v>23017378</v>
      </c>
      <c r="D137" s="685">
        <f>VLOOKUP(A134,'Util Rev and Load Data'!A$70:W$85,11)</f>
        <v>22233586</v>
      </c>
      <c r="E137" s="685">
        <v>0</v>
      </c>
      <c r="F137" s="685">
        <f t="shared" si="56"/>
        <v>22233586</v>
      </c>
      <c r="G137" s="688">
        <f t="shared" si="57"/>
        <v>-783792</v>
      </c>
      <c r="H137" s="689">
        <v>7.0699999999999999E-3</v>
      </c>
      <c r="I137" s="689">
        <v>6.62E-3</v>
      </c>
      <c r="J137" s="687">
        <f t="shared" si="58"/>
        <v>152375.04235999999</v>
      </c>
      <c r="K137" s="2">
        <f t="shared" si="59"/>
        <v>147186.33932</v>
      </c>
      <c r="L137" s="450">
        <f t="shared" si="60"/>
        <v>-5188.7030399999931</v>
      </c>
      <c r="M137" s="16">
        <f t="shared" si="61"/>
        <v>-3.4052184397371413E-2</v>
      </c>
    </row>
    <row r="138" spans="1:13" x14ac:dyDescent="0.25">
      <c r="A138" s="23" t="s">
        <v>230</v>
      </c>
      <c r="B138" s="19" t="s">
        <v>271</v>
      </c>
      <c r="C138" s="114">
        <v>87583.9</v>
      </c>
      <c r="D138" s="685">
        <f>VLOOKUP(A134,'Util Rev and Load Data'!A$70:W$85,12)</f>
        <v>87995</v>
      </c>
      <c r="E138" s="685">
        <v>0</v>
      </c>
      <c r="F138" s="685">
        <f t="shared" si="56"/>
        <v>87995</v>
      </c>
      <c r="G138" s="688">
        <f t="shared" si="57"/>
        <v>411.10000000000582</v>
      </c>
      <c r="H138" s="689">
        <v>1.1383000000000001</v>
      </c>
      <c r="I138" s="689">
        <v>1.13825</v>
      </c>
      <c r="J138" s="687">
        <f t="shared" si="58"/>
        <v>99692.37417499999</v>
      </c>
      <c r="K138" s="2">
        <f t="shared" si="59"/>
        <v>100160.30875</v>
      </c>
      <c r="L138" s="450">
        <f t="shared" si="60"/>
        <v>467.93457500000659</v>
      </c>
      <c r="M138" s="16">
        <f t="shared" si="61"/>
        <v>4.6937850449683769E-3</v>
      </c>
    </row>
    <row r="139" spans="1:13" x14ac:dyDescent="0.25">
      <c r="A139" s="23" t="s">
        <v>231</v>
      </c>
      <c r="B139" s="19" t="s">
        <v>47</v>
      </c>
      <c r="C139" s="114">
        <v>0</v>
      </c>
      <c r="D139" s="685">
        <f>VLOOKUP(A134,'Util Rev and Load Data'!A$70:W$85,19)</f>
        <v>0</v>
      </c>
      <c r="E139" s="685">
        <v>0</v>
      </c>
      <c r="F139" s="685">
        <f t="shared" si="56"/>
        <v>0</v>
      </c>
      <c r="G139" s="688">
        <f t="shared" si="57"/>
        <v>0</v>
      </c>
      <c r="H139" s="689">
        <v>7.7000000000000002E-3</v>
      </c>
      <c r="I139" s="689">
        <v>7.5700000000000003E-3</v>
      </c>
      <c r="J139" s="687">
        <f t="shared" si="58"/>
        <v>0</v>
      </c>
      <c r="K139" s="2">
        <f t="shared" si="59"/>
        <v>0</v>
      </c>
      <c r="L139" s="450">
        <f t="shared" si="60"/>
        <v>0</v>
      </c>
      <c r="M139" s="16" t="e">
        <f t="shared" si="61"/>
        <v>#DIV/0!</v>
      </c>
    </row>
    <row r="140" spans="1:13" x14ac:dyDescent="0.25">
      <c r="A140" s="23" t="s">
        <v>232</v>
      </c>
      <c r="B140" s="19" t="s">
        <v>47</v>
      </c>
      <c r="C140" s="114">
        <v>0</v>
      </c>
      <c r="D140" s="685">
        <f>VLOOKUP(A134,'Util Rev and Load Data'!A$70:W$85,22)</f>
        <v>0</v>
      </c>
      <c r="E140" s="685">
        <v>0</v>
      </c>
      <c r="F140" s="685">
        <f t="shared" si="56"/>
        <v>0</v>
      </c>
      <c r="G140" s="688">
        <f t="shared" si="57"/>
        <v>0</v>
      </c>
      <c r="H140" s="689">
        <v>5.2199999999999998E-3</v>
      </c>
      <c r="I140" s="689">
        <v>5.2100000000000002E-3</v>
      </c>
      <c r="J140" s="687">
        <f t="shared" si="58"/>
        <v>0</v>
      </c>
      <c r="K140" s="2">
        <f t="shared" si="59"/>
        <v>0</v>
      </c>
      <c r="L140" s="450">
        <f t="shared" si="60"/>
        <v>0</v>
      </c>
      <c r="M140" s="16" t="e">
        <f t="shared" si="61"/>
        <v>#DIV/0!</v>
      </c>
    </row>
    <row r="141" spans="1:13" x14ac:dyDescent="0.25">
      <c r="A141" s="23" t="s">
        <v>233</v>
      </c>
      <c r="B141" s="19" t="s">
        <v>271</v>
      </c>
      <c r="C141" s="114">
        <v>0</v>
      </c>
      <c r="D141" s="685">
        <f>VLOOKUP(A134,'Util Rev and Load Data'!A$70:W$85,23)</f>
        <v>0</v>
      </c>
      <c r="E141" s="685">
        <v>0</v>
      </c>
      <c r="F141" s="685">
        <f t="shared" si="56"/>
        <v>0</v>
      </c>
      <c r="G141" s="688">
        <f t="shared" si="57"/>
        <v>0</v>
      </c>
      <c r="H141" s="689">
        <v>1.2132000000000001</v>
      </c>
      <c r="I141" s="689">
        <v>1.21316</v>
      </c>
      <c r="J141" s="687">
        <f t="shared" si="58"/>
        <v>0</v>
      </c>
      <c r="K141" s="2">
        <f t="shared" si="59"/>
        <v>0</v>
      </c>
      <c r="L141" s="450">
        <f t="shared" si="60"/>
        <v>0</v>
      </c>
      <c r="M141" s="16" t="e">
        <f t="shared" si="61"/>
        <v>#DIV/0!</v>
      </c>
    </row>
    <row r="142" spans="1:13" x14ac:dyDescent="0.25">
      <c r="A142" s="448" t="s">
        <v>234</v>
      </c>
      <c r="B142" s="19" t="s">
        <v>47</v>
      </c>
      <c r="C142" s="114">
        <v>211062</v>
      </c>
      <c r="D142" s="685">
        <f>VLOOKUP(A134,'Util Rev and Load Data'!A$70:W$85,8)</f>
        <v>126928</v>
      </c>
      <c r="E142" s="685">
        <v>0</v>
      </c>
      <c r="F142" s="685">
        <f t="shared" si="56"/>
        <v>126928</v>
      </c>
      <c r="G142" s="688">
        <f t="shared" si="57"/>
        <v>-84134</v>
      </c>
      <c r="H142" s="689">
        <v>1.091E-2</v>
      </c>
      <c r="I142" s="689">
        <v>1.0240000000000001E-2</v>
      </c>
      <c r="J142" s="690">
        <f t="shared" si="58"/>
        <v>2161.2748800000004</v>
      </c>
      <c r="K142" s="281">
        <f t="shared" si="59"/>
        <v>1299.7427200000002</v>
      </c>
      <c r="L142" s="450">
        <f t="shared" si="60"/>
        <v>-861.5321600000002</v>
      </c>
      <c r="M142" s="16">
        <f t="shared" si="61"/>
        <v>-0.39862220579734864</v>
      </c>
    </row>
    <row r="143" spans="1:13" x14ac:dyDescent="0.25">
      <c r="C143" s="114"/>
      <c r="D143" s="685"/>
      <c r="E143" s="685"/>
      <c r="F143" s="685"/>
      <c r="G143" s="688"/>
      <c r="H143" s="686"/>
      <c r="I143" s="686"/>
      <c r="J143" s="691">
        <f>SUM(J135:J142)</f>
        <v>609985.7927750001</v>
      </c>
      <c r="K143" s="265">
        <f>SUM(K135:K142)</f>
        <v>602770.47758999991</v>
      </c>
      <c r="L143" s="692">
        <f>SUM(L135:L142)</f>
        <v>-7215.3151849999831</v>
      </c>
      <c r="M143" s="16">
        <f>L143/J143</f>
        <v>-1.1828661044998192E-2</v>
      </c>
    </row>
    <row r="144" spans="1:13" x14ac:dyDescent="0.25">
      <c r="A144" s="60" t="s">
        <v>258</v>
      </c>
      <c r="B144" s="59"/>
      <c r="C144" s="399"/>
      <c r="D144" s="693"/>
      <c r="E144" s="59"/>
      <c r="F144" s="685"/>
      <c r="G144" s="688"/>
      <c r="H144" s="686"/>
      <c r="I144" s="686"/>
      <c r="J144" s="687"/>
      <c r="L144" s="450"/>
    </row>
    <row r="145" spans="1:13" x14ac:dyDescent="0.25">
      <c r="A145" s="23" t="s">
        <v>227</v>
      </c>
      <c r="B145" s="19" t="s">
        <v>47</v>
      </c>
      <c r="C145" s="114">
        <v>233193020</v>
      </c>
      <c r="D145" s="685">
        <f>VLOOKUP(A144,'Util Rev and Load Data'!A$70:W$85,3)</f>
        <v>27513609</v>
      </c>
      <c r="E145" s="384">
        <v>8686781</v>
      </c>
      <c r="F145" s="685">
        <f t="shared" si="56"/>
        <v>18826828</v>
      </c>
      <c r="G145" s="688">
        <f t="shared" si="57"/>
        <v>-214366192</v>
      </c>
      <c r="H145" s="689">
        <v>1.371E-2</v>
      </c>
      <c r="I145" s="689">
        <v>1.188E-2</v>
      </c>
      <c r="J145" s="687">
        <f>C145*I145</f>
        <v>2770333.0776</v>
      </c>
      <c r="K145" s="2">
        <f>I145*F145</f>
        <v>223662.71664</v>
      </c>
      <c r="L145" s="450">
        <f>K145-J145</f>
        <v>-2546670.3609600002</v>
      </c>
      <c r="M145" s="16">
        <f>G145/C145</f>
        <v>-0.91926504489714145</v>
      </c>
    </row>
    <row r="146" spans="1:13" x14ac:dyDescent="0.25">
      <c r="A146" s="23" t="s">
        <v>228</v>
      </c>
      <c r="B146" s="19" t="s">
        <v>47</v>
      </c>
      <c r="C146" s="114">
        <v>63750513</v>
      </c>
      <c r="D146" s="685">
        <f>VLOOKUP(A144,'Util Rev and Load Data'!A$70:W$85,7)</f>
        <v>2941004</v>
      </c>
      <c r="E146" s="384">
        <v>281684</v>
      </c>
      <c r="F146" s="685">
        <f t="shared" si="56"/>
        <v>2659320</v>
      </c>
      <c r="G146" s="688">
        <f t="shared" si="57"/>
        <v>-61091193</v>
      </c>
      <c r="H146" s="689">
        <v>1.091E-2</v>
      </c>
      <c r="I146" s="689">
        <v>1.0240000000000001E-2</v>
      </c>
      <c r="J146" s="687">
        <f t="shared" ref="J146:J152" si="62">C146*I146</f>
        <v>652805.25312000001</v>
      </c>
      <c r="K146" s="2">
        <f t="shared" ref="K146:K152" si="63">I146*F146</f>
        <v>27231.436800000003</v>
      </c>
      <c r="L146" s="450">
        <f t="shared" ref="L146:L152" si="64">K146-J146</f>
        <v>-625573.81631999998</v>
      </c>
      <c r="M146" s="16">
        <f t="shared" ref="M146:M152" si="65">G146/C146</f>
        <v>-0.95828551214952573</v>
      </c>
    </row>
    <row r="147" spans="1:13" x14ac:dyDescent="0.25">
      <c r="A147" s="23" t="s">
        <v>229</v>
      </c>
      <c r="B147" s="19" t="s">
        <v>47</v>
      </c>
      <c r="C147" s="114">
        <v>66428473</v>
      </c>
      <c r="D147" s="685">
        <f>VLOOKUP(A144,'Util Rev and Load Data'!A$70:W$85,11)</f>
        <v>22233586</v>
      </c>
      <c r="E147" s="384">
        <v>263920</v>
      </c>
      <c r="F147" s="685">
        <f t="shared" si="56"/>
        <v>21969666</v>
      </c>
      <c r="G147" s="688">
        <f t="shared" si="57"/>
        <v>-44458807</v>
      </c>
      <c r="H147" s="689">
        <v>7.0699999999999999E-3</v>
      </c>
      <c r="I147" s="689">
        <v>6.62E-3</v>
      </c>
      <c r="J147" s="687">
        <f t="shared" si="62"/>
        <v>439756.49125999998</v>
      </c>
      <c r="K147" s="2">
        <f t="shared" si="63"/>
        <v>145439.18891999999</v>
      </c>
      <c r="L147" s="450">
        <f t="shared" si="64"/>
        <v>-294317.30233999999</v>
      </c>
      <c r="M147" s="16">
        <f t="shared" si="65"/>
        <v>-0.66927335511686381</v>
      </c>
    </row>
    <row r="148" spans="1:13" x14ac:dyDescent="0.25">
      <c r="A148" s="23" t="s">
        <v>230</v>
      </c>
      <c r="B148" s="19" t="s">
        <v>271</v>
      </c>
      <c r="C148" s="114">
        <v>22442</v>
      </c>
      <c r="D148" s="685">
        <f>VLOOKUP(A144,'Util Rev and Load Data'!A$70:W$85,12)</f>
        <v>87995</v>
      </c>
      <c r="E148" s="384">
        <v>0</v>
      </c>
      <c r="F148" s="685">
        <f t="shared" si="56"/>
        <v>87995</v>
      </c>
      <c r="G148" s="688">
        <f t="shared" si="57"/>
        <v>65553</v>
      </c>
      <c r="H148" s="689">
        <v>1.1383000000000001</v>
      </c>
      <c r="I148" s="689">
        <v>1.13825</v>
      </c>
      <c r="J148" s="687">
        <f t="shared" si="62"/>
        <v>25544.606499999998</v>
      </c>
      <c r="K148" s="2">
        <f t="shared" si="63"/>
        <v>100160.30875</v>
      </c>
      <c r="L148" s="450">
        <f t="shared" si="64"/>
        <v>74615.702250000002</v>
      </c>
      <c r="M148" s="16">
        <f t="shared" si="65"/>
        <v>2.9209963461367079</v>
      </c>
    </row>
    <row r="149" spans="1:13" x14ac:dyDescent="0.25">
      <c r="A149" s="23" t="s">
        <v>231</v>
      </c>
      <c r="B149" s="19" t="s">
        <v>47</v>
      </c>
      <c r="C149" s="114">
        <v>5262254</v>
      </c>
      <c r="D149" s="685">
        <f>VLOOKUP(A144,'Util Rev and Load Data'!A$70:W$85,19)</f>
        <v>0</v>
      </c>
      <c r="E149" s="384">
        <v>0</v>
      </c>
      <c r="F149" s="685">
        <f t="shared" si="56"/>
        <v>0</v>
      </c>
      <c r="G149" s="688">
        <f t="shared" si="57"/>
        <v>-5262254</v>
      </c>
      <c r="H149" s="689">
        <v>7.7000000000000002E-3</v>
      </c>
      <c r="I149" s="689">
        <v>7.5700000000000003E-3</v>
      </c>
      <c r="J149" s="687">
        <f t="shared" si="62"/>
        <v>39835.262780000005</v>
      </c>
      <c r="K149" s="2">
        <f t="shared" si="63"/>
        <v>0</v>
      </c>
      <c r="L149" s="450">
        <f t="shared" si="64"/>
        <v>-39835.262780000005</v>
      </c>
      <c r="M149" s="16">
        <f t="shared" si="65"/>
        <v>-1</v>
      </c>
    </row>
    <row r="150" spans="1:13" x14ac:dyDescent="0.25">
      <c r="A150" s="23" t="s">
        <v>232</v>
      </c>
      <c r="B150" s="19" t="s">
        <v>47</v>
      </c>
      <c r="C150" s="114">
        <v>82386422</v>
      </c>
      <c r="D150" s="685">
        <f>VLOOKUP(A144,'Util Rev and Load Data'!A$70:W$85,22)</f>
        <v>0</v>
      </c>
      <c r="E150" s="384">
        <v>0</v>
      </c>
      <c r="F150" s="685">
        <f t="shared" si="56"/>
        <v>0</v>
      </c>
      <c r="G150" s="688">
        <f t="shared" si="57"/>
        <v>-82386422</v>
      </c>
      <c r="H150" s="689">
        <v>5.2199999999999998E-3</v>
      </c>
      <c r="I150" s="689">
        <v>5.2100000000000002E-3</v>
      </c>
      <c r="J150" s="687">
        <f t="shared" si="62"/>
        <v>429233.25862000004</v>
      </c>
      <c r="K150" s="2">
        <f t="shared" si="63"/>
        <v>0</v>
      </c>
      <c r="L150" s="450">
        <f t="shared" si="64"/>
        <v>-429233.25862000004</v>
      </c>
      <c r="M150" s="16">
        <f t="shared" si="65"/>
        <v>-1</v>
      </c>
    </row>
    <row r="151" spans="1:13" x14ac:dyDescent="0.25">
      <c r="A151" s="23" t="s">
        <v>233</v>
      </c>
      <c r="B151" s="19" t="s">
        <v>271</v>
      </c>
      <c r="C151" s="114">
        <v>336012</v>
      </c>
      <c r="D151" s="685">
        <f>VLOOKUP(A144,'Util Rev and Load Data'!A$70:W$85,23)</f>
        <v>0</v>
      </c>
      <c r="E151" s="685">
        <v>0</v>
      </c>
      <c r="F151" s="685">
        <f t="shared" si="56"/>
        <v>0</v>
      </c>
      <c r="G151" s="688">
        <f t="shared" si="57"/>
        <v>-336012</v>
      </c>
      <c r="H151" s="689">
        <v>1.2132000000000001</v>
      </c>
      <c r="I151" s="689">
        <v>1.21316</v>
      </c>
      <c r="J151" s="687">
        <f t="shared" si="62"/>
        <v>407636.31792</v>
      </c>
      <c r="K151" s="2">
        <f t="shared" si="63"/>
        <v>0</v>
      </c>
      <c r="L151" s="450">
        <f t="shared" si="64"/>
        <v>-407636.31792</v>
      </c>
      <c r="M151" s="16">
        <f t="shared" si="65"/>
        <v>-1</v>
      </c>
    </row>
    <row r="152" spans="1:13" x14ac:dyDescent="0.25">
      <c r="A152" s="448" t="s">
        <v>234</v>
      </c>
      <c r="B152" s="19" t="s">
        <v>47</v>
      </c>
      <c r="C152" s="114">
        <v>1491744</v>
      </c>
      <c r="D152" s="685">
        <f>VLOOKUP(A144,'Util Rev and Load Data'!A$70:W$85,8)</f>
        <v>126928</v>
      </c>
      <c r="E152" s="685">
        <v>0</v>
      </c>
      <c r="F152" s="685">
        <f t="shared" si="56"/>
        <v>126928</v>
      </c>
      <c r="G152" s="688">
        <f t="shared" si="57"/>
        <v>-1364816</v>
      </c>
      <c r="H152" s="689">
        <v>1.091E-2</v>
      </c>
      <c r="I152" s="689">
        <v>1.0240000000000001E-2</v>
      </c>
      <c r="J152" s="690">
        <f t="shared" si="62"/>
        <v>15275.458560000001</v>
      </c>
      <c r="K152" s="281">
        <f t="shared" si="63"/>
        <v>1299.7427200000002</v>
      </c>
      <c r="L152" s="450">
        <f t="shared" si="64"/>
        <v>-13975.715840000001</v>
      </c>
      <c r="M152" s="16">
        <f t="shared" si="65"/>
        <v>-0.91491301456550189</v>
      </c>
    </row>
    <row r="153" spans="1:13" x14ac:dyDescent="0.25">
      <c r="C153" s="114"/>
      <c r="D153" s="685"/>
      <c r="E153" s="685"/>
      <c r="F153" s="685"/>
      <c r="G153" s="688"/>
      <c r="H153" s="686"/>
      <c r="I153" s="686"/>
      <c r="J153" s="691">
        <f>SUM(J145:J152)</f>
        <v>4780419.7263600007</v>
      </c>
      <c r="K153" s="265">
        <f>SUM(K145:K152)</f>
        <v>497793.39382999996</v>
      </c>
      <c r="L153" s="692">
        <f>SUM(L145:L152)</f>
        <v>-4282626.3325300002</v>
      </c>
      <c r="M153" s="16">
        <f>L153/J153</f>
        <v>-0.89586826631873184</v>
      </c>
    </row>
    <row r="154" spans="1:13" x14ac:dyDescent="0.25">
      <c r="A154" s="60" t="s">
        <v>106</v>
      </c>
      <c r="B154" s="59"/>
      <c r="C154" s="399"/>
      <c r="D154" s="693"/>
      <c r="E154" s="59"/>
      <c r="F154" s="685"/>
      <c r="G154" s="688"/>
      <c r="H154" s="686"/>
      <c r="I154" s="686"/>
      <c r="J154" s="687"/>
      <c r="L154" s="450"/>
    </row>
    <row r="155" spans="1:13" x14ac:dyDescent="0.25">
      <c r="A155" s="1" t="s">
        <v>227</v>
      </c>
      <c r="B155" s="19" t="s">
        <v>47</v>
      </c>
      <c r="C155" s="114">
        <v>64228602.140000001</v>
      </c>
      <c r="D155" s="685">
        <f>VLOOKUP(A154,'Util Rev and Load Data'!A$70:W$85,3)</f>
        <v>66279783</v>
      </c>
      <c r="E155" s="685">
        <v>10463448</v>
      </c>
      <c r="F155" s="685">
        <f t="shared" si="56"/>
        <v>55816335</v>
      </c>
      <c r="G155" s="688">
        <f t="shared" si="57"/>
        <v>-8412267.1400000006</v>
      </c>
      <c r="H155" s="689">
        <v>1.371E-2</v>
      </c>
      <c r="I155" s="689">
        <v>1.188E-2</v>
      </c>
      <c r="J155" s="687">
        <f>C155*I155</f>
        <v>763035.79342320003</v>
      </c>
      <c r="K155" s="2">
        <f>I155*F155</f>
        <v>663098.05980000005</v>
      </c>
      <c r="L155" s="450">
        <f>K155-J155</f>
        <v>-99937.73362319998</v>
      </c>
      <c r="M155" s="16">
        <f>G155/C155</f>
        <v>-0.13097384747162427</v>
      </c>
    </row>
    <row r="156" spans="1:13" x14ac:dyDescent="0.25">
      <c r="A156" s="1" t="s">
        <v>228</v>
      </c>
      <c r="B156" s="19" t="s">
        <v>47</v>
      </c>
      <c r="C156" s="114">
        <v>5039389.4000000004</v>
      </c>
      <c r="D156" s="685">
        <f>VLOOKUP(A154,'Util Rev and Load Data'!A$70:W$85,7)</f>
        <v>5290618</v>
      </c>
      <c r="E156" s="685">
        <v>0</v>
      </c>
      <c r="F156" s="685">
        <f t="shared" si="56"/>
        <v>5290618</v>
      </c>
      <c r="G156" s="688">
        <f t="shared" si="57"/>
        <v>251228.59999999963</v>
      </c>
      <c r="H156" s="689">
        <v>1.091E-2</v>
      </c>
      <c r="I156" s="689">
        <v>1.0240000000000001E-2</v>
      </c>
      <c r="J156" s="687">
        <f t="shared" ref="J156:J162" si="66">C156*I156</f>
        <v>51603.34745600001</v>
      </c>
      <c r="K156" s="2">
        <f t="shared" ref="K156:K162" si="67">I156*F156</f>
        <v>54175.928320000006</v>
      </c>
      <c r="L156" s="450">
        <f t="shared" ref="L156:L162" si="68">K156-J156</f>
        <v>2572.5808639999959</v>
      </c>
      <c r="M156" s="16">
        <f t="shared" ref="M156:M162" si="69">G156/C156</f>
        <v>4.9852984173042791E-2</v>
      </c>
    </row>
    <row r="157" spans="1:13" x14ac:dyDescent="0.25">
      <c r="A157" s="1" t="s">
        <v>229</v>
      </c>
      <c r="B157" s="19" t="s">
        <v>47</v>
      </c>
      <c r="C157" s="114">
        <v>3604446.3300000005</v>
      </c>
      <c r="D157" s="685">
        <f>VLOOKUP(A154,'Util Rev and Load Data'!A$70:W$85,11)</f>
        <v>4228042</v>
      </c>
      <c r="E157" s="685">
        <v>0</v>
      </c>
      <c r="F157" s="685">
        <f t="shared" si="56"/>
        <v>4228042</v>
      </c>
      <c r="G157" s="688">
        <f t="shared" si="57"/>
        <v>623595.66999999946</v>
      </c>
      <c r="H157" s="689">
        <v>7.0699999999999999E-3</v>
      </c>
      <c r="I157" s="689">
        <v>6.62E-3</v>
      </c>
      <c r="J157" s="687">
        <f t="shared" si="66"/>
        <v>23861.434704600004</v>
      </c>
      <c r="K157" s="2">
        <f t="shared" si="67"/>
        <v>27989.638040000002</v>
      </c>
      <c r="L157" s="450">
        <f t="shared" si="68"/>
        <v>4128.2033353999977</v>
      </c>
      <c r="M157" s="16">
        <f t="shared" si="69"/>
        <v>0.17300733952112954</v>
      </c>
    </row>
    <row r="158" spans="1:13" x14ac:dyDescent="0.25">
      <c r="A158" s="1" t="s">
        <v>230</v>
      </c>
      <c r="B158" s="19" t="s">
        <v>271</v>
      </c>
      <c r="C158" s="114">
        <v>11060.311</v>
      </c>
      <c r="D158" s="685">
        <f>VLOOKUP(A154,'Util Rev and Load Data'!A$70:W$85,12)</f>
        <v>13301</v>
      </c>
      <c r="E158" s="685">
        <v>0</v>
      </c>
      <c r="F158" s="685">
        <f t="shared" si="56"/>
        <v>13301</v>
      </c>
      <c r="G158" s="688">
        <f t="shared" si="57"/>
        <v>2240.6890000000003</v>
      </c>
      <c r="H158" s="689">
        <v>1.1383000000000001</v>
      </c>
      <c r="I158" s="689">
        <v>1.13825</v>
      </c>
      <c r="J158" s="687">
        <f t="shared" si="66"/>
        <v>12589.39899575</v>
      </c>
      <c r="K158" s="2">
        <f t="shared" si="67"/>
        <v>15139.86325</v>
      </c>
      <c r="L158" s="450">
        <f t="shared" si="68"/>
        <v>2550.4642542500005</v>
      </c>
      <c r="M158" s="16">
        <f t="shared" si="69"/>
        <v>0.20258824548423643</v>
      </c>
    </row>
    <row r="159" spans="1:13" x14ac:dyDescent="0.25">
      <c r="A159" s="1" t="s">
        <v>231</v>
      </c>
      <c r="B159" s="19" t="s">
        <v>47</v>
      </c>
      <c r="C159" s="114">
        <v>0</v>
      </c>
      <c r="D159" s="685">
        <f>VLOOKUP(A154,'Util Rev and Load Data'!A$70:W$85,19)</f>
        <v>0</v>
      </c>
      <c r="E159" s="685">
        <v>0</v>
      </c>
      <c r="F159" s="685">
        <f t="shared" si="56"/>
        <v>0</v>
      </c>
      <c r="G159" s="688">
        <f t="shared" si="57"/>
        <v>0</v>
      </c>
      <c r="H159" s="689">
        <v>7.7000000000000002E-3</v>
      </c>
      <c r="I159" s="689">
        <v>7.5700000000000003E-3</v>
      </c>
      <c r="J159" s="687">
        <f t="shared" si="66"/>
        <v>0</v>
      </c>
      <c r="K159" s="2">
        <f t="shared" si="67"/>
        <v>0</v>
      </c>
      <c r="L159" s="450">
        <f t="shared" si="68"/>
        <v>0</v>
      </c>
      <c r="M159" s="16" t="e">
        <f t="shared" si="69"/>
        <v>#DIV/0!</v>
      </c>
    </row>
    <row r="160" spans="1:13" x14ac:dyDescent="0.25">
      <c r="A160" s="1" t="s">
        <v>232</v>
      </c>
      <c r="B160" s="19" t="s">
        <v>47</v>
      </c>
      <c r="C160" s="114">
        <v>0</v>
      </c>
      <c r="D160" s="685">
        <f>VLOOKUP(A154,'Util Rev and Load Data'!A$70:W$85,22)</f>
        <v>0</v>
      </c>
      <c r="E160" s="685">
        <v>0</v>
      </c>
      <c r="F160" s="685">
        <f t="shared" si="56"/>
        <v>0</v>
      </c>
      <c r="G160" s="688">
        <f t="shared" si="57"/>
        <v>0</v>
      </c>
      <c r="H160" s="689">
        <v>5.2199999999999998E-3</v>
      </c>
      <c r="I160" s="689">
        <v>5.2100000000000002E-3</v>
      </c>
      <c r="J160" s="687">
        <f t="shared" si="66"/>
        <v>0</v>
      </c>
      <c r="K160" s="2">
        <f t="shared" si="67"/>
        <v>0</v>
      </c>
      <c r="L160" s="450">
        <f t="shared" si="68"/>
        <v>0</v>
      </c>
      <c r="M160" s="16" t="e">
        <f t="shared" si="69"/>
        <v>#DIV/0!</v>
      </c>
    </row>
    <row r="161" spans="1:13" x14ac:dyDescent="0.25">
      <c r="A161" s="1" t="s">
        <v>233</v>
      </c>
      <c r="B161" s="19" t="s">
        <v>271</v>
      </c>
      <c r="C161" s="114">
        <v>0</v>
      </c>
      <c r="D161" s="685">
        <f>VLOOKUP(A154,'Util Rev and Load Data'!A$70:W$85,23)</f>
        <v>0</v>
      </c>
      <c r="E161" s="685">
        <v>0</v>
      </c>
      <c r="F161" s="685">
        <f t="shared" si="56"/>
        <v>0</v>
      </c>
      <c r="G161" s="688">
        <f t="shared" si="57"/>
        <v>0</v>
      </c>
      <c r="H161" s="689">
        <v>1.2132000000000001</v>
      </c>
      <c r="I161" s="689">
        <v>1.21316</v>
      </c>
      <c r="J161" s="687">
        <f t="shared" si="66"/>
        <v>0</v>
      </c>
      <c r="K161" s="2">
        <f t="shared" si="67"/>
        <v>0</v>
      </c>
      <c r="L161" s="450">
        <f t="shared" si="68"/>
        <v>0</v>
      </c>
      <c r="M161" s="16" t="e">
        <f t="shared" si="69"/>
        <v>#DIV/0!</v>
      </c>
    </row>
    <row r="162" spans="1:13" x14ac:dyDescent="0.25">
      <c r="A162" s="1" t="s">
        <v>234</v>
      </c>
      <c r="B162" s="19" t="s">
        <v>47</v>
      </c>
      <c r="C162" s="114">
        <v>144834.1</v>
      </c>
      <c r="D162" s="685">
        <f>VLOOKUP(A154,'Util Rev and Load Data'!A$70:W$85,8)</f>
        <v>139900</v>
      </c>
      <c r="E162" s="685">
        <v>0</v>
      </c>
      <c r="F162" s="685">
        <f t="shared" si="56"/>
        <v>139900</v>
      </c>
      <c r="G162" s="688">
        <f t="shared" si="57"/>
        <v>-4934.1000000000058</v>
      </c>
      <c r="H162" s="689">
        <v>1.091E-2</v>
      </c>
      <c r="I162" s="689">
        <v>1.0240000000000001E-2</v>
      </c>
      <c r="J162" s="690">
        <f t="shared" si="66"/>
        <v>1483.1011840000001</v>
      </c>
      <c r="K162" s="281">
        <f t="shared" si="67"/>
        <v>1432.576</v>
      </c>
      <c r="L162" s="450">
        <f t="shared" si="68"/>
        <v>-50.525184000000081</v>
      </c>
      <c r="M162" s="16">
        <f t="shared" si="69"/>
        <v>-3.4067253499003379E-2</v>
      </c>
    </row>
    <row r="163" spans="1:13" x14ac:dyDescent="0.25">
      <c r="C163" s="138"/>
      <c r="D163" s="694"/>
      <c r="E163" s="694"/>
      <c r="F163" s="694"/>
      <c r="G163" s="695"/>
      <c r="H163" s="696"/>
      <c r="I163" s="696"/>
      <c r="J163" s="697">
        <f>SUM(J155:J162)</f>
        <v>852573.07576355012</v>
      </c>
      <c r="K163" s="698">
        <f>SUM(K155:K162)</f>
        <v>761836.06541000016</v>
      </c>
      <c r="L163" s="692">
        <f>SUM(L155:L162)</f>
        <v>-90737.010353549995</v>
      </c>
      <c r="M163" s="16">
        <f>L163/J163</f>
        <v>-0.1064272529041425</v>
      </c>
    </row>
    <row r="165" spans="1:13" x14ac:dyDescent="0.25">
      <c r="D165" s="699" t="s">
        <v>272</v>
      </c>
      <c r="E165" s="236"/>
      <c r="F165" s="236"/>
      <c r="G165" s="700"/>
      <c r="J165" s="701">
        <f>J163+J153+J143+J133+J123+J113+J103+J93+J83+J73+J63+J53+J43+J33+J23+J13</f>
        <v>47042197.053555407</v>
      </c>
      <c r="K165" s="702">
        <f>K163+K153+K143+K133+K123+K113+K103+K93+K83+K73+K63+K53+K43+K33+K23+K13</f>
        <v>43584338.138059281</v>
      </c>
      <c r="L165" s="703">
        <f>L163+L153+L143+L133+L123+L113+L103+L93+L83+L73+L63+L53+L43+L33+L23+L13</f>
        <v>-3457858.9154961347</v>
      </c>
    </row>
    <row r="166" spans="1:13" ht="17.25" x14ac:dyDescent="0.4">
      <c r="D166" s="704" t="s">
        <v>6</v>
      </c>
      <c r="E166" s="705" t="s">
        <v>273</v>
      </c>
      <c r="F166" s="705" t="s">
        <v>274</v>
      </c>
      <c r="G166" s="706" t="s">
        <v>12</v>
      </c>
    </row>
    <row r="167" spans="1:13" x14ac:dyDescent="0.25">
      <c r="D167" s="114" t="s">
        <v>16</v>
      </c>
      <c r="E167" s="22">
        <f>E155+E145+E135+E125+E115+E105+E95+E85+E75+E65+E55+E45+E35+E25+E15+E5</f>
        <v>92196387</v>
      </c>
      <c r="F167" s="685">
        <v>72520499.503170967</v>
      </c>
      <c r="G167" s="688">
        <f>E167-F167</f>
        <v>19675887.496829033</v>
      </c>
      <c r="I167" s="2">
        <f>E167*'EEC Rates Report'!C8</f>
        <v>1002603.1144254929</v>
      </c>
    </row>
    <row r="168" spans="1:13" x14ac:dyDescent="0.25">
      <c r="D168" s="114" t="s">
        <v>76</v>
      </c>
      <c r="E168" s="22">
        <f>E156+E146+E136+E126+E116+E106+E96+E86+E76+E66+E56+E46+E36+E26+E16+E6+E157+E147+E137+E127+E117+E107+E97+E87+E77+E67+E57+E47+E37+E27+E17+E7</f>
        <v>9412337</v>
      </c>
      <c r="F168" s="685">
        <v>4044367.8646934461</v>
      </c>
      <c r="G168" s="688">
        <f>E168-F168</f>
        <v>5367969.1353065539</v>
      </c>
      <c r="I168" s="2">
        <f>E168*'EEC Rates Report'!C9</f>
        <v>91649.110492514446</v>
      </c>
    </row>
    <row r="169" spans="1:13" ht="17.25" x14ac:dyDescent="0.4">
      <c r="D169" s="672" t="s">
        <v>52</v>
      </c>
      <c r="E169" s="673">
        <f>E159+E149+E139+E129+E119+E109+E99+E89+E79+E69+E59+E49+E39+E29+E19+E9+E160+E150+E140+E130+E120+E110+E100+E90+E80+E70+E60+E50+E40+E30+E20+E10</f>
        <v>777911</v>
      </c>
      <c r="F169" s="674">
        <v>0</v>
      </c>
      <c r="G169" s="675">
        <f>E169-F169</f>
        <v>777911</v>
      </c>
      <c r="L169" s="18"/>
    </row>
    <row r="170" spans="1:13" x14ac:dyDescent="0.25">
      <c r="D170" s="676" t="s">
        <v>62</v>
      </c>
      <c r="E170" s="677">
        <f>SUM(E167:E169)</f>
        <v>102386635</v>
      </c>
      <c r="F170" s="677">
        <f>SUM(F167:F169)</f>
        <v>76564867.367864415</v>
      </c>
      <c r="G170" s="678">
        <f>E170-F170</f>
        <v>25821767.632135585</v>
      </c>
      <c r="L170" s="18"/>
    </row>
    <row r="174" spans="1:13" x14ac:dyDescent="0.25">
      <c r="C174" s="18">
        <f>C155+C145+C135+C125+C115+C105+C95+C85+C75+C65+C55+C45+C35+C25+C15+C5</f>
        <v>2072971919.03</v>
      </c>
      <c r="D174" s="18">
        <f>D155+D145+D135+D125+D115+D105+D95+D85+D75+D65+D55+D45+D35+D25+D15+D5</f>
        <v>1951196184</v>
      </c>
      <c r="E174" s="18">
        <f>E155+E145+E135+E125+E115+E105+E95+E85+E75+E65+E55+E45+E35+E25+E15+E5</f>
        <v>92196387</v>
      </c>
      <c r="F174" s="18">
        <f>F155+F145+F135+F125+F115+F105+F95+F85+F75+F65+F55+F45+F35+F25+F15+F5</f>
        <v>1858999797</v>
      </c>
      <c r="G174" s="1">
        <f>30*1.243*1.093*0.75</f>
        <v>30.568477500000007</v>
      </c>
      <c r="H174" s="16"/>
    </row>
    <row r="175" spans="1:13" x14ac:dyDescent="0.25">
      <c r="C175" s="18">
        <f t="shared" ref="C175" si="70">C156+C146+C136+C126+C116+C106+C96+C86+C76+C66+C56+C46+C36+C26+C16+C6</f>
        <v>313781752.64000005</v>
      </c>
      <c r="D175" s="18">
        <f t="shared" ref="D175:F181" si="71">D156+D146+D136+D126+D116+D106+D96+D86+D76+D66+D56+D46+D36+D26+D16+D6</f>
        <v>360020223</v>
      </c>
      <c r="E175" s="18">
        <f t="shared" ref="E175" si="72">E156+E146+E136+E126+E116+E106+E96+E86+E76+E66+E56+E46+E36+E26+E16+E6</f>
        <v>3720380</v>
      </c>
      <c r="F175" s="18">
        <f t="shared" si="71"/>
        <v>356299843</v>
      </c>
    </row>
    <row r="176" spans="1:13" x14ac:dyDescent="0.25">
      <c r="C176" s="18">
        <f t="shared" ref="C176" si="73">C157+C147+C137+C127+C117+C107+C97+C87+C77+C67+C57+C47+C37+C27+C17+C7</f>
        <v>1362663389.3699999</v>
      </c>
      <c r="D176" s="18">
        <f t="shared" si="71"/>
        <v>1284560123.1200054</v>
      </c>
      <c r="E176" s="18">
        <f t="shared" ref="E176" si="74">E157+E147+E137+E127+E117+E107+E97+E87+E77+E67+E57+E47+E37+E27+E17+E7</f>
        <v>5691957</v>
      </c>
      <c r="F176" s="18">
        <f t="shared" si="71"/>
        <v>1278868166.1200054</v>
      </c>
    </row>
    <row r="177" spans="3:7" x14ac:dyDescent="0.25">
      <c r="C177" s="18">
        <f t="shared" ref="C177" si="75">C158+C148+C138+C128+C118+C108+C98+C88+C78+C68+C58+C48+C38+C28+C18+C8</f>
        <v>4016376.3450000007</v>
      </c>
      <c r="D177" s="18">
        <f t="shared" si="71"/>
        <v>4068257.9160000002</v>
      </c>
      <c r="E177" s="18">
        <f t="shared" ref="E177" si="76">E158+E148+E138+E128+E118+E108+E98+E88+E78+E68+E58+E48+E38+E28+E18+E8</f>
        <v>0</v>
      </c>
      <c r="F177" s="18">
        <f t="shared" si="71"/>
        <v>4068257.9160000002</v>
      </c>
    </row>
    <row r="178" spans="3:7" x14ac:dyDescent="0.25">
      <c r="C178" s="18">
        <f t="shared" ref="C178" si="77">C159+C149+C139+C129+C119+C109+C99+C89+C79+C69+C59+C49+C39+C29+C19+C9</f>
        <v>5262254</v>
      </c>
      <c r="D178" s="18">
        <f t="shared" si="71"/>
        <v>0</v>
      </c>
      <c r="E178" s="18">
        <f t="shared" ref="E178" si="78">E159+E149+E139+E129+E119+E109+E99+E89+E79+E69+E59+E49+E39+E29+E19+E9</f>
        <v>0</v>
      </c>
      <c r="F178" s="18">
        <f t="shared" si="71"/>
        <v>0</v>
      </c>
      <c r="G178" s="1">
        <f>30*1.5*2080</f>
        <v>93600</v>
      </c>
    </row>
    <row r="179" spans="3:7" x14ac:dyDescent="0.25">
      <c r="C179" s="18">
        <f t="shared" ref="C179" si="79">C160+C150+C140+C130+C120+C110+C100+C90+C80+C70+C60+C50+C40+C30+C20+C10</f>
        <v>683177640.44000006</v>
      </c>
      <c r="D179" s="18">
        <f t="shared" si="71"/>
        <v>611922525</v>
      </c>
      <c r="E179" s="18">
        <f t="shared" ref="E179" si="80">E160+E150+E140+E130+E120+E110+E100+E90+E80+E70+E60+E50+E40+E30+E20+E10</f>
        <v>777911</v>
      </c>
      <c r="F179" s="18">
        <f t="shared" si="71"/>
        <v>611144614</v>
      </c>
    </row>
    <row r="180" spans="3:7" x14ac:dyDescent="0.25">
      <c r="C180" s="18">
        <f t="shared" ref="C180" si="81">C161+C151+C141+C131+C121+C111+C101+C91+C81+C71+C61+C51+C41+C31+C21+C11</f>
        <v>1552366.696</v>
      </c>
      <c r="D180" s="18">
        <f t="shared" si="71"/>
        <v>1203210.4739999999</v>
      </c>
      <c r="E180" s="18">
        <f t="shared" ref="E180" si="82">E161+E151+E141+E131+E121+E111+E101+E91+E81+E71+E61+E51+E41+E31+E21+E11</f>
        <v>0</v>
      </c>
      <c r="F180" s="18">
        <f t="shared" si="71"/>
        <v>1203210.4739999999</v>
      </c>
    </row>
    <row r="181" spans="3:7" x14ac:dyDescent="0.25">
      <c r="C181" s="18">
        <f t="shared" ref="C181" si="83">C162+C152+C142+C132+C122+C112+C102+C92+C82+C72+C62+C52+C42+C32+C22+C12</f>
        <v>12425150.949999999</v>
      </c>
      <c r="D181" s="18">
        <f t="shared" si="71"/>
        <v>10777155</v>
      </c>
      <c r="E181" s="18">
        <f t="shared" ref="E181" si="84">E162+E152+E142+E132+E122+E112+E102+E92+E82+E72+E62+E52+E42+E32+E22+E12</f>
        <v>0</v>
      </c>
      <c r="F181" s="18">
        <f t="shared" si="71"/>
        <v>10777155</v>
      </c>
    </row>
    <row r="183" spans="3:7" ht="17.25" x14ac:dyDescent="0.4">
      <c r="C183" s="22"/>
      <c r="D183" s="732" t="s">
        <v>275</v>
      </c>
      <c r="E183" s="733" t="s">
        <v>276</v>
      </c>
      <c r="F183" s="733" t="s">
        <v>277</v>
      </c>
    </row>
    <row r="184" spans="3:7" x14ac:dyDescent="0.25">
      <c r="D184" s="18">
        <f>D174</f>
        <v>1951196184</v>
      </c>
      <c r="E184" s="1" t="s">
        <v>16</v>
      </c>
      <c r="F184" s="18">
        <f>F174</f>
        <v>1858999797</v>
      </c>
      <c r="G184" s="766">
        <f>E167/F184</f>
        <v>4.9594619186502258E-2</v>
      </c>
    </row>
    <row r="185" spans="3:7" x14ac:dyDescent="0.25">
      <c r="D185" s="22">
        <f>D175+D176+D181</f>
        <v>1655357501.1200054</v>
      </c>
      <c r="E185" s="1" t="s">
        <v>76</v>
      </c>
      <c r="F185" s="22">
        <f>F175+F176+F181</f>
        <v>1645945164.1200054</v>
      </c>
      <c r="G185" s="766">
        <f>E168/F185</f>
        <v>5.718499744207608E-3</v>
      </c>
    </row>
    <row r="186" spans="3:7" x14ac:dyDescent="0.25">
      <c r="D186" s="22">
        <f>D178+D179</f>
        <v>611922525</v>
      </c>
      <c r="E186" s="1" t="s">
        <v>52</v>
      </c>
      <c r="F186" s="22">
        <f>F178+F179</f>
        <v>611144614</v>
      </c>
      <c r="G186" s="766">
        <f>E169/F186</f>
        <v>1.272875489990001E-3</v>
      </c>
    </row>
    <row r="189" spans="3:7" x14ac:dyDescent="0.25">
      <c r="C189" s="1" t="s">
        <v>278</v>
      </c>
      <c r="D189" s="18">
        <f>D175+D181</f>
        <v>370797378</v>
      </c>
      <c r="E189" s="18">
        <f>E175+E181</f>
        <v>3720380</v>
      </c>
      <c r="F189" s="18">
        <f>F175+F181</f>
        <v>367076998</v>
      </c>
    </row>
    <row r="190" spans="3:7" x14ac:dyDescent="0.25">
      <c r="F190" s="22"/>
    </row>
  </sheetData>
  <pageMargins left="0.7" right="0.7" top="0.75" bottom="0.75" header="0.3" footer="0.3"/>
  <pageSetup orientation="portrait" horizontalDpi="0" verticalDpi="0"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02C37-E893-4FED-9CAA-C25FDC12AA52}">
  <dimension ref="B4:G32"/>
  <sheetViews>
    <sheetView workbookViewId="0">
      <selection activeCell="F18" sqref="F18"/>
    </sheetView>
  </sheetViews>
  <sheetFormatPr defaultRowHeight="12.75" x14ac:dyDescent="0.2"/>
  <cols>
    <col min="2" max="2" width="18.140625" customWidth="1"/>
    <col min="3" max="3" width="15.28515625" customWidth="1"/>
    <col min="4" max="4" width="13.7109375" customWidth="1"/>
    <col min="5" max="5" width="12.7109375" customWidth="1"/>
    <col min="6" max="6" width="13.7109375" customWidth="1"/>
    <col min="7" max="7" width="10.28515625" customWidth="1"/>
  </cols>
  <sheetData>
    <row r="4" spans="2:7" ht="15" x14ac:dyDescent="0.25">
      <c r="B4" s="794" t="s">
        <v>279</v>
      </c>
      <c r="C4" s="784" t="s">
        <v>280</v>
      </c>
      <c r="D4" s="784" t="s">
        <v>281</v>
      </c>
      <c r="E4" s="785" t="s">
        <v>282</v>
      </c>
      <c r="F4" s="784" t="s">
        <v>283</v>
      </c>
      <c r="G4" s="765" t="s">
        <v>201</v>
      </c>
    </row>
    <row r="5" spans="2:7" ht="15" x14ac:dyDescent="0.25">
      <c r="B5" s="687" t="s">
        <v>284</v>
      </c>
      <c r="C5" s="685">
        <f>'Sales by DU'!E167</f>
        <v>92196387</v>
      </c>
      <c r="D5" s="2">
        <f>C5*'EEC Rates Report'!C8</f>
        <v>1002603.1144254929</v>
      </c>
      <c r="E5" s="2">
        <f>'Fixed Fee'!B59</f>
        <v>46042.028488151416</v>
      </c>
      <c r="F5" s="2">
        <f>SUM(D5:E5)</f>
        <v>1048645.1429136444</v>
      </c>
      <c r="G5" s="786">
        <f>F5/F$9</f>
        <v>0.87622119468688997</v>
      </c>
    </row>
    <row r="6" spans="2:7" ht="15" x14ac:dyDescent="0.25">
      <c r="B6" s="687" t="s">
        <v>278</v>
      </c>
      <c r="C6" s="685">
        <f>'Sales by DU'!E156+'Sales by DU'!E146+'Sales by DU'!E136+'Sales by DU'!E126+'Sales by DU'!E116+'Sales by DU'!E106+'Sales by DU'!E96+'Sales by DU'!E86+'Sales by DU'!E76+'Sales by DU'!E66+'Sales by DU'!E56+'Sales by DU'!E46+'Sales by DU'!E36+'Sales by DU'!E26+'Sales by DU'!E16+'Sales by DU'!E6</f>
        <v>3720380</v>
      </c>
      <c r="D6" s="2">
        <f>C6*'EEC Rates Report'!C9</f>
        <v>36225.808499434403</v>
      </c>
      <c r="E6" s="2">
        <f>'Fixed Fee'!C59</f>
        <v>5694.888882816188</v>
      </c>
      <c r="F6" s="2">
        <f>SUM(D6:E6)</f>
        <v>41920.69738225059</v>
      </c>
      <c r="G6" s="786">
        <f>F6/F$9</f>
        <v>3.5027867902314824E-2</v>
      </c>
    </row>
    <row r="7" spans="2:7" ht="15" x14ac:dyDescent="0.25">
      <c r="B7" s="687" t="s">
        <v>285</v>
      </c>
      <c r="C7" s="685">
        <f>+'Sales by DU'!E157+'Sales by DU'!E147+'Sales by DU'!E137+'Sales by DU'!E127+'Sales by DU'!E117+'Sales by DU'!E107+'Sales by DU'!E97+'Sales by DU'!E87+'Sales by DU'!E77+'Sales by DU'!E67+'Sales by DU'!E57+'Sales by DU'!E47+'Sales by DU'!E37+'Sales by DU'!E27+'Sales by DU'!E17+'Sales by DU'!E7</f>
        <v>5691957</v>
      </c>
      <c r="D7" s="2">
        <f>C7*'EEC Rates Report'!C13</f>
        <v>35319.136253803161</v>
      </c>
      <c r="E7" s="2">
        <f>'Fixed Fee'!D59</f>
        <v>25865.596916862909</v>
      </c>
      <c r="F7" s="2">
        <f>SUM(D7:E7)</f>
        <v>61184.73317066607</v>
      </c>
      <c r="G7" s="786">
        <f>F7/F$9</f>
        <v>5.1124405961049196E-2</v>
      </c>
    </row>
    <row r="8" spans="2:7" ht="17.25" x14ac:dyDescent="0.4">
      <c r="B8" s="687" t="s">
        <v>286</v>
      </c>
      <c r="C8" s="787">
        <f>'Sales by DU'!E169</f>
        <v>777911</v>
      </c>
      <c r="D8" s="788">
        <f>'EEC Rates Report'!C16*'Projected NM Rev '!C8</f>
        <v>3807.189964530814</v>
      </c>
      <c r="E8" s="788">
        <f>'Fixed Fee'!F59</f>
        <v>41223.539363539378</v>
      </c>
      <c r="F8" s="788">
        <f>SUM(D8:E8)</f>
        <v>45030.729328070192</v>
      </c>
      <c r="G8" s="789">
        <f>F8/F$9</f>
        <v>3.7626531449746002E-2</v>
      </c>
    </row>
    <row r="9" spans="2:7" ht="15" x14ac:dyDescent="0.25">
      <c r="B9" s="687"/>
      <c r="C9" s="2"/>
      <c r="D9" s="281">
        <f>SUM(D5:D8)</f>
        <v>1077955.2491432612</v>
      </c>
      <c r="E9" s="281">
        <f>SUM(E5:E8)</f>
        <v>118826.05365136988</v>
      </c>
      <c r="F9" s="790">
        <f>SUM(F5:F8)</f>
        <v>1196781.3027946313</v>
      </c>
      <c r="G9" s="791">
        <f>SUM(G5:G8)</f>
        <v>1</v>
      </c>
    </row>
    <row r="10" spans="2:7" ht="15" x14ac:dyDescent="0.25">
      <c r="B10" s="687"/>
      <c r="C10" s="265" t="s">
        <v>62</v>
      </c>
      <c r="D10" s="265">
        <f>SUM(D5:E8)</f>
        <v>1196781.3027946316</v>
      </c>
      <c r="E10" s="2"/>
      <c r="F10" s="2"/>
      <c r="G10" s="669"/>
    </row>
    <row r="11" spans="2:7" ht="15" x14ac:dyDescent="0.25">
      <c r="B11" s="687"/>
      <c r="C11" s="2" t="s">
        <v>43</v>
      </c>
      <c r="D11" s="2">
        <f>'EEC Calculation'!B52</f>
        <v>45948735.472588852</v>
      </c>
      <c r="E11" s="2"/>
      <c r="F11" s="2"/>
      <c r="G11" s="669"/>
    </row>
    <row r="12" spans="2:7" ht="15" x14ac:dyDescent="0.25">
      <c r="B12" s="524"/>
      <c r="C12" s="451" t="s">
        <v>287</v>
      </c>
      <c r="D12" s="792">
        <f>D10/D11</f>
        <v>2.6046011723403848E-2</v>
      </c>
      <c r="E12" s="451"/>
      <c r="F12" s="451"/>
      <c r="G12" s="793"/>
    </row>
    <row r="13" spans="2:7" ht="32.25" customHeight="1" x14ac:dyDescent="0.25">
      <c r="B13" s="2"/>
      <c r="C13" s="2"/>
      <c r="D13" s="36"/>
      <c r="E13" s="2"/>
      <c r="F13" s="2"/>
      <c r="G13" s="1"/>
    </row>
    <row r="14" spans="2:7" ht="15" x14ac:dyDescent="0.25">
      <c r="B14" s="794" t="s">
        <v>288</v>
      </c>
      <c r="C14" s="784" t="s">
        <v>280</v>
      </c>
      <c r="D14" s="784" t="s">
        <v>281</v>
      </c>
      <c r="E14" s="785" t="s">
        <v>282</v>
      </c>
      <c r="F14" s="784" t="s">
        <v>283</v>
      </c>
      <c r="G14" s="765" t="s">
        <v>201</v>
      </c>
    </row>
    <row r="15" spans="2:7" ht="15" x14ac:dyDescent="0.25">
      <c r="B15" s="687" t="s">
        <v>284</v>
      </c>
      <c r="C15" s="685">
        <f>C5</f>
        <v>92196387</v>
      </c>
      <c r="D15" s="2">
        <f>C15*'EEC Rates Report'!J8</f>
        <v>1002603.1144254929</v>
      </c>
      <c r="E15" s="2">
        <f>'Fixed Fee'!I59</f>
        <v>46042.028488151416</v>
      </c>
      <c r="F15" s="2">
        <f>SUM(D15:E15)</f>
        <v>1048645.1429136444</v>
      </c>
      <c r="G15" s="786">
        <f>F15/F$19</f>
        <v>0.87281547907626755</v>
      </c>
    </row>
    <row r="16" spans="2:7" ht="15" x14ac:dyDescent="0.25">
      <c r="B16" s="687" t="s">
        <v>278</v>
      </c>
      <c r="C16" s="685">
        <f>C6</f>
        <v>3720380</v>
      </c>
      <c r="D16" s="2">
        <f>C16*'EEC Rates Report'!J9</f>
        <v>36225.808499434403</v>
      </c>
      <c r="E16" s="2">
        <f>'Fixed Fee'!J59</f>
        <v>5987.1345605319893</v>
      </c>
      <c r="F16" s="2">
        <f>SUM(D16:E16)</f>
        <v>42212.94305996639</v>
      </c>
      <c r="G16" s="786">
        <f>F16/F$19</f>
        <v>3.5134964739104185E-2</v>
      </c>
    </row>
    <row r="17" spans="2:7" ht="15" x14ac:dyDescent="0.25">
      <c r="B17" s="687" t="s">
        <v>285</v>
      </c>
      <c r="C17" s="685">
        <f>C7</f>
        <v>5691957</v>
      </c>
      <c r="D17" s="2">
        <f>C17*'EEC Rates Report'!J13</f>
        <v>35319.136253803161</v>
      </c>
      <c r="E17" s="2">
        <f>'Fixed Fee'!K59</f>
        <v>27594.153229965937</v>
      </c>
      <c r="F17" s="2">
        <f>SUM(D17:E17)</f>
        <v>62913.289483769098</v>
      </c>
      <c r="G17" s="786">
        <f>F17/F$19</f>
        <v>5.2364418289745314E-2</v>
      </c>
    </row>
    <row r="18" spans="2:7" ht="17.25" x14ac:dyDescent="0.4">
      <c r="B18" s="687" t="s">
        <v>286</v>
      </c>
      <c r="C18" s="787">
        <f>C8</f>
        <v>777911</v>
      </c>
      <c r="D18" s="788">
        <f>'EEC Rates Report'!J16*C18</f>
        <v>3807.189964530814</v>
      </c>
      <c r="E18" s="788">
        <f>'Fixed Fee'!M59</f>
        <v>43872.563771471425</v>
      </c>
      <c r="F18" s="788">
        <f>SUM(D18:E18)</f>
        <v>47679.75373600224</v>
      </c>
      <c r="G18" s="795">
        <f>F18/F$19</f>
        <v>3.9685137894882982E-2</v>
      </c>
    </row>
    <row r="19" spans="2:7" ht="15" x14ac:dyDescent="0.25">
      <c r="B19" s="687"/>
      <c r="C19" s="2"/>
      <c r="D19" s="281">
        <f>SUM(D15:D18)</f>
        <v>1077955.2491432612</v>
      </c>
      <c r="E19" s="281">
        <f>SUM(E15:E18)</f>
        <v>123495.88005012077</v>
      </c>
      <c r="F19" s="265">
        <f>SUM(F15:F18)</f>
        <v>1201451.1291933821</v>
      </c>
      <c r="G19" s="791">
        <f>SUM(G15:G18)</f>
        <v>1</v>
      </c>
    </row>
    <row r="20" spans="2:7" ht="15" x14ac:dyDescent="0.25">
      <c r="B20" s="687"/>
      <c r="C20" s="265" t="s">
        <v>62</v>
      </c>
      <c r="D20" s="265">
        <f>SUM(D15:E18)</f>
        <v>1201451.1291933821</v>
      </c>
      <c r="E20" s="2"/>
      <c r="F20" s="2"/>
      <c r="G20" s="669"/>
    </row>
    <row r="21" spans="2:7" ht="15" x14ac:dyDescent="0.25">
      <c r="B21" s="687"/>
      <c r="C21" s="2" t="s">
        <v>43</v>
      </c>
      <c r="D21" s="2">
        <f>D11</f>
        <v>45948735.472588852</v>
      </c>
      <c r="E21" s="2"/>
      <c r="F21" s="2"/>
      <c r="G21" s="669"/>
    </row>
    <row r="22" spans="2:7" ht="15" x14ac:dyDescent="0.25">
      <c r="B22" s="524"/>
      <c r="C22" s="451" t="s">
        <v>287</v>
      </c>
      <c r="D22" s="792">
        <f>D20/D21</f>
        <v>2.614764295113451E-2</v>
      </c>
      <c r="E22" s="451"/>
      <c r="F22" s="451"/>
      <c r="G22" s="793"/>
    </row>
    <row r="23" spans="2:7" ht="33.75" customHeight="1" x14ac:dyDescent="0.25">
      <c r="B23" s="2"/>
      <c r="C23" s="2"/>
      <c r="D23" s="2"/>
      <c r="E23" s="2"/>
      <c r="F23" s="2"/>
      <c r="G23" s="1"/>
    </row>
    <row r="24" spans="2:7" ht="15" x14ac:dyDescent="0.25">
      <c r="B24" s="794" t="s">
        <v>289</v>
      </c>
      <c r="C24" s="784" t="s">
        <v>280</v>
      </c>
      <c r="D24" s="784" t="s">
        <v>281</v>
      </c>
      <c r="E24" s="785" t="s">
        <v>282</v>
      </c>
      <c r="F24" s="784" t="s">
        <v>283</v>
      </c>
      <c r="G24" s="765" t="s">
        <v>201</v>
      </c>
    </row>
    <row r="25" spans="2:7" ht="15" x14ac:dyDescent="0.25">
      <c r="B25" s="687" t="s">
        <v>284</v>
      </c>
      <c r="C25" s="685">
        <f>C15</f>
        <v>92196387</v>
      </c>
      <c r="D25" s="2">
        <f>C25*'EEC Rates Report'!K8</f>
        <v>0</v>
      </c>
      <c r="E25" s="2">
        <f>E15*(1-'EEC Rates Report'!K33)</f>
        <v>23021.014244075708</v>
      </c>
      <c r="F25" s="2">
        <f>SUM(D25:E25)</f>
        <v>23021.014244075708</v>
      </c>
      <c r="G25" s="786">
        <f>F25/F$29</f>
        <v>0.22912211983955344</v>
      </c>
    </row>
    <row r="26" spans="2:7" ht="15" x14ac:dyDescent="0.25">
      <c r="B26" s="687" t="s">
        <v>278</v>
      </c>
      <c r="C26" s="685">
        <f>C16</f>
        <v>3720380</v>
      </c>
      <c r="D26" s="2">
        <f>C26*'EEC Rates Report'!K9</f>
        <v>0</v>
      </c>
      <c r="E26" s="2">
        <f>E16</f>
        <v>5987.1345605319893</v>
      </c>
      <c r="F26" s="2">
        <f>SUM(D26:E26)</f>
        <v>5987.1345605319893</v>
      </c>
      <c r="G26" s="786">
        <f>F26/F$29</f>
        <v>5.9588380760711337E-2</v>
      </c>
    </row>
    <row r="27" spans="2:7" ht="15" x14ac:dyDescent="0.25">
      <c r="B27" s="687" t="s">
        <v>285</v>
      </c>
      <c r="C27" s="685">
        <f>C17</f>
        <v>5691957</v>
      </c>
      <c r="D27" s="2">
        <f>C27*'EEC Rates Report'!K13</f>
        <v>0</v>
      </c>
      <c r="E27" s="2">
        <f>E17</f>
        <v>27594.153229965937</v>
      </c>
      <c r="F27" s="2">
        <f>SUM(D27:E27)</f>
        <v>27594.153229965937</v>
      </c>
      <c r="G27" s="786">
        <f>F27/F$29</f>
        <v>0.27463737332312749</v>
      </c>
    </row>
    <row r="28" spans="2:7" ht="17.25" x14ac:dyDescent="0.4">
      <c r="B28" s="687" t="s">
        <v>286</v>
      </c>
      <c r="C28" s="787">
        <f>C18</f>
        <v>777911</v>
      </c>
      <c r="D28" s="788">
        <f>C28*'EEC Rates Report'!K16</f>
        <v>0</v>
      </c>
      <c r="E28" s="788">
        <f>E18</f>
        <v>43872.563771471425</v>
      </c>
      <c r="F28" s="788">
        <f>SUM(D28:E28)</f>
        <v>43872.563771471425</v>
      </c>
      <c r="G28" s="795">
        <f>F28/F$29</f>
        <v>0.43665212607660764</v>
      </c>
    </row>
    <row r="29" spans="2:7" ht="15" x14ac:dyDescent="0.25">
      <c r="B29" s="687"/>
      <c r="C29" s="2"/>
      <c r="D29" s="281">
        <f>SUM(D25:D28)</f>
        <v>0</v>
      </c>
      <c r="E29" s="281">
        <f>SUM(E25:E28)</f>
        <v>100474.86580604507</v>
      </c>
      <c r="F29" s="265">
        <f>SUM(F25:F28)</f>
        <v>100474.86580604507</v>
      </c>
      <c r="G29" s="791">
        <f>SUM(G25:G28)</f>
        <v>0.99999999999999989</v>
      </c>
    </row>
    <row r="30" spans="2:7" ht="15" x14ac:dyDescent="0.25">
      <c r="B30" s="687"/>
      <c r="C30" s="265" t="s">
        <v>62</v>
      </c>
      <c r="D30" s="265">
        <f>SUM(D25:E28)</f>
        <v>100474.86580604507</v>
      </c>
      <c r="E30" s="2"/>
      <c r="F30" s="2"/>
      <c r="G30" s="669"/>
    </row>
    <row r="31" spans="2:7" ht="15" x14ac:dyDescent="0.25">
      <c r="B31" s="687"/>
      <c r="C31" s="2" t="s">
        <v>43</v>
      </c>
      <c r="D31" s="2">
        <f>D21</f>
        <v>45948735.472588852</v>
      </c>
      <c r="E31" s="2"/>
      <c r="F31" s="2"/>
      <c r="G31" s="669"/>
    </row>
    <row r="32" spans="2:7" ht="15" x14ac:dyDescent="0.25">
      <c r="B32" s="524"/>
      <c r="C32" s="451" t="s">
        <v>287</v>
      </c>
      <c r="D32" s="792">
        <f>D30/D31</f>
        <v>2.1866731428546991E-3</v>
      </c>
      <c r="E32" s="451"/>
      <c r="F32" s="451"/>
      <c r="G32" s="79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82"/>
  <sheetViews>
    <sheetView workbookViewId="0"/>
  </sheetViews>
  <sheetFormatPr defaultColWidth="12.5703125" defaultRowHeight="15" x14ac:dyDescent="0.25"/>
  <cols>
    <col min="1" max="1" width="8.42578125" style="5" customWidth="1"/>
    <col min="2" max="2" width="35" style="5" customWidth="1"/>
    <col min="3" max="5" width="15.140625" style="14" customWidth="1"/>
    <col min="6" max="6" width="14.85546875" style="5" customWidth="1"/>
    <col min="7" max="16384" width="12.5703125" style="5"/>
  </cols>
  <sheetData>
    <row r="1" spans="1:6" x14ac:dyDescent="0.25">
      <c r="A1" s="6" t="s">
        <v>110</v>
      </c>
    </row>
    <row r="2" spans="1:6" x14ac:dyDescent="0.25">
      <c r="A2" s="6" t="s">
        <v>754</v>
      </c>
    </row>
    <row r="3" spans="1:6" x14ac:dyDescent="0.25">
      <c r="A3" s="4" t="s">
        <v>290</v>
      </c>
    </row>
    <row r="5" spans="1:6" x14ac:dyDescent="0.25">
      <c r="B5" s="291"/>
      <c r="C5" s="286">
        <v>2021</v>
      </c>
      <c r="D5" s="287">
        <v>2021</v>
      </c>
      <c r="E5" s="288">
        <v>2021</v>
      </c>
      <c r="F5" s="527">
        <v>2022</v>
      </c>
    </row>
    <row r="6" spans="1:6" x14ac:dyDescent="0.25">
      <c r="B6" s="238"/>
      <c r="C6" s="289" t="s">
        <v>217</v>
      </c>
      <c r="D6" s="14" t="s">
        <v>215</v>
      </c>
      <c r="E6" s="253" t="s">
        <v>291</v>
      </c>
      <c r="F6" s="531" t="s">
        <v>217</v>
      </c>
    </row>
    <row r="7" spans="1:6" s="193" customFormat="1" x14ac:dyDescent="0.25">
      <c r="B7" s="530" t="s">
        <v>292</v>
      </c>
      <c r="C7" s="482" t="s">
        <v>293</v>
      </c>
      <c r="D7" s="483" t="s">
        <v>294</v>
      </c>
      <c r="E7" s="484" t="s">
        <v>295</v>
      </c>
      <c r="F7" s="532" t="s">
        <v>296</v>
      </c>
    </row>
    <row r="8" spans="1:6" x14ac:dyDescent="0.25">
      <c r="B8" s="238" t="s">
        <v>297</v>
      </c>
      <c r="C8" s="394">
        <v>0</v>
      </c>
      <c r="D8" s="638">
        <v>0</v>
      </c>
      <c r="E8" s="717">
        <f>C8-D8</f>
        <v>0</v>
      </c>
      <c r="F8" s="841">
        <v>0</v>
      </c>
    </row>
    <row r="9" spans="1:6" x14ac:dyDescent="0.25">
      <c r="B9" s="238" t="s">
        <v>298</v>
      </c>
      <c r="C9" s="394">
        <v>-135</v>
      </c>
      <c r="D9" s="638">
        <v>-88</v>
      </c>
      <c r="E9" s="717">
        <f t="shared" ref="E9:E23" si="0">+D9-C9</f>
        <v>47</v>
      </c>
      <c r="F9" s="841">
        <v>-286</v>
      </c>
    </row>
    <row r="10" spans="1:6" x14ac:dyDescent="0.25">
      <c r="B10" s="238" t="s">
        <v>93</v>
      </c>
      <c r="C10" s="394">
        <v>-151850.13</v>
      </c>
      <c r="D10" s="823">
        <v>-70654</v>
      </c>
      <c r="E10" s="717">
        <f t="shared" si="0"/>
        <v>81196.13</v>
      </c>
      <c r="F10" s="841">
        <v>-58444.22</v>
      </c>
    </row>
    <row r="11" spans="1:6" x14ac:dyDescent="0.25">
      <c r="B11" s="238" t="s">
        <v>299</v>
      </c>
      <c r="C11" s="394">
        <v>0</v>
      </c>
      <c r="D11" s="638">
        <v>0</v>
      </c>
      <c r="E11" s="717">
        <f t="shared" si="0"/>
        <v>0</v>
      </c>
      <c r="F11" s="841">
        <v>0</v>
      </c>
    </row>
    <row r="12" spans="1:6" x14ac:dyDescent="0.25">
      <c r="B12" s="238" t="s">
        <v>300</v>
      </c>
      <c r="C12" s="394">
        <v>0</v>
      </c>
      <c r="D12" s="638">
        <v>0</v>
      </c>
      <c r="E12" s="717">
        <f t="shared" si="0"/>
        <v>0</v>
      </c>
      <c r="F12" s="841">
        <v>0</v>
      </c>
    </row>
    <row r="13" spans="1:6" x14ac:dyDescent="0.25">
      <c r="B13" s="238" t="s">
        <v>301</v>
      </c>
      <c r="C13" s="394">
        <v>0</v>
      </c>
      <c r="D13" s="638">
        <v>0</v>
      </c>
      <c r="E13" s="717">
        <f t="shared" si="0"/>
        <v>0</v>
      </c>
      <c r="F13" s="841">
        <v>0</v>
      </c>
    </row>
    <row r="14" spans="1:6" x14ac:dyDescent="0.25">
      <c r="B14" s="238" t="s">
        <v>302</v>
      </c>
      <c r="C14" s="394">
        <v>0</v>
      </c>
      <c r="D14" s="638">
        <v>-421</v>
      </c>
      <c r="E14" s="717">
        <f t="shared" si="0"/>
        <v>-421</v>
      </c>
      <c r="F14" s="841">
        <v>0</v>
      </c>
    </row>
    <row r="15" spans="1:6" x14ac:dyDescent="0.25">
      <c r="B15" s="238" t="s">
        <v>303</v>
      </c>
      <c r="C15" s="394">
        <v>-1514.82</v>
      </c>
      <c r="D15" s="638">
        <v>0</v>
      </c>
      <c r="E15" s="717">
        <f t="shared" si="0"/>
        <v>1514.82</v>
      </c>
      <c r="F15" s="841">
        <v>-91.61</v>
      </c>
    </row>
    <row r="16" spans="1:6" x14ac:dyDescent="0.25">
      <c r="B16" s="238" t="s">
        <v>304</v>
      </c>
      <c r="C16" s="394">
        <v>-1345.2633770247301</v>
      </c>
      <c r="D16" s="638">
        <v>0</v>
      </c>
      <c r="E16" s="717">
        <f t="shared" si="0"/>
        <v>1345.2633770247301</v>
      </c>
      <c r="F16" s="841">
        <v>-18936.189999999999</v>
      </c>
    </row>
    <row r="17" spans="1:6" x14ac:dyDescent="0.25">
      <c r="B17" s="238" t="s">
        <v>305</v>
      </c>
      <c r="C17" s="394">
        <v>-509.9</v>
      </c>
      <c r="D17" s="638">
        <v>0</v>
      </c>
      <c r="E17" s="717">
        <f t="shared" si="0"/>
        <v>509.9</v>
      </c>
      <c r="F17" s="841">
        <v>-5255.38</v>
      </c>
    </row>
    <row r="18" spans="1:6" x14ac:dyDescent="0.25">
      <c r="B18" s="238" t="s">
        <v>306</v>
      </c>
      <c r="C18" s="394">
        <v>0</v>
      </c>
      <c r="D18" s="638">
        <v>0</v>
      </c>
      <c r="E18" s="717">
        <f t="shared" si="0"/>
        <v>0</v>
      </c>
      <c r="F18" s="841">
        <v>0</v>
      </c>
    </row>
    <row r="19" spans="1:6" x14ac:dyDescent="0.25">
      <c r="B19" s="238" t="s">
        <v>307</v>
      </c>
      <c r="C19" s="394">
        <v>0</v>
      </c>
      <c r="D19" s="638">
        <v>0</v>
      </c>
      <c r="E19" s="717">
        <f t="shared" si="0"/>
        <v>0</v>
      </c>
      <c r="F19" s="841">
        <v>0</v>
      </c>
    </row>
    <row r="20" spans="1:6" x14ac:dyDescent="0.25">
      <c r="B20" s="238" t="s">
        <v>308</v>
      </c>
      <c r="C20" s="394">
        <v>0</v>
      </c>
      <c r="D20" s="638">
        <v>0</v>
      </c>
      <c r="E20" s="717">
        <f t="shared" si="0"/>
        <v>0</v>
      </c>
      <c r="F20" s="841">
        <v>0</v>
      </c>
    </row>
    <row r="21" spans="1:6" x14ac:dyDescent="0.25">
      <c r="B21" s="238" t="s">
        <v>309</v>
      </c>
      <c r="C21" s="394">
        <v>-39.799999999999997</v>
      </c>
      <c r="D21" s="638">
        <v>0</v>
      </c>
      <c r="E21" s="717">
        <f t="shared" si="0"/>
        <v>39.799999999999997</v>
      </c>
      <c r="F21" s="841">
        <v>-498.12146898876915</v>
      </c>
    </row>
    <row r="22" spans="1:6" x14ac:dyDescent="0.25">
      <c r="B22" s="238" t="s">
        <v>310</v>
      </c>
      <c r="C22" s="394">
        <v>-2562</v>
      </c>
      <c r="D22" s="638">
        <v>-3856</v>
      </c>
      <c r="E22" s="717">
        <f t="shared" si="0"/>
        <v>-1294</v>
      </c>
      <c r="F22" s="841">
        <v>-7252</v>
      </c>
    </row>
    <row r="23" spans="1:6" x14ac:dyDescent="0.25">
      <c r="B23" s="238" t="s">
        <v>311</v>
      </c>
      <c r="C23" s="394">
        <v>-48284</v>
      </c>
      <c r="D23" s="638">
        <v>0</v>
      </c>
      <c r="E23" s="717">
        <f t="shared" si="0"/>
        <v>48284</v>
      </c>
      <c r="F23" s="862">
        <v>22603</v>
      </c>
    </row>
    <row r="24" spans="1:6" x14ac:dyDescent="0.25">
      <c r="B24" s="291"/>
      <c r="C24" s="293"/>
      <c r="D24" s="230"/>
      <c r="E24" s="528"/>
      <c r="F24" s="533"/>
    </row>
    <row r="25" spans="1:6" x14ac:dyDescent="0.25">
      <c r="B25" s="229" t="s">
        <v>312</v>
      </c>
      <c r="C25" s="294">
        <f>+SUM(C8:C23)</f>
        <v>-206240.91337702473</v>
      </c>
      <c r="D25" s="12">
        <f>+SUM(D8:D23)</f>
        <v>-75019</v>
      </c>
      <c r="E25" s="718">
        <f>+D25-C25</f>
        <v>131221.91337702473</v>
      </c>
      <c r="F25" s="533">
        <f>+SUM(F8:F23)</f>
        <v>-68160.52146898878</v>
      </c>
    </row>
    <row r="26" spans="1:6" x14ac:dyDescent="0.25">
      <c r="B26" s="292"/>
      <c r="C26" s="290"/>
      <c r="D26" s="228"/>
      <c r="E26" s="529"/>
      <c r="F26" s="534"/>
    </row>
    <row r="27" spans="1:6" x14ac:dyDescent="0.25">
      <c r="C27" s="168"/>
      <c r="D27" s="168"/>
      <c r="E27" s="168"/>
    </row>
    <row r="28" spans="1:6" x14ac:dyDescent="0.25">
      <c r="C28" s="27"/>
      <c r="D28" s="27"/>
      <c r="E28" s="27"/>
    </row>
    <row r="29" spans="1:6" x14ac:dyDescent="0.25">
      <c r="A29" s="14" t="s">
        <v>313</v>
      </c>
      <c r="B29" s="5" t="s">
        <v>314</v>
      </c>
    </row>
    <row r="30" spans="1:6" x14ac:dyDescent="0.25">
      <c r="A30" s="14" t="s">
        <v>315</v>
      </c>
      <c r="B30" s="5" t="s">
        <v>316</v>
      </c>
    </row>
    <row r="31" spans="1:6" x14ac:dyDescent="0.25">
      <c r="A31" s="14" t="s">
        <v>317</v>
      </c>
      <c r="B31" s="5" t="s">
        <v>318</v>
      </c>
    </row>
    <row r="32" spans="1:6" x14ac:dyDescent="0.25">
      <c r="A32" s="14" t="s">
        <v>319</v>
      </c>
      <c r="B32" s="5" t="s">
        <v>320</v>
      </c>
    </row>
    <row r="82" spans="1:30" x14ac:dyDescent="0.25">
      <c r="A82" s="667"/>
      <c r="B82" s="667"/>
      <c r="C82" s="668"/>
      <c r="D82" s="668"/>
      <c r="E82" s="668"/>
      <c r="F82" s="667"/>
      <c r="G82" s="667"/>
      <c r="H82" s="667"/>
      <c r="I82" s="667"/>
      <c r="J82" s="667"/>
      <c r="K82" s="667"/>
      <c r="L82" s="667"/>
      <c r="M82" s="667"/>
      <c r="N82" s="667"/>
      <c r="O82" s="667"/>
      <c r="P82" s="667"/>
      <c r="Q82" s="667"/>
      <c r="R82" s="667"/>
      <c r="S82" s="667"/>
      <c r="T82" s="667"/>
      <c r="U82" s="667"/>
      <c r="V82" s="667"/>
      <c r="W82" s="667"/>
      <c r="X82" s="667"/>
      <c r="Y82" s="667"/>
      <c r="Z82" s="667"/>
      <c r="AA82" s="667"/>
      <c r="AB82" s="667"/>
      <c r="AC82" s="667"/>
      <c r="AD82" s="667"/>
    </row>
  </sheetData>
  <pageMargins left="0.7" right="0.7" top="0.75" bottom="0.75" header="0.3" footer="0.3"/>
  <pageSetup orientation="portrait" horizontalDpi="0"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A4F86-B93C-4697-8FFC-C78CB3B7B3E3}">
  <dimension ref="A6:H36"/>
  <sheetViews>
    <sheetView workbookViewId="0">
      <selection activeCell="H10" sqref="H10:H13"/>
    </sheetView>
  </sheetViews>
  <sheetFormatPr defaultRowHeight="12.75" x14ac:dyDescent="0.2"/>
  <cols>
    <col min="1" max="1" width="27.42578125" customWidth="1"/>
    <col min="2" max="4" width="14.28515625" customWidth="1"/>
    <col min="5" max="5" width="11.28515625" customWidth="1"/>
    <col min="6" max="6" width="12.5703125" customWidth="1"/>
    <col min="7" max="7" width="14" bestFit="1" customWidth="1"/>
    <col min="8" max="8" width="11" customWidth="1"/>
  </cols>
  <sheetData>
    <row r="6" spans="1:8" x14ac:dyDescent="0.2">
      <c r="A6" s="405" t="s">
        <v>321</v>
      </c>
      <c r="B6" s="405"/>
      <c r="C6" s="405"/>
      <c r="D6" s="405"/>
      <c r="E6" s="405"/>
    </row>
    <row r="7" spans="1:8" x14ac:dyDescent="0.2">
      <c r="A7" s="405"/>
      <c r="B7" s="405"/>
      <c r="C7" s="405"/>
      <c r="D7" s="405"/>
      <c r="E7" s="405"/>
    </row>
    <row r="8" spans="1:8" x14ac:dyDescent="0.2">
      <c r="A8" s="405"/>
      <c r="B8" s="405"/>
      <c r="C8" s="405"/>
      <c r="D8" s="405"/>
      <c r="E8" s="405"/>
    </row>
    <row r="9" spans="1:8" ht="51" x14ac:dyDescent="0.2">
      <c r="A9" s="319" t="s">
        <v>6</v>
      </c>
      <c r="B9" s="319" t="s">
        <v>322</v>
      </c>
      <c r="C9" s="319" t="s">
        <v>323</v>
      </c>
      <c r="D9" s="319" t="s">
        <v>324</v>
      </c>
      <c r="E9" s="319" t="s">
        <v>325</v>
      </c>
      <c r="F9" s="319" t="s">
        <v>326</v>
      </c>
      <c r="G9" s="319" t="s">
        <v>327</v>
      </c>
      <c r="H9" s="319" t="s">
        <v>328</v>
      </c>
    </row>
    <row r="10" spans="1:8" x14ac:dyDescent="0.2">
      <c r="A10" s="405" t="s">
        <v>16</v>
      </c>
      <c r="B10" s="949">
        <v>1967149313</v>
      </c>
      <c r="C10" s="949">
        <f>89500000*2*0.33/2</f>
        <v>29535000</v>
      </c>
      <c r="D10" s="949">
        <f>C10+B10</f>
        <v>1996684313</v>
      </c>
      <c r="E10" s="950">
        <f>C10/C$15</f>
        <v>0.94608879492600417</v>
      </c>
      <c r="F10" s="314" t="e">
        <f>'EEC Calculation'!#REF!</f>
        <v>#REF!</v>
      </c>
      <c r="G10" s="314" t="e">
        <f>D10+F10</f>
        <v>#REF!</v>
      </c>
      <c r="H10" s="332" t="e">
        <f>G10/G$15</f>
        <v>#REF!</v>
      </c>
    </row>
    <row r="11" spans="1:8" x14ac:dyDescent="0.2">
      <c r="A11" s="405" t="s">
        <v>329</v>
      </c>
      <c r="B11" s="949">
        <f>312238037+13255455</f>
        <v>325493492</v>
      </c>
      <c r="C11" s="949">
        <f>5100000*2*0.33/2</f>
        <v>1683000</v>
      </c>
      <c r="D11" s="949">
        <f>C11+B11</f>
        <v>327176492</v>
      </c>
      <c r="E11" s="950">
        <f>C11/C$15</f>
        <v>5.3911205073995772E-2</v>
      </c>
      <c r="F11" s="314" t="e">
        <f>'EEC Calculation'!#REF!*'Util Rev and Load Data'!I86/'Util Rev and Load Data'!P86</f>
        <v>#REF!</v>
      </c>
      <c r="G11" s="314" t="e">
        <f>D11+F11</f>
        <v>#REF!</v>
      </c>
      <c r="H11" s="332" t="e">
        <f>G11/G$15</f>
        <v>#REF!</v>
      </c>
    </row>
    <row r="12" spans="1:8" x14ac:dyDescent="0.2">
      <c r="A12" s="405" t="s">
        <v>236</v>
      </c>
      <c r="B12" s="949">
        <f>1476949060</f>
        <v>1476949060</v>
      </c>
      <c r="C12" s="949">
        <f>20500000*0</f>
        <v>0</v>
      </c>
      <c r="D12" s="949">
        <f>C12+B12</f>
        <v>1476949060</v>
      </c>
      <c r="E12" s="950">
        <f>C12/C$15</f>
        <v>0</v>
      </c>
      <c r="F12" s="314" t="e">
        <f>'EEC Calculation'!#REF!-'Net Meter Est'!F11</f>
        <v>#REF!</v>
      </c>
      <c r="G12" s="314" t="e">
        <f>D12+F12</f>
        <v>#REF!</v>
      </c>
      <c r="H12" s="332" t="e">
        <f>G12/G$15</f>
        <v>#REF!</v>
      </c>
    </row>
    <row r="13" spans="1:8" x14ac:dyDescent="0.2">
      <c r="A13" s="405" t="s">
        <v>330</v>
      </c>
      <c r="B13" s="949">
        <v>5869669</v>
      </c>
      <c r="C13" s="949">
        <f>600000*0</f>
        <v>0</v>
      </c>
      <c r="D13" s="949">
        <f>C13+B13</f>
        <v>5869669</v>
      </c>
      <c r="E13" s="950">
        <f>C13/C$15</f>
        <v>0</v>
      </c>
      <c r="F13" s="314">
        <v>0</v>
      </c>
      <c r="G13" s="314">
        <f>D13+F13</f>
        <v>5869669</v>
      </c>
      <c r="H13" s="332" t="e">
        <f>G13/G$15</f>
        <v>#REF!</v>
      </c>
    </row>
    <row r="14" spans="1:8" ht="15" x14ac:dyDescent="0.35">
      <c r="A14" s="309" t="s">
        <v>238</v>
      </c>
      <c r="B14" s="326">
        <v>730271104</v>
      </c>
      <c r="C14" s="326">
        <f>5800000*0</f>
        <v>0</v>
      </c>
      <c r="D14" s="326">
        <f>C14+B14</f>
        <v>730271104</v>
      </c>
      <c r="E14" s="327">
        <f>C14/C$15</f>
        <v>0</v>
      </c>
      <c r="F14" s="335">
        <v>0</v>
      </c>
      <c r="G14" s="335">
        <f>D14+F14</f>
        <v>730271104</v>
      </c>
      <c r="H14" s="327" t="e">
        <f>G14/G$15</f>
        <v>#REF!</v>
      </c>
    </row>
    <row r="15" spans="1:8" x14ac:dyDescent="0.2">
      <c r="A15" s="179" t="s">
        <v>331</v>
      </c>
      <c r="B15" s="328">
        <f t="shared" ref="B15:H15" si="0">SUM(B10:B14)</f>
        <v>4505732638</v>
      </c>
      <c r="C15" s="328">
        <f t="shared" si="0"/>
        <v>31218000</v>
      </c>
      <c r="D15" s="328">
        <f t="shared" si="0"/>
        <v>4536950638</v>
      </c>
      <c r="E15" s="334">
        <f t="shared" si="0"/>
        <v>1</v>
      </c>
      <c r="F15" s="336" t="e">
        <f t="shared" si="0"/>
        <v>#REF!</v>
      </c>
      <c r="G15" s="328" t="e">
        <f t="shared" si="0"/>
        <v>#REF!</v>
      </c>
      <c r="H15" s="334" t="e">
        <f t="shared" si="0"/>
        <v>#REF!</v>
      </c>
    </row>
    <row r="18" spans="1:8" x14ac:dyDescent="0.2">
      <c r="A18" s="405" t="s">
        <v>332</v>
      </c>
    </row>
    <row r="19" spans="1:8" x14ac:dyDescent="0.2">
      <c r="B19" s="405" t="s">
        <v>333</v>
      </c>
      <c r="C19" s="329">
        <v>9426</v>
      </c>
    </row>
    <row r="20" spans="1:8" x14ac:dyDescent="0.2">
      <c r="B20" s="405" t="s">
        <v>51</v>
      </c>
      <c r="C20" s="329">
        <v>243178</v>
      </c>
    </row>
    <row r="21" spans="1:8" x14ac:dyDescent="0.2">
      <c r="B21" s="405" t="s">
        <v>334</v>
      </c>
      <c r="C21" s="330">
        <f>C20/C19</f>
        <v>25.798642053893484</v>
      </c>
    </row>
    <row r="24" spans="1:8" x14ac:dyDescent="0.2">
      <c r="B24" s="405" t="s">
        <v>133</v>
      </c>
      <c r="C24" s="329">
        <f>C10</f>
        <v>29535000</v>
      </c>
      <c r="E24" s="333">
        <f>E10</f>
        <v>0.94608879492600417</v>
      </c>
      <c r="F24" s="332" t="e">
        <f>F10/F$15</f>
        <v>#REF!</v>
      </c>
      <c r="H24" s="333" t="e">
        <f>H10</f>
        <v>#REF!</v>
      </c>
    </row>
    <row r="25" spans="1:8" x14ac:dyDescent="0.2">
      <c r="B25" s="405" t="s">
        <v>212</v>
      </c>
      <c r="C25" s="329">
        <f>C11+C12</f>
        <v>1683000</v>
      </c>
      <c r="E25" s="333">
        <f>E11+E12</f>
        <v>5.3911205073995772E-2</v>
      </c>
      <c r="F25" s="332" t="e">
        <f>(F11+F12)/F15</f>
        <v>#REF!</v>
      </c>
      <c r="H25" s="333" t="e">
        <f>H11+H12</f>
        <v>#REF!</v>
      </c>
    </row>
    <row r="26" spans="1:8" x14ac:dyDescent="0.2">
      <c r="B26" s="405" t="s">
        <v>124</v>
      </c>
      <c r="C26" s="329">
        <f>C13+C14</f>
        <v>0</v>
      </c>
      <c r="E26" s="333">
        <f>E13+E14</f>
        <v>0</v>
      </c>
      <c r="F26" s="316">
        <f>F13+F14</f>
        <v>0</v>
      </c>
      <c r="H26" s="333" t="e">
        <f>H13+H14</f>
        <v>#REF!</v>
      </c>
    </row>
    <row r="36" spans="5:5" x14ac:dyDescent="0.2">
      <c r="E36" t="s">
        <v>335</v>
      </c>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ABE6B-4A70-4C08-9F88-B73DC4244DAD}">
  <dimension ref="A4:I30"/>
  <sheetViews>
    <sheetView workbookViewId="0">
      <selection activeCell="F5" sqref="F5"/>
    </sheetView>
  </sheetViews>
  <sheetFormatPr defaultRowHeight="12.75" x14ac:dyDescent="0.2"/>
  <cols>
    <col min="1" max="1" width="24.42578125" customWidth="1"/>
    <col min="2" max="2" width="18.7109375" customWidth="1"/>
    <col min="3" max="3" width="15" customWidth="1"/>
    <col min="4" max="4" width="14.42578125" customWidth="1"/>
    <col min="6" max="6" width="13.140625" customWidth="1"/>
    <col min="7" max="7" width="13.7109375" customWidth="1"/>
    <col min="8" max="8" width="13.140625" customWidth="1"/>
    <col min="9" max="9" width="14.5703125" customWidth="1"/>
  </cols>
  <sheetData>
    <row r="4" spans="1:9" ht="39" customHeight="1" x14ac:dyDescent="0.25">
      <c r="A4" s="991" t="s">
        <v>336</v>
      </c>
      <c r="B4" s="992"/>
      <c r="C4" s="992"/>
      <c r="D4" s="993"/>
      <c r="E4" s="212"/>
      <c r="F4" s="212"/>
      <c r="G4" s="212"/>
      <c r="H4" s="212"/>
      <c r="I4" s="212"/>
    </row>
    <row r="5" spans="1:9" ht="71.25" x14ac:dyDescent="0.25">
      <c r="A5" s="914" t="s">
        <v>337</v>
      </c>
      <c r="B5" s="900" t="s">
        <v>338</v>
      </c>
      <c r="C5" s="900" t="s">
        <v>339</v>
      </c>
      <c r="D5" s="901" t="s">
        <v>340</v>
      </c>
      <c r="E5" s="212"/>
      <c r="F5" s="212"/>
      <c r="G5" s="212"/>
      <c r="H5" s="212"/>
      <c r="I5" s="212"/>
    </row>
    <row r="6" spans="1:9" ht="15" x14ac:dyDescent="0.25">
      <c r="A6" s="211"/>
      <c r="B6" s="212"/>
      <c r="C6" s="212"/>
      <c r="D6" s="213"/>
      <c r="E6" s="212"/>
      <c r="F6" s="212"/>
      <c r="G6" s="212"/>
      <c r="H6" s="212"/>
      <c r="I6" s="212"/>
    </row>
    <row r="7" spans="1:9" ht="15" x14ac:dyDescent="0.25">
      <c r="A7" s="208" t="s">
        <v>341</v>
      </c>
      <c r="B7" s="212"/>
      <c r="C7" s="212"/>
      <c r="D7" s="213"/>
      <c r="E7" s="212"/>
      <c r="F7" s="994" t="s">
        <v>342</v>
      </c>
      <c r="G7" s="995"/>
      <c r="H7" s="995"/>
      <c r="I7" s="996"/>
    </row>
    <row r="8" spans="1:9" ht="15" x14ac:dyDescent="0.25">
      <c r="A8" s="208"/>
      <c r="B8" s="212"/>
      <c r="C8" s="212"/>
      <c r="D8" s="213"/>
      <c r="E8" s="212"/>
      <c r="F8" s="771" t="s">
        <v>6</v>
      </c>
      <c r="G8" s="570" t="s">
        <v>47</v>
      </c>
      <c r="H8" s="570" t="s">
        <v>51</v>
      </c>
      <c r="I8" s="273" t="s">
        <v>62</v>
      </c>
    </row>
    <row r="9" spans="1:9" ht="15" x14ac:dyDescent="0.25">
      <c r="A9" s="214" t="s">
        <v>16</v>
      </c>
      <c r="B9" s="215">
        <v>2055526658.2381711</v>
      </c>
      <c r="C9" s="902">
        <v>1.1881085167974793E-2</v>
      </c>
      <c r="D9" s="903">
        <f>C9*B9</f>
        <v>24421887.291570328</v>
      </c>
      <c r="E9" s="212"/>
      <c r="F9" s="211" t="s">
        <v>16</v>
      </c>
      <c r="G9" s="904">
        <f>D9+D25</f>
        <v>24425375.691570327</v>
      </c>
      <c r="H9" s="905">
        <v>0</v>
      </c>
      <c r="I9" s="906">
        <f t="shared" ref="I9:I10" si="0">SUM(G9:H9)</f>
        <v>24425375.691570327</v>
      </c>
    </row>
    <row r="10" spans="1:9" ht="15" x14ac:dyDescent="0.25">
      <c r="A10" s="214" t="s">
        <v>76</v>
      </c>
      <c r="B10" s="215">
        <f>312108910+4044368</f>
        <v>316153278</v>
      </c>
      <c r="C10" s="902">
        <v>1.0236807822923627E-2</v>
      </c>
      <c r="D10" s="903">
        <f t="shared" ref="D10:D19" si="1">C10*B10</f>
        <v>3236400.3494733484</v>
      </c>
      <c r="E10" s="212"/>
      <c r="F10" s="211" t="s">
        <v>76</v>
      </c>
      <c r="G10" s="904">
        <f>D10+D15+D22+D26+D27</f>
        <v>13267653.087047456</v>
      </c>
      <c r="H10" s="904">
        <f>D16</f>
        <v>5506705.3704215009</v>
      </c>
      <c r="I10" s="906">
        <f t="shared" si="0"/>
        <v>18774358.457468957</v>
      </c>
    </row>
    <row r="11" spans="1:9" ht="15" x14ac:dyDescent="0.25">
      <c r="A11" s="214" t="s">
        <v>52</v>
      </c>
      <c r="B11" s="215">
        <v>5578093</v>
      </c>
      <c r="C11" s="902">
        <v>7.5702523544102568E-3</v>
      </c>
      <c r="D11" s="903">
        <f t="shared" si="1"/>
        <v>42227.571666369375</v>
      </c>
      <c r="E11" s="212"/>
      <c r="F11" s="220" t="s">
        <v>52</v>
      </c>
      <c r="G11" s="907">
        <f>D11+D18+D28+D29</f>
        <v>3814262.7347929515</v>
      </c>
      <c r="H11" s="907">
        <f>D19</f>
        <v>2103744.8831703202</v>
      </c>
      <c r="I11" s="908">
        <f>SUM(G11:H11)</f>
        <v>5918007.6179632712</v>
      </c>
    </row>
    <row r="12" spans="1:9" ht="15" x14ac:dyDescent="0.25">
      <c r="A12" s="211"/>
      <c r="B12" s="215"/>
      <c r="C12" s="902"/>
      <c r="D12" s="903"/>
      <c r="E12" s="212"/>
      <c r="F12" s="909" t="s">
        <v>62</v>
      </c>
      <c r="G12" s="910">
        <f>SUM(G9:G11)</f>
        <v>41507291.513410732</v>
      </c>
      <c r="H12" s="910">
        <f>SUM(H9:H11)</f>
        <v>7610450.2535918206</v>
      </c>
      <c r="I12" s="911">
        <f>SUM(I9:I11)</f>
        <v>49117741.767002553</v>
      </c>
    </row>
    <row r="13" spans="1:9" ht="15" x14ac:dyDescent="0.25">
      <c r="A13" s="208" t="s">
        <v>343</v>
      </c>
      <c r="B13" s="215"/>
      <c r="C13" s="902"/>
      <c r="D13" s="903"/>
      <c r="E13" s="212"/>
      <c r="F13" s="212"/>
      <c r="G13" s="212"/>
      <c r="H13" s="212"/>
      <c r="I13" s="212"/>
    </row>
    <row r="14" spans="1:9" ht="15" x14ac:dyDescent="0.25">
      <c r="A14" s="219" t="s">
        <v>344</v>
      </c>
      <c r="B14" s="215"/>
      <c r="C14" s="902"/>
      <c r="D14" s="903"/>
      <c r="E14" s="212"/>
      <c r="F14" s="212"/>
      <c r="G14" s="212"/>
      <c r="H14" s="212"/>
      <c r="I14" s="212"/>
    </row>
    <row r="15" spans="1:9" ht="15" x14ac:dyDescent="0.25">
      <c r="A15" s="266" t="s">
        <v>47</v>
      </c>
      <c r="B15" s="215">
        <v>1494771203</v>
      </c>
      <c r="C15" s="902">
        <v>6.6197719734247661E-3</v>
      </c>
      <c r="D15" s="903">
        <f t="shared" si="1"/>
        <v>9895044.5163018219</v>
      </c>
      <c r="E15" s="212"/>
      <c r="F15" s="212"/>
      <c r="G15" s="212"/>
      <c r="H15" s="212"/>
      <c r="I15" s="212"/>
    </row>
    <row r="16" spans="1:9" ht="15" x14ac:dyDescent="0.25">
      <c r="A16" s="266" t="s">
        <v>51</v>
      </c>
      <c r="B16" s="215">
        <v>4837869.8620000007</v>
      </c>
      <c r="C16" s="902">
        <v>1.13825</v>
      </c>
      <c r="D16" s="903">
        <f t="shared" si="1"/>
        <v>5506705.3704215009</v>
      </c>
      <c r="E16" s="212"/>
      <c r="F16" s="212"/>
      <c r="G16" s="212"/>
      <c r="H16" s="212"/>
      <c r="I16" s="212"/>
    </row>
    <row r="17" spans="1:9" ht="15" x14ac:dyDescent="0.25">
      <c r="A17" s="219" t="s">
        <v>345</v>
      </c>
      <c r="B17" s="215"/>
      <c r="C17" s="902"/>
      <c r="D17" s="903"/>
      <c r="E17" s="212"/>
      <c r="F17" s="212"/>
      <c r="G17" s="212"/>
      <c r="H17" s="212"/>
      <c r="I17" s="212"/>
    </row>
    <row r="18" spans="1:9" ht="15" x14ac:dyDescent="0.25">
      <c r="A18" s="266" t="s">
        <v>47</v>
      </c>
      <c r="B18" s="215">
        <v>723823600</v>
      </c>
      <c r="C18" s="902">
        <v>5.2086163716222877E-3</v>
      </c>
      <c r="D18" s="903">
        <f t="shared" si="1"/>
        <v>3770119.4531265823</v>
      </c>
      <c r="E18" s="212"/>
      <c r="F18" s="918"/>
      <c r="G18" s="212"/>
      <c r="H18" s="212"/>
      <c r="I18" s="212"/>
    </row>
    <row r="19" spans="1:9" ht="15" x14ac:dyDescent="0.25">
      <c r="A19" s="266" t="s">
        <v>51</v>
      </c>
      <c r="B19" s="215">
        <v>1734103.402</v>
      </c>
      <c r="C19" s="902">
        <v>1.21316</v>
      </c>
      <c r="D19" s="903">
        <f t="shared" si="1"/>
        <v>2103744.8831703202</v>
      </c>
      <c r="E19" s="212"/>
      <c r="F19" s="212"/>
      <c r="G19" s="212"/>
      <c r="H19" s="212"/>
      <c r="I19" s="212"/>
    </row>
    <row r="20" spans="1:9" ht="15" x14ac:dyDescent="0.25">
      <c r="A20" s="211"/>
      <c r="B20" s="215"/>
      <c r="C20" s="902"/>
      <c r="D20" s="903"/>
      <c r="E20" s="212"/>
      <c r="F20" s="212"/>
      <c r="G20" s="212"/>
      <c r="H20" s="212"/>
      <c r="I20" s="212"/>
    </row>
    <row r="21" spans="1:9" ht="15" x14ac:dyDescent="0.25">
      <c r="A21" s="208" t="s">
        <v>346</v>
      </c>
      <c r="B21" s="215"/>
      <c r="C21" s="902"/>
      <c r="D21" s="903"/>
      <c r="E21" s="212"/>
      <c r="F21" s="212"/>
      <c r="G21" s="212"/>
      <c r="H21" s="212"/>
      <c r="I21" s="212"/>
    </row>
    <row r="22" spans="1:9" ht="15" x14ac:dyDescent="0.25">
      <c r="A22" s="211"/>
      <c r="B22" s="215">
        <v>13126578.48</v>
      </c>
      <c r="C22" s="212">
        <v>1.0236807822923627E-2</v>
      </c>
      <c r="D22" s="903">
        <f t="shared" ref="D22" si="2">C22*B22</f>
        <v>134374.26127228493</v>
      </c>
      <c r="E22" s="212"/>
      <c r="F22" s="212"/>
      <c r="G22" s="212"/>
      <c r="H22" s="212"/>
      <c r="I22" s="212"/>
    </row>
    <row r="23" spans="1:9" ht="15" x14ac:dyDescent="0.25">
      <c r="A23" s="211"/>
      <c r="B23" s="215"/>
      <c r="C23" s="902"/>
      <c r="D23" s="903"/>
      <c r="E23" s="212"/>
      <c r="F23" s="212"/>
      <c r="G23" s="212"/>
      <c r="H23" s="212"/>
      <c r="I23" s="212"/>
    </row>
    <row r="24" spans="1:9" ht="15" x14ac:dyDescent="0.25">
      <c r="A24" s="208" t="s">
        <v>347</v>
      </c>
      <c r="B24" s="215"/>
      <c r="C24" s="212"/>
      <c r="D24" s="903"/>
      <c r="E24" s="212"/>
      <c r="F24" s="212"/>
      <c r="G24" s="212"/>
      <c r="H24" s="212"/>
      <c r="I24" s="212"/>
    </row>
    <row r="25" spans="1:9" ht="15" x14ac:dyDescent="0.25">
      <c r="A25" s="563" t="s">
        <v>16</v>
      </c>
      <c r="B25" s="215">
        <v>513</v>
      </c>
      <c r="C25" s="212">
        <v>6.8</v>
      </c>
      <c r="D25" s="903">
        <f t="shared" ref="D25:D29" si="3">C25*B25</f>
        <v>3488.4</v>
      </c>
      <c r="E25" s="212"/>
      <c r="F25" s="212"/>
      <c r="G25" s="212"/>
      <c r="H25" s="212"/>
      <c r="I25" s="212"/>
    </row>
    <row r="26" spans="1:9" ht="15" x14ac:dyDescent="0.25">
      <c r="A26" s="563" t="s">
        <v>348</v>
      </c>
      <c r="B26" s="215">
        <v>33</v>
      </c>
      <c r="C26" s="912">
        <v>6.33</v>
      </c>
      <c r="D26" s="903">
        <f t="shared" si="3"/>
        <v>208.89000000000001</v>
      </c>
      <c r="E26" s="212"/>
      <c r="F26" s="212"/>
      <c r="G26" s="212"/>
      <c r="H26" s="212"/>
      <c r="I26" s="212"/>
    </row>
    <row r="27" spans="1:9" ht="15" x14ac:dyDescent="0.25">
      <c r="A27" s="563" t="s">
        <v>349</v>
      </c>
      <c r="B27" s="215">
        <v>19</v>
      </c>
      <c r="C27" s="912">
        <v>85.53</v>
      </c>
      <c r="D27" s="903">
        <f t="shared" si="3"/>
        <v>1625.07</v>
      </c>
      <c r="E27" s="212"/>
      <c r="F27" s="212"/>
      <c r="G27" s="212"/>
      <c r="H27" s="212"/>
      <c r="I27" s="212"/>
    </row>
    <row r="28" spans="1:9" ht="15" x14ac:dyDescent="0.25">
      <c r="A28" s="563" t="s">
        <v>350</v>
      </c>
      <c r="B28" s="215">
        <v>0</v>
      </c>
      <c r="C28" s="912">
        <v>586.49</v>
      </c>
      <c r="D28" s="903">
        <f t="shared" si="3"/>
        <v>0</v>
      </c>
      <c r="E28" s="212"/>
      <c r="F28" s="212"/>
      <c r="G28" s="212"/>
      <c r="H28" s="212"/>
      <c r="I28" s="212"/>
    </row>
    <row r="29" spans="1:9" ht="15" x14ac:dyDescent="0.25">
      <c r="A29" s="563" t="s">
        <v>351</v>
      </c>
      <c r="B29" s="215">
        <v>1</v>
      </c>
      <c r="C29" s="912">
        <v>1915.71</v>
      </c>
      <c r="D29" s="903">
        <f t="shared" si="3"/>
        <v>1915.71</v>
      </c>
      <c r="E29" s="212"/>
      <c r="F29" s="212"/>
      <c r="G29" s="212"/>
      <c r="H29" s="212"/>
      <c r="I29" s="212"/>
    </row>
    <row r="30" spans="1:9" ht="15" x14ac:dyDescent="0.25">
      <c r="A30" s="220"/>
      <c r="B30" s="221"/>
      <c r="C30" s="221"/>
      <c r="D30" s="913"/>
      <c r="E30" s="212"/>
      <c r="F30" s="212"/>
      <c r="G30" s="212"/>
      <c r="H30" s="212"/>
      <c r="I30" s="212"/>
    </row>
  </sheetData>
  <mergeCells count="2">
    <mergeCell ref="A4:D4"/>
    <mergeCell ref="F7:I7"/>
  </mergeCells>
  <pageMargins left="0.7" right="0.7" top="0.75" bottom="0.75" header="0.3" footer="0.3"/>
  <pageSetup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BEF47-B88B-408C-B930-941920619497}">
  <dimension ref="A4:I30"/>
  <sheetViews>
    <sheetView workbookViewId="0"/>
  </sheetViews>
  <sheetFormatPr defaultRowHeight="12.75" x14ac:dyDescent="0.2"/>
  <cols>
    <col min="1" max="1" width="28" customWidth="1"/>
    <col min="2" max="2" width="18.7109375" customWidth="1"/>
    <col min="3" max="3" width="13.85546875" customWidth="1"/>
    <col min="4" max="4" width="14.42578125" customWidth="1"/>
    <col min="6" max="6" width="13.140625" customWidth="1"/>
    <col min="7" max="7" width="13.7109375" customWidth="1"/>
    <col min="8" max="8" width="13.140625" customWidth="1"/>
    <col min="9" max="9" width="14.5703125" customWidth="1"/>
  </cols>
  <sheetData>
    <row r="4" spans="1:9" ht="18.75" x14ac:dyDescent="0.25">
      <c r="A4" s="997" t="s">
        <v>352</v>
      </c>
      <c r="B4" s="998"/>
      <c r="C4" s="998"/>
      <c r="D4" s="999"/>
      <c r="E4" s="212"/>
      <c r="F4" s="212"/>
      <c r="G4" s="212"/>
      <c r="H4" s="212"/>
      <c r="I4" s="212"/>
    </row>
    <row r="5" spans="1:9" ht="71.25" x14ac:dyDescent="0.25">
      <c r="A5" s="914" t="s">
        <v>337</v>
      </c>
      <c r="B5" s="900" t="s">
        <v>353</v>
      </c>
      <c r="C5" s="900" t="s">
        <v>354</v>
      </c>
      <c r="D5" s="901" t="s">
        <v>340</v>
      </c>
      <c r="E5" s="212"/>
      <c r="F5" s="212"/>
      <c r="G5" s="212"/>
      <c r="H5" s="212"/>
      <c r="I5" s="212"/>
    </row>
    <row r="6" spans="1:9" ht="15" x14ac:dyDescent="0.25">
      <c r="A6" s="211"/>
      <c r="B6" s="212"/>
      <c r="C6" s="212"/>
      <c r="D6" s="213"/>
      <c r="E6" s="212"/>
      <c r="F6" s="212"/>
      <c r="G6" s="212"/>
      <c r="H6" s="212"/>
      <c r="I6" s="212"/>
    </row>
    <row r="7" spans="1:9" ht="15" x14ac:dyDescent="0.25">
      <c r="A7" s="208" t="s">
        <v>341</v>
      </c>
      <c r="B7" s="212"/>
      <c r="C7" s="212"/>
      <c r="D7" s="213"/>
      <c r="E7" s="212"/>
      <c r="F7" s="994" t="s">
        <v>342</v>
      </c>
      <c r="G7" s="995"/>
      <c r="H7" s="995"/>
      <c r="I7" s="996"/>
    </row>
    <row r="8" spans="1:9" ht="15" x14ac:dyDescent="0.25">
      <c r="A8" s="208"/>
      <c r="B8" s="212"/>
      <c r="C8" s="212"/>
      <c r="D8" s="213"/>
      <c r="E8" s="212"/>
      <c r="F8" s="771" t="s">
        <v>6</v>
      </c>
      <c r="G8" s="570" t="s">
        <v>47</v>
      </c>
      <c r="H8" s="570" t="s">
        <v>51</v>
      </c>
      <c r="I8" s="273" t="s">
        <v>62</v>
      </c>
    </row>
    <row r="9" spans="1:9" ht="15" x14ac:dyDescent="0.25">
      <c r="A9" s="214" t="s">
        <v>16</v>
      </c>
      <c r="B9" s="215">
        <v>2140668931</v>
      </c>
      <c r="C9" s="902">
        <v>1.0930598354536811E-2</v>
      </c>
      <c r="D9" s="903">
        <f>C9*B9</f>
        <v>23398792.294796675</v>
      </c>
      <c r="E9" s="212"/>
      <c r="F9" s="211" t="s">
        <v>16</v>
      </c>
      <c r="G9" s="904">
        <f>D9+D25</f>
        <v>23402001.622796677</v>
      </c>
      <c r="H9" s="905">
        <v>0</v>
      </c>
      <c r="I9" s="906">
        <f t="shared" ref="I9:I10" si="0">SUM(G9:H9)</f>
        <v>23402001.622796677</v>
      </c>
    </row>
    <row r="10" spans="1:9" ht="15" x14ac:dyDescent="0.25">
      <c r="A10" s="214" t="s">
        <v>76</v>
      </c>
      <c r="B10" s="215">
        <v>397336789.37109274</v>
      </c>
      <c r="C10" s="902">
        <v>1.0236807822923627E-2</v>
      </c>
      <c r="D10" s="903">
        <f t="shared" ref="D10:D29" si="1">C10*B10</f>
        <v>4067460.3537693596</v>
      </c>
      <c r="E10" s="212"/>
      <c r="F10" s="211" t="s">
        <v>76</v>
      </c>
      <c r="G10" s="904">
        <f>D10+D15+D22+D26+D27</f>
        <v>12782963.266706521</v>
      </c>
      <c r="H10" s="904">
        <f>D16</f>
        <v>4690861.0553187504</v>
      </c>
      <c r="I10" s="906">
        <f t="shared" si="0"/>
        <v>17473824.322025269</v>
      </c>
    </row>
    <row r="11" spans="1:9" ht="15" x14ac:dyDescent="0.25">
      <c r="A11" s="214" t="s">
        <v>52</v>
      </c>
      <c r="B11" s="215">
        <v>5604228</v>
      </c>
      <c r="C11" s="902">
        <v>7.5702523544102568E-3</v>
      </c>
      <c r="D11" s="903">
        <f t="shared" si="1"/>
        <v>42425.420211651886</v>
      </c>
      <c r="E11" s="212"/>
      <c r="F11" s="220" t="s">
        <v>52</v>
      </c>
      <c r="G11" s="907">
        <f>D11+D18+D28+D29</f>
        <v>3656178.3126332448</v>
      </c>
      <c r="H11" s="907">
        <f>D19</f>
        <v>1732055.1624795466</v>
      </c>
      <c r="I11" s="908">
        <f>SUM(G11:H11)</f>
        <v>5388233.4751127912</v>
      </c>
    </row>
    <row r="12" spans="1:9" ht="15" x14ac:dyDescent="0.25">
      <c r="A12" s="211"/>
      <c r="B12" s="215"/>
      <c r="C12" s="902"/>
      <c r="D12" s="903"/>
      <c r="E12" s="212"/>
      <c r="F12" s="909" t="s">
        <v>62</v>
      </c>
      <c r="G12" s="910">
        <f>SUM(G9:G11)</f>
        <v>39841143.202136442</v>
      </c>
      <c r="H12" s="910">
        <f>SUM(H9:H11)</f>
        <v>6422916.2177982973</v>
      </c>
      <c r="I12" s="911">
        <f>SUM(I9:I11)</f>
        <v>46264059.419934735</v>
      </c>
    </row>
    <row r="13" spans="1:9" ht="15" x14ac:dyDescent="0.25">
      <c r="A13" s="208" t="s">
        <v>343</v>
      </c>
      <c r="B13" s="215"/>
      <c r="C13" s="902"/>
      <c r="D13" s="903"/>
      <c r="E13" s="212"/>
      <c r="F13" s="212"/>
      <c r="G13" s="212"/>
      <c r="H13" s="212"/>
      <c r="I13" s="212"/>
    </row>
    <row r="14" spans="1:9" ht="15" x14ac:dyDescent="0.25">
      <c r="A14" s="219" t="s">
        <v>344</v>
      </c>
      <c r="B14" s="215"/>
      <c r="C14" s="902"/>
      <c r="D14" s="903"/>
      <c r="E14" s="212"/>
      <c r="F14" s="212"/>
      <c r="G14" s="212"/>
      <c r="H14" s="212"/>
      <c r="I14" s="212"/>
    </row>
    <row r="15" spans="1:9" ht="15" x14ac:dyDescent="0.25">
      <c r="A15" s="266" t="s">
        <v>47</v>
      </c>
      <c r="B15" s="215">
        <v>1296912322.4489071</v>
      </c>
      <c r="C15" s="902">
        <v>6.6197719734247661E-3</v>
      </c>
      <c r="D15" s="903">
        <f t="shared" si="1"/>
        <v>8585263.8441364989</v>
      </c>
      <c r="E15" s="212"/>
      <c r="F15" s="212"/>
      <c r="G15" s="212"/>
      <c r="H15" s="212"/>
      <c r="I15" s="212"/>
    </row>
    <row r="16" spans="1:9" ht="15" x14ac:dyDescent="0.25">
      <c r="A16" s="266" t="s">
        <v>51</v>
      </c>
      <c r="B16" s="215">
        <v>4121116.6750000007</v>
      </c>
      <c r="C16" s="902">
        <v>1.13825</v>
      </c>
      <c r="D16" s="903">
        <f t="shared" si="1"/>
        <v>4690861.0553187504</v>
      </c>
      <c r="E16" s="212"/>
      <c r="F16" s="212"/>
      <c r="G16" s="212"/>
      <c r="H16" s="212"/>
      <c r="I16" s="212"/>
    </row>
    <row r="17" spans="1:9" ht="15" x14ac:dyDescent="0.25">
      <c r="A17" s="219" t="s">
        <v>345</v>
      </c>
      <c r="B17" s="215"/>
      <c r="C17" s="902"/>
      <c r="D17" s="903"/>
      <c r="E17" s="212"/>
      <c r="F17" s="212"/>
      <c r="G17" s="212"/>
      <c r="H17" s="212"/>
      <c r="I17" s="212"/>
    </row>
    <row r="18" spans="1:9" ht="15" x14ac:dyDescent="0.25">
      <c r="A18" s="266" t="s">
        <v>47</v>
      </c>
      <c r="B18" s="215">
        <v>693435055.44000006</v>
      </c>
      <c r="C18" s="902">
        <v>5.2086163716222877E-3</v>
      </c>
      <c r="D18" s="903">
        <f t="shared" si="1"/>
        <v>3611837.182421593</v>
      </c>
      <c r="E18" s="212"/>
      <c r="F18" s="212"/>
      <c r="G18" s="212"/>
      <c r="H18" s="212"/>
      <c r="I18" s="212"/>
    </row>
    <row r="19" spans="1:9" ht="15" x14ac:dyDescent="0.25">
      <c r="A19" s="266" t="s">
        <v>51</v>
      </c>
      <c r="B19" s="215">
        <v>1427721.9513333333</v>
      </c>
      <c r="C19" s="902">
        <v>1.21316</v>
      </c>
      <c r="D19" s="903">
        <f t="shared" si="1"/>
        <v>1732055.1624795466</v>
      </c>
      <c r="E19" s="212"/>
      <c r="F19" s="212"/>
      <c r="G19" s="212"/>
      <c r="H19" s="212"/>
      <c r="I19" s="212"/>
    </row>
    <row r="20" spans="1:9" ht="15" x14ac:dyDescent="0.25">
      <c r="A20" s="211"/>
      <c r="B20" s="215"/>
      <c r="C20" s="902"/>
      <c r="D20" s="903"/>
      <c r="E20" s="212"/>
      <c r="F20" s="212"/>
      <c r="G20" s="212"/>
      <c r="H20" s="212"/>
      <c r="I20" s="212"/>
    </row>
    <row r="21" spans="1:9" ht="15" x14ac:dyDescent="0.25">
      <c r="A21" s="208" t="s">
        <v>346</v>
      </c>
      <c r="B21" s="215"/>
      <c r="C21" s="212"/>
      <c r="D21" s="903"/>
      <c r="E21" s="212"/>
      <c r="F21" s="212"/>
      <c r="G21" s="212"/>
      <c r="H21" s="212"/>
      <c r="I21" s="212"/>
    </row>
    <row r="22" spans="1:9" ht="15" x14ac:dyDescent="0.25">
      <c r="A22" s="211"/>
      <c r="B22" s="215">
        <v>12543471.658530001</v>
      </c>
      <c r="C22" s="902">
        <v>1.0236807822923627E-2</v>
      </c>
      <c r="D22" s="903">
        <f>B22*C22</f>
        <v>128405.10880066072</v>
      </c>
      <c r="E22" s="212"/>
      <c r="F22" s="212"/>
      <c r="G22" s="212"/>
      <c r="H22" s="212"/>
      <c r="I22" s="212"/>
    </row>
    <row r="23" spans="1:9" ht="15" x14ac:dyDescent="0.25">
      <c r="A23" s="211"/>
      <c r="B23" s="215"/>
      <c r="C23" s="212"/>
      <c r="D23" s="903"/>
      <c r="E23" s="212"/>
      <c r="F23" s="212"/>
      <c r="G23" s="212"/>
      <c r="H23" s="212"/>
      <c r="I23" s="212"/>
    </row>
    <row r="24" spans="1:9" ht="15" x14ac:dyDescent="0.25">
      <c r="A24" s="208" t="s">
        <v>347</v>
      </c>
      <c r="B24" s="215"/>
      <c r="C24" s="212"/>
      <c r="D24" s="903"/>
      <c r="E24" s="212"/>
      <c r="F24" s="212"/>
      <c r="G24" s="212"/>
      <c r="H24" s="212"/>
      <c r="I24" s="212"/>
    </row>
    <row r="25" spans="1:9" ht="15" x14ac:dyDescent="0.25">
      <c r="A25" s="563" t="s">
        <v>16</v>
      </c>
      <c r="B25" s="215">
        <v>513</v>
      </c>
      <c r="C25" s="912">
        <v>6.2560000000000002</v>
      </c>
      <c r="D25" s="903">
        <f t="shared" si="1"/>
        <v>3209.328</v>
      </c>
      <c r="E25" s="212"/>
      <c r="F25" s="212"/>
      <c r="G25" s="212"/>
      <c r="H25" s="212"/>
      <c r="I25" s="212"/>
    </row>
    <row r="26" spans="1:9" ht="15" x14ac:dyDescent="0.25">
      <c r="A26" s="563" t="s">
        <v>348</v>
      </c>
      <c r="B26" s="215">
        <v>33</v>
      </c>
      <c r="C26" s="912">
        <v>6.33</v>
      </c>
      <c r="D26" s="903">
        <f t="shared" si="1"/>
        <v>208.89000000000001</v>
      </c>
      <c r="E26" s="212"/>
      <c r="F26" s="212"/>
      <c r="G26" s="212"/>
      <c r="H26" s="212"/>
      <c r="I26" s="212"/>
    </row>
    <row r="27" spans="1:9" ht="15" x14ac:dyDescent="0.25">
      <c r="A27" s="563" t="s">
        <v>349</v>
      </c>
      <c r="B27" s="215">
        <v>19</v>
      </c>
      <c r="C27" s="912">
        <v>85.53</v>
      </c>
      <c r="D27" s="903">
        <f t="shared" si="1"/>
        <v>1625.07</v>
      </c>
      <c r="E27" s="212"/>
      <c r="F27" s="212"/>
      <c r="G27" s="212"/>
      <c r="H27" s="212"/>
      <c r="I27" s="212"/>
    </row>
    <row r="28" spans="1:9" ht="15" x14ac:dyDescent="0.25">
      <c r="A28" s="563" t="s">
        <v>350</v>
      </c>
      <c r="B28" s="215">
        <v>0</v>
      </c>
      <c r="C28" s="912">
        <v>586.49</v>
      </c>
      <c r="D28" s="903">
        <f t="shared" si="1"/>
        <v>0</v>
      </c>
      <c r="E28" s="212"/>
      <c r="F28" s="212"/>
      <c r="G28" s="212"/>
      <c r="H28" s="212"/>
      <c r="I28" s="212"/>
    </row>
    <row r="29" spans="1:9" ht="15" x14ac:dyDescent="0.25">
      <c r="A29" s="563" t="s">
        <v>351</v>
      </c>
      <c r="B29" s="215">
        <v>1</v>
      </c>
      <c r="C29" s="912">
        <v>1915.71</v>
      </c>
      <c r="D29" s="903">
        <f t="shared" si="1"/>
        <v>1915.71</v>
      </c>
      <c r="E29" s="212"/>
      <c r="F29" s="212"/>
      <c r="G29" s="212"/>
      <c r="H29" s="212"/>
      <c r="I29" s="212"/>
    </row>
    <row r="30" spans="1:9" ht="15" x14ac:dyDescent="0.25">
      <c r="A30" s="220"/>
      <c r="B30" s="221"/>
      <c r="C30" s="221"/>
      <c r="D30" s="913"/>
      <c r="E30" s="212"/>
      <c r="F30" s="212"/>
      <c r="G30" s="212"/>
      <c r="H30" s="212"/>
      <c r="I30" s="212"/>
    </row>
  </sheetData>
  <mergeCells count="2">
    <mergeCell ref="A4:D4"/>
    <mergeCell ref="F7:I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Y86"/>
  <sheetViews>
    <sheetView topLeftCell="A7" zoomScaleNormal="100" workbookViewId="0">
      <selection activeCell="C33" sqref="C33"/>
    </sheetView>
  </sheetViews>
  <sheetFormatPr defaultColWidth="9.140625" defaultRowHeight="15" x14ac:dyDescent="0.25"/>
  <cols>
    <col min="1" max="1" width="4" style="5" customWidth="1"/>
    <col min="2" max="2" width="18.5703125" style="5" customWidth="1"/>
    <col min="3" max="3" width="16.5703125" style="5" customWidth="1"/>
    <col min="4" max="4" width="17.42578125" style="5" customWidth="1"/>
    <col min="5" max="5" width="17" style="5" customWidth="1"/>
    <col min="6" max="6" width="15.28515625" style="5" customWidth="1"/>
    <col min="7" max="7" width="18" style="5" customWidth="1"/>
    <col min="8" max="8" width="16.5703125" style="5" customWidth="1"/>
    <col min="9" max="9" width="17.140625" style="5" customWidth="1"/>
    <col min="10" max="10" width="18.140625" style="5" customWidth="1"/>
    <col min="11" max="11" width="14.42578125" style="5" customWidth="1"/>
    <col min="12" max="12" width="13.140625" style="5" customWidth="1"/>
    <col min="13" max="13" width="9.140625" style="5"/>
    <col min="14" max="14" width="11.5703125" style="5" customWidth="1"/>
    <col min="15" max="15" width="11.7109375" style="5" bestFit="1" customWidth="1"/>
    <col min="16" max="16" width="39" style="5" customWidth="1"/>
    <col min="17" max="17" width="15" style="5" customWidth="1"/>
    <col min="18" max="29" width="12.85546875" style="5" customWidth="1"/>
    <col min="30" max="30" width="14.5703125" style="5" customWidth="1"/>
    <col min="31" max="31" width="13.85546875" style="5" bestFit="1" customWidth="1"/>
    <col min="32" max="32" width="11.28515625" style="5" customWidth="1"/>
    <col min="33" max="38" width="12.85546875" style="5" customWidth="1"/>
    <col min="39" max="39" width="10.140625" style="5" customWidth="1"/>
    <col min="40" max="40" width="12.5703125" style="5" customWidth="1"/>
    <col min="41" max="41" width="16" style="5" customWidth="1"/>
    <col min="42" max="45" width="9.140625" style="5"/>
    <col min="46" max="46" width="42.5703125" style="5" customWidth="1"/>
    <col min="47" max="51" width="21" style="5" customWidth="1"/>
    <col min="52" max="16384" width="9.140625" style="5"/>
  </cols>
  <sheetData>
    <row r="1" spans="1:51" x14ac:dyDescent="0.25">
      <c r="A1" s="6" t="s">
        <v>110</v>
      </c>
    </row>
    <row r="2" spans="1:51" x14ac:dyDescent="0.25">
      <c r="A2" s="4" t="s">
        <v>355</v>
      </c>
      <c r="E2" s="10"/>
      <c r="F2" s="325"/>
      <c r="G2" s="325"/>
      <c r="P2" s="1"/>
      <c r="Q2" s="1"/>
      <c r="R2" s="1"/>
      <c r="S2" s="1"/>
      <c r="V2" s="1"/>
      <c r="W2" s="1"/>
      <c r="Y2" s="1"/>
      <c r="Z2" s="1"/>
      <c r="AA2" s="1"/>
      <c r="AB2" s="1"/>
      <c r="AC2" s="1"/>
      <c r="AD2" s="1"/>
      <c r="AE2" s="1"/>
      <c r="AF2" s="1"/>
      <c r="AG2" s="1"/>
      <c r="AH2" s="1"/>
      <c r="AI2" s="1"/>
      <c r="AJ2" s="1"/>
      <c r="AK2" s="1"/>
      <c r="AL2" s="1"/>
    </row>
    <row r="3" spans="1:51" x14ac:dyDescent="0.25">
      <c r="A3" s="4"/>
      <c r="E3" s="537"/>
      <c r="F3" s="325"/>
      <c r="G3" s="325"/>
      <c r="N3" s="1" t="s">
        <v>356</v>
      </c>
      <c r="O3" s="181" t="s">
        <v>768</v>
      </c>
      <c r="P3" s="181"/>
      <c r="Q3" s="1"/>
      <c r="R3" s="1"/>
      <c r="S3" s="1"/>
      <c r="T3" s="1"/>
      <c r="U3" s="1"/>
      <c r="V3" s="1"/>
      <c r="W3" s="1"/>
      <c r="X3" s="383"/>
      <c r="Y3" s="1"/>
      <c r="Z3" s="1"/>
      <c r="AA3" s="1"/>
      <c r="AB3" s="1"/>
      <c r="AC3" s="1"/>
      <c r="AD3" s="1"/>
      <c r="AE3" s="1"/>
      <c r="AF3" s="1"/>
      <c r="AG3" s="1"/>
      <c r="AH3" s="1"/>
      <c r="AI3" s="1"/>
      <c r="AJ3" s="1"/>
      <c r="AK3" s="1"/>
      <c r="AL3" s="1"/>
    </row>
    <row r="4" spans="1:51" x14ac:dyDescent="0.25">
      <c r="A4" s="4"/>
      <c r="E4" s="537"/>
      <c r="F4" s="325"/>
      <c r="G4" s="325"/>
      <c r="O4" s="181" t="s">
        <v>357</v>
      </c>
      <c r="P4" s="181"/>
      <c r="Q4" s="1"/>
      <c r="R4" s="518" t="s">
        <v>358</v>
      </c>
      <c r="S4" s="1"/>
      <c r="T4" s="1"/>
      <c r="U4" s="1"/>
      <c r="V4" s="1"/>
      <c r="W4" s="1"/>
      <c r="X4" s="1"/>
      <c r="Y4" s="1"/>
      <c r="Z4" s="1"/>
      <c r="AA4" s="1"/>
      <c r="AB4" s="1"/>
      <c r="AC4" s="1"/>
      <c r="AD4" s="1"/>
      <c r="AE4" s="1"/>
      <c r="AF4" s="1"/>
      <c r="AG4" s="1"/>
      <c r="AH4" s="1"/>
      <c r="AI4" s="1"/>
      <c r="AJ4" s="1"/>
      <c r="AK4" s="1"/>
      <c r="AL4" s="1"/>
    </row>
    <row r="5" spans="1:51" x14ac:dyDescent="0.25">
      <c r="A5" s="4"/>
      <c r="E5" s="537"/>
      <c r="G5" s="325"/>
      <c r="O5" s="190" t="s">
        <v>359</v>
      </c>
      <c r="P5" s="181"/>
      <c r="Q5" s="182" t="s">
        <v>360</v>
      </c>
      <c r="R5" s="1010" t="s">
        <v>361</v>
      </c>
      <c r="S5" s="1011"/>
      <c r="T5" s="1011"/>
      <c r="U5" s="1011"/>
      <c r="V5" s="1011"/>
      <c r="W5" s="1000" t="s">
        <v>362</v>
      </c>
      <c r="X5" s="1001"/>
      <c r="Y5" s="1001"/>
      <c r="Z5" s="1001"/>
      <c r="AA5" s="1001"/>
      <c r="AB5" s="1001"/>
      <c r="AC5" s="1002"/>
      <c r="AD5" s="70" t="s">
        <v>363</v>
      </c>
      <c r="AE5" s="1"/>
      <c r="AF5" s="1"/>
      <c r="AG5" s="1"/>
      <c r="AH5" s="1"/>
      <c r="AI5" s="1"/>
      <c r="AJ5" s="1"/>
      <c r="AK5" s="1"/>
      <c r="AL5" s="1"/>
      <c r="AT5" s="197"/>
    </row>
    <row r="6" spans="1:51" x14ac:dyDescent="0.25">
      <c r="A6" s="4"/>
      <c r="O6" s="191" t="s">
        <v>364</v>
      </c>
      <c r="P6" s="183" t="s">
        <v>365</v>
      </c>
      <c r="Q6" s="184" t="s">
        <v>366</v>
      </c>
      <c r="R6" s="376" t="s">
        <v>367</v>
      </c>
      <c r="S6" s="71" t="s">
        <v>368</v>
      </c>
      <c r="T6" s="71" t="s">
        <v>369</v>
      </c>
      <c r="U6" s="71" t="s">
        <v>370</v>
      </c>
      <c r="V6" s="406" t="s">
        <v>371</v>
      </c>
      <c r="W6" s="875" t="s">
        <v>372</v>
      </c>
      <c r="X6" s="406" t="s">
        <v>373</v>
      </c>
      <c r="Y6" s="71" t="s">
        <v>374</v>
      </c>
      <c r="Z6" s="71" t="s">
        <v>375</v>
      </c>
      <c r="AA6" s="71" t="s">
        <v>376</v>
      </c>
      <c r="AB6" s="71" t="s">
        <v>377</v>
      </c>
      <c r="AC6" s="377" t="s">
        <v>378</v>
      </c>
      <c r="AD6" s="71" t="s">
        <v>379</v>
      </c>
      <c r="AE6" s="1"/>
      <c r="AF6" s="1"/>
      <c r="AG6" s="1"/>
      <c r="AH6" s="1"/>
      <c r="AI6" s="1"/>
      <c r="AJ6" s="1"/>
      <c r="AK6" s="1"/>
      <c r="AL6" s="1"/>
    </row>
    <row r="7" spans="1:51" x14ac:dyDescent="0.25">
      <c r="B7" s="232">
        <v>2021</v>
      </c>
      <c r="C7" s="233" t="s">
        <v>380</v>
      </c>
      <c r="D7" s="233"/>
      <c r="E7" s="234"/>
      <c r="F7" s="234"/>
      <c r="G7" s="235"/>
      <c r="H7" s="235"/>
      <c r="I7" s="236"/>
      <c r="J7" s="236"/>
      <c r="K7" s="235"/>
      <c r="L7" s="244"/>
      <c r="O7" s="181" t="s">
        <v>381</v>
      </c>
      <c r="P7" s="181" t="s">
        <v>382</v>
      </c>
      <c r="Q7" s="186">
        <v>0</v>
      </c>
      <c r="R7" s="495">
        <v>15903.231873298686</v>
      </c>
      <c r="S7" s="186">
        <v>12715.129918337043</v>
      </c>
      <c r="T7" s="186">
        <v>15686.285572878</v>
      </c>
      <c r="U7" s="186">
        <v>12593.100717644147</v>
      </c>
      <c r="V7" s="724">
        <v>11486.13709477852</v>
      </c>
      <c r="W7" s="517">
        <v>13951.340801445458</v>
      </c>
      <c r="X7" s="493">
        <v>14833.542672708802</v>
      </c>
      <c r="Y7" s="493">
        <v>13051.016100498131</v>
      </c>
      <c r="Z7" s="493">
        <v>12148.683729976474</v>
      </c>
      <c r="AA7" s="493">
        <v>12570.440085109269</v>
      </c>
      <c r="AB7" s="493">
        <v>13698.355548261339</v>
      </c>
      <c r="AC7" s="494">
        <v>15476.357531221543</v>
      </c>
      <c r="AD7" s="2">
        <f>SUM(Q7:AC7)</f>
        <v>164113.62164615744</v>
      </c>
      <c r="AE7" s="16">
        <f>AD7/AD$24</f>
        <v>3.5121219948873162E-3</v>
      </c>
      <c r="AF7" s="1"/>
      <c r="AG7" s="1"/>
      <c r="AH7" s="1"/>
      <c r="AI7" s="1"/>
      <c r="AJ7" s="1"/>
      <c r="AK7" s="1"/>
      <c r="AL7" s="2"/>
      <c r="AM7" s="2"/>
      <c r="AN7" s="12"/>
      <c r="AO7" s="180"/>
      <c r="AP7" s="172"/>
      <c r="AT7" s="192"/>
      <c r="AU7" s="192"/>
      <c r="AV7" s="192"/>
      <c r="AW7" s="192"/>
      <c r="AX7" s="192"/>
      <c r="AY7" s="192"/>
    </row>
    <row r="8" spans="1:51" x14ac:dyDescent="0.25">
      <c r="B8" s="238"/>
      <c r="L8" s="239"/>
      <c r="O8" s="181" t="s">
        <v>383</v>
      </c>
      <c r="P8" s="181" t="s">
        <v>384</v>
      </c>
      <c r="Q8" s="186">
        <v>0</v>
      </c>
      <c r="R8" s="495">
        <v>23442.563721851024</v>
      </c>
      <c r="S8" s="186">
        <v>24166.849789656026</v>
      </c>
      <c r="T8" s="186">
        <v>24188.517693640188</v>
      </c>
      <c r="U8" s="186">
        <v>26845.444196980945</v>
      </c>
      <c r="V8" s="724">
        <v>20449.759960405838</v>
      </c>
      <c r="W8" s="517">
        <v>24392.446499815647</v>
      </c>
      <c r="X8" s="493">
        <v>25934.883334603514</v>
      </c>
      <c r="Y8" s="493">
        <v>22818.32381061542</v>
      </c>
      <c r="Z8" s="493">
        <v>21240.690923121125</v>
      </c>
      <c r="AA8" s="493">
        <v>21978.087383787333</v>
      </c>
      <c r="AB8" s="493">
        <v>23950.128493155196</v>
      </c>
      <c r="AC8" s="494">
        <v>27058.777250515457</v>
      </c>
      <c r="AD8" s="2">
        <f>SUM(Q8:AC8)</f>
        <v>286466.47305814771</v>
      </c>
      <c r="AE8" s="16">
        <f t="shared" ref="AE8:AE22" si="0">AD8/AD$24</f>
        <v>6.1305404800252438E-3</v>
      </c>
      <c r="AF8" s="1"/>
      <c r="AG8" s="1"/>
      <c r="AH8" s="1"/>
      <c r="AI8" s="1"/>
      <c r="AJ8" s="1"/>
      <c r="AK8" s="1"/>
      <c r="AL8" s="2"/>
      <c r="AM8" s="2"/>
      <c r="AN8" s="12"/>
      <c r="AO8" s="180"/>
      <c r="AP8" s="172"/>
      <c r="AU8" s="177"/>
      <c r="AV8" s="177"/>
      <c r="AW8" s="177"/>
      <c r="AX8" s="177"/>
      <c r="AY8" s="177"/>
    </row>
    <row r="9" spans="1:51" x14ac:dyDescent="0.25">
      <c r="B9" s="426" t="s">
        <v>385</v>
      </c>
      <c r="C9" s="1005" t="s">
        <v>386</v>
      </c>
      <c r="D9" s="1006"/>
      <c r="E9" s="1008" t="s">
        <v>387</v>
      </c>
      <c r="F9" s="1008"/>
      <c r="G9" s="1008"/>
      <c r="H9" s="1009"/>
      <c r="I9" s="636" t="s">
        <v>388</v>
      </c>
      <c r="J9" s="504">
        <v>2021</v>
      </c>
      <c r="K9" s="511" t="s">
        <v>389</v>
      </c>
      <c r="L9" s="237"/>
      <c r="O9" s="181" t="s">
        <v>390</v>
      </c>
      <c r="P9" s="181" t="s">
        <v>391</v>
      </c>
      <c r="Q9" s="186">
        <v>0</v>
      </c>
      <c r="R9" s="495">
        <v>3514555.139816877</v>
      </c>
      <c r="S9" s="186">
        <v>3150715.2388022761</v>
      </c>
      <c r="T9" s="186">
        <v>2934586.6765652061</v>
      </c>
      <c r="U9" s="186">
        <v>2641149.3788666171</v>
      </c>
      <c r="V9" s="724">
        <v>2789647.1566443946</v>
      </c>
      <c r="W9" s="517">
        <v>3103668.3984235493</v>
      </c>
      <c r="X9" s="493">
        <v>3299926.3859416004</v>
      </c>
      <c r="Y9" s="493">
        <v>2903378.7372061242</v>
      </c>
      <c r="Z9" s="493">
        <v>2702642.4421704155</v>
      </c>
      <c r="AA9" s="493">
        <v>2796467.9668916184</v>
      </c>
      <c r="AB9" s="493">
        <v>3047388.3356862543</v>
      </c>
      <c r="AC9" s="494">
        <v>3442929.4270683997</v>
      </c>
      <c r="AD9" s="2">
        <f>SUM(Q9:AC9)</f>
        <v>36327055.284083337</v>
      </c>
      <c r="AE9" s="16">
        <f t="shared" si="0"/>
        <v>0.77741901368675248</v>
      </c>
      <c r="AF9" s="1"/>
      <c r="AG9" s="1"/>
      <c r="AH9" s="1"/>
      <c r="AI9" s="1"/>
      <c r="AJ9" s="1"/>
      <c r="AK9" s="1"/>
      <c r="AL9" s="2"/>
      <c r="AM9" s="2"/>
      <c r="AN9" s="12"/>
      <c r="AO9" s="180"/>
      <c r="AP9" s="172"/>
      <c r="AU9" s="177"/>
      <c r="AV9" s="177"/>
      <c r="AW9" s="177"/>
      <c r="AX9" s="177"/>
      <c r="AY9" s="177"/>
    </row>
    <row r="10" spans="1:51" x14ac:dyDescent="0.25">
      <c r="B10" s="426" t="s">
        <v>392</v>
      </c>
      <c r="C10" s="247" t="s">
        <v>393</v>
      </c>
      <c r="D10" s="246">
        <v>2021</v>
      </c>
      <c r="E10" s="8">
        <v>2021</v>
      </c>
      <c r="F10" s="8" t="s">
        <v>394</v>
      </c>
      <c r="G10" s="8" t="s">
        <v>215</v>
      </c>
      <c r="H10" s="246" t="s">
        <v>12</v>
      </c>
      <c r="I10" s="637" t="s">
        <v>395</v>
      </c>
      <c r="J10" s="505" t="s">
        <v>396</v>
      </c>
      <c r="K10" s="512" t="s">
        <v>397</v>
      </c>
      <c r="L10" s="239"/>
      <c r="O10" s="181" t="s">
        <v>398</v>
      </c>
      <c r="P10" s="181" t="s">
        <v>399</v>
      </c>
      <c r="Q10" s="186">
        <v>0</v>
      </c>
      <c r="R10" s="495">
        <v>37363.711952487007</v>
      </c>
      <c r="S10" s="186">
        <v>39374.758723088336</v>
      </c>
      <c r="T10" s="186">
        <v>33047.770353872802</v>
      </c>
      <c r="U10" s="186">
        <v>37150.388517693638</v>
      </c>
      <c r="V10" s="724">
        <v>28624.390002474633</v>
      </c>
      <c r="W10" s="517">
        <v>35559.79376167764</v>
      </c>
      <c r="X10" s="493">
        <v>37808.388864095345</v>
      </c>
      <c r="Y10" s="493">
        <v>33265.006390351009</v>
      </c>
      <c r="Z10" s="493">
        <v>30965.101782120706</v>
      </c>
      <c r="AA10" s="493">
        <v>32040.093011970468</v>
      </c>
      <c r="AB10" s="493">
        <v>34914.973772258338</v>
      </c>
      <c r="AC10" s="494">
        <v>39446.823773038777</v>
      </c>
      <c r="AD10" s="2">
        <f>SUM(Q10:AC10)</f>
        <v>419561.20090512861</v>
      </c>
      <c r="AE10" s="16">
        <f t="shared" si="0"/>
        <v>8.9788410439039269E-3</v>
      </c>
      <c r="AF10" s="1"/>
      <c r="AG10" s="1"/>
      <c r="AH10" s="1"/>
      <c r="AI10" s="1"/>
      <c r="AJ10" s="1"/>
      <c r="AK10" s="1"/>
      <c r="AL10" s="2"/>
      <c r="AM10" s="2"/>
      <c r="AN10" s="12"/>
      <c r="AO10" s="180"/>
      <c r="AP10" s="172"/>
      <c r="AU10" s="177"/>
      <c r="AV10" s="177"/>
      <c r="AW10" s="177"/>
      <c r="AX10" s="177"/>
      <c r="AY10" s="177"/>
    </row>
    <row r="11" spans="1:51" x14ac:dyDescent="0.25">
      <c r="B11" s="427"/>
      <c r="C11" s="247" t="s">
        <v>400</v>
      </c>
      <c r="D11" s="246" t="s">
        <v>401</v>
      </c>
      <c r="E11" s="8" t="s">
        <v>402</v>
      </c>
      <c r="F11" s="8" t="s">
        <v>400</v>
      </c>
      <c r="G11" s="8" t="s">
        <v>400</v>
      </c>
      <c r="H11" s="246" t="s">
        <v>400</v>
      </c>
      <c r="I11" s="637" t="s">
        <v>403</v>
      </c>
      <c r="J11" s="506" t="s">
        <v>404</v>
      </c>
      <c r="K11" s="512" t="s">
        <v>281</v>
      </c>
      <c r="L11" s="239"/>
      <c r="O11" s="181" t="s">
        <v>405</v>
      </c>
      <c r="P11" s="181" t="s">
        <v>406</v>
      </c>
      <c r="Q11" s="186">
        <v>0</v>
      </c>
      <c r="R11" s="495">
        <v>12686.87948527592</v>
      </c>
      <c r="S11" s="186">
        <v>14093.244246473645</v>
      </c>
      <c r="T11" s="186">
        <v>11251.383320960156</v>
      </c>
      <c r="U11" s="186">
        <v>10078.010393466962</v>
      </c>
      <c r="V11" s="724">
        <v>10845.929225439248</v>
      </c>
      <c r="W11" s="517">
        <v>11760.45678462039</v>
      </c>
      <c r="X11" s="493">
        <v>12504.119858296352</v>
      </c>
      <c r="Y11" s="493">
        <v>11001.516845563041</v>
      </c>
      <c r="Z11" s="493">
        <v>10240.884516390452</v>
      </c>
      <c r="AA11" s="493">
        <v>10596.409297755146</v>
      </c>
      <c r="AB11" s="493">
        <v>11547.199709220882</v>
      </c>
      <c r="AC11" s="494">
        <v>13045.988662997024</v>
      </c>
      <c r="AD11" s="2">
        <f>SUM(Q11:AC11)</f>
        <v>139652.02234645921</v>
      </c>
      <c r="AE11" s="16">
        <f t="shared" si="0"/>
        <v>2.9886302818360744E-3</v>
      </c>
      <c r="AF11" s="1"/>
      <c r="AG11" s="1"/>
      <c r="AH11" s="1"/>
      <c r="AI11" s="1"/>
      <c r="AJ11" s="1"/>
      <c r="AK11" s="1"/>
      <c r="AL11" s="2"/>
      <c r="AM11" s="2"/>
      <c r="AN11" s="12"/>
      <c r="AO11" s="180"/>
      <c r="AP11" s="172"/>
      <c r="AU11" s="177"/>
      <c r="AV11" s="177"/>
      <c r="AW11" s="177"/>
      <c r="AX11" s="177"/>
      <c r="AY11" s="177"/>
    </row>
    <row r="12" spans="1:51" x14ac:dyDescent="0.25">
      <c r="A12" s="197"/>
      <c r="B12" s="247" t="s">
        <v>6</v>
      </c>
      <c r="C12" s="247" t="s">
        <v>407</v>
      </c>
      <c r="D12" s="246"/>
      <c r="E12" s="8"/>
      <c r="F12" s="8" t="s">
        <v>408</v>
      </c>
      <c r="G12" s="8" t="s">
        <v>407</v>
      </c>
      <c r="H12" s="246" t="s">
        <v>409</v>
      </c>
      <c r="I12" s="637" t="s">
        <v>409</v>
      </c>
      <c r="J12" s="507" t="s">
        <v>410</v>
      </c>
      <c r="K12" s="513"/>
      <c r="L12" s="239"/>
      <c r="O12" s="181" t="s">
        <v>411</v>
      </c>
      <c r="P12" s="181" t="s">
        <v>412</v>
      </c>
      <c r="Q12" s="186">
        <v>0</v>
      </c>
      <c r="R12" s="495">
        <v>5856.6889383815887</v>
      </c>
      <c r="S12" s="186">
        <v>6485.9292254392467</v>
      </c>
      <c r="T12" s="186">
        <v>5789.9331848552329</v>
      </c>
      <c r="U12" s="186">
        <v>4938.3320960158371</v>
      </c>
      <c r="V12" s="724">
        <v>4245.9490225191785</v>
      </c>
      <c r="W12" s="517">
        <v>5268.4811721688393</v>
      </c>
      <c r="X12" s="493">
        <v>5601.629363081177</v>
      </c>
      <c r="Y12" s="493">
        <v>4928.4892098702703</v>
      </c>
      <c r="Z12" s="493">
        <v>4587.7390860800679</v>
      </c>
      <c r="AA12" s="493">
        <v>4747.0080372069351</v>
      </c>
      <c r="AB12" s="493">
        <v>5172.9456919446866</v>
      </c>
      <c r="AC12" s="494">
        <v>5844.3772127297116</v>
      </c>
      <c r="AD12" s="2">
        <f t="shared" ref="AD12:AD22" si="1">SUM(Q12:AC12)</f>
        <v>63467.502240292772</v>
      </c>
      <c r="AE12" s="16">
        <f t="shared" si="0"/>
        <v>1.358239543694278E-3</v>
      </c>
      <c r="AF12" s="1"/>
      <c r="AG12" s="1"/>
      <c r="AH12" s="1"/>
      <c r="AI12" s="1"/>
      <c r="AJ12" s="1"/>
      <c r="AK12" s="1"/>
      <c r="AL12" s="2"/>
      <c r="AM12" s="2"/>
      <c r="AN12" s="12"/>
      <c r="AO12" s="180"/>
      <c r="AP12" s="172"/>
      <c r="AU12" s="177"/>
      <c r="AV12" s="177"/>
      <c r="AW12" s="177"/>
      <c r="AX12" s="177"/>
      <c r="AY12" s="177"/>
    </row>
    <row r="13" spans="1:51" x14ac:dyDescent="0.25">
      <c r="B13" s="255"/>
      <c r="C13" s="254"/>
      <c r="D13" s="239"/>
      <c r="F13" s="167"/>
      <c r="G13" s="167"/>
      <c r="H13" s="250"/>
      <c r="I13" s="635"/>
      <c r="J13" s="757" t="s">
        <v>413</v>
      </c>
      <c r="K13" s="514"/>
      <c r="L13" s="239"/>
      <c r="O13" s="181" t="s">
        <v>414</v>
      </c>
      <c r="P13" s="181" t="s">
        <v>415</v>
      </c>
      <c r="Q13" s="186">
        <v>0</v>
      </c>
      <c r="R13" s="495">
        <v>12604.592922543925</v>
      </c>
      <c r="S13" s="186">
        <v>11840.821578817124</v>
      </c>
      <c r="T13" s="186">
        <v>12146.963622865625</v>
      </c>
      <c r="U13" s="186">
        <v>10419.856471170502</v>
      </c>
      <c r="V13" s="724">
        <v>10024.855233853006</v>
      </c>
      <c r="W13" s="517">
        <v>11258.815594720814</v>
      </c>
      <c r="X13" s="493">
        <v>11970.757789183052</v>
      </c>
      <c r="Y13" s="493">
        <v>10532.248168148604</v>
      </c>
      <c r="Z13" s="493">
        <v>9804.0605402040492</v>
      </c>
      <c r="AA13" s="493">
        <v>10144.420445099337</v>
      </c>
      <c r="AB13" s="493">
        <v>11054.654980030027</v>
      </c>
      <c r="AC13" s="494">
        <v>12489.513230437247</v>
      </c>
      <c r="AD13" s="2">
        <f t="shared" si="1"/>
        <v>134291.56057707331</v>
      </c>
      <c r="AE13" s="16">
        <f t="shared" si="0"/>
        <v>2.8739134442319143E-3</v>
      </c>
      <c r="AF13" s="1"/>
      <c r="AG13" s="1"/>
      <c r="AH13" s="1"/>
      <c r="AI13" s="1"/>
      <c r="AJ13" s="1"/>
      <c r="AK13" s="1"/>
      <c r="AL13" s="2"/>
      <c r="AM13" s="2"/>
      <c r="AN13" s="12"/>
      <c r="AO13" s="180"/>
      <c r="AP13" s="172"/>
      <c r="AU13" s="177"/>
      <c r="AV13" s="177"/>
      <c r="AW13" s="177"/>
      <c r="AX13" s="177"/>
      <c r="AY13" s="177"/>
    </row>
    <row r="14" spans="1:51" x14ac:dyDescent="0.25">
      <c r="A14" s="4"/>
      <c r="B14" s="238" t="s">
        <v>416</v>
      </c>
      <c r="C14" s="394">
        <v>20995144</v>
      </c>
      <c r="D14" s="474">
        <v>2055526658</v>
      </c>
      <c r="E14" s="640">
        <f>'Util Rev and Load Data'!C86</f>
        <v>2163164825</v>
      </c>
      <c r="F14" s="638">
        <f>+E14*K14</f>
        <v>25698398.120999999</v>
      </c>
      <c r="G14" s="638">
        <f>25005109.43</f>
        <v>25005109.43</v>
      </c>
      <c r="H14" s="508">
        <f>+G14-C14</f>
        <v>4009965.4299999997</v>
      </c>
      <c r="I14" s="635">
        <v>3789044.1111839414</v>
      </c>
      <c r="J14" s="508">
        <f>+H14-I14</f>
        <v>220921.31881605834</v>
      </c>
      <c r="K14" s="503">
        <f>'2021 Projected Revenue'!I10</f>
        <v>1.188E-2</v>
      </c>
      <c r="L14" s="239" t="s">
        <v>417</v>
      </c>
      <c r="O14" s="181" t="s">
        <v>418</v>
      </c>
      <c r="P14" s="181" t="s">
        <v>419</v>
      </c>
      <c r="Q14" s="186">
        <v>0</v>
      </c>
      <c r="R14" s="495">
        <v>71063.419945558024</v>
      </c>
      <c r="S14" s="186">
        <v>63010.244988864135</v>
      </c>
      <c r="T14" s="186">
        <v>54568.087107151696</v>
      </c>
      <c r="U14" s="186">
        <v>43337.272952239546</v>
      </c>
      <c r="V14" s="724">
        <v>34651.947537738175</v>
      </c>
      <c r="W14" s="517">
        <v>45243.245377041923</v>
      </c>
      <c r="X14" s="493">
        <v>48104.165793344677</v>
      </c>
      <c r="Y14" s="493">
        <v>42323.553861818415</v>
      </c>
      <c r="Z14" s="493">
        <v>39397.351611284219</v>
      </c>
      <c r="AA14" s="493">
        <v>40765.078666064706</v>
      </c>
      <c r="AB14" s="493">
        <v>44422.831479232445</v>
      </c>
      <c r="AC14" s="494">
        <v>50188.770476837693</v>
      </c>
      <c r="AD14" s="2">
        <f t="shared" si="1"/>
        <v>577075.96979717561</v>
      </c>
      <c r="AE14" s="16">
        <f t="shared" si="0"/>
        <v>1.2349743951269651E-2</v>
      </c>
      <c r="AF14" s="1"/>
      <c r="AG14" s="1"/>
      <c r="AH14" s="1"/>
      <c r="AI14" s="1"/>
      <c r="AJ14" s="1"/>
      <c r="AK14" s="1"/>
      <c r="AL14" s="2"/>
      <c r="AM14" s="2"/>
      <c r="AN14" s="12"/>
      <c r="AO14" s="180"/>
      <c r="AP14" s="172"/>
      <c r="AU14" s="177"/>
      <c r="AV14" s="177"/>
      <c r="AW14" s="177"/>
      <c r="AX14" s="177"/>
      <c r="AY14" s="177"/>
    </row>
    <row r="15" spans="1:51" x14ac:dyDescent="0.25">
      <c r="B15" s="238" t="s">
        <v>420</v>
      </c>
      <c r="C15" s="394">
        <v>20716371</v>
      </c>
      <c r="D15" s="474">
        <v>1824051059</v>
      </c>
      <c r="E15" s="640">
        <f>'Util Rev and Load Data'!P86</f>
        <v>1765720231.1200054</v>
      </c>
      <c r="F15" s="638">
        <f>+E15*K15</f>
        <v>18173550.541102003</v>
      </c>
      <c r="G15" s="638">
        <v>17206315.709999997</v>
      </c>
      <c r="H15" s="508">
        <f>+G15-C15</f>
        <v>-3510055.2900000028</v>
      </c>
      <c r="I15" s="635">
        <v>-3589942.79328233</v>
      </c>
      <c r="J15" s="508">
        <f>+H15-I15</f>
        <v>79887.503282327205</v>
      </c>
      <c r="K15" s="503">
        <f>'2021 Projected Revenue'!I11</f>
        <v>1.0292429242640793E-2</v>
      </c>
      <c r="L15" s="239" t="s">
        <v>417</v>
      </c>
      <c r="O15" s="181" t="s">
        <v>421</v>
      </c>
      <c r="P15" s="181" t="s">
        <v>422</v>
      </c>
      <c r="Q15" s="186">
        <v>0</v>
      </c>
      <c r="R15" s="495">
        <v>67119.613956941335</v>
      </c>
      <c r="S15" s="186">
        <v>62162.682504330602</v>
      </c>
      <c r="T15" s="186">
        <v>54443.761445186828</v>
      </c>
      <c r="U15" s="186">
        <v>48591.289284830484</v>
      </c>
      <c r="V15" s="724">
        <v>51652.472160356345</v>
      </c>
      <c r="W15" s="517">
        <v>56272.679135868086</v>
      </c>
      <c r="X15" s="493">
        <v>59831.036969799075</v>
      </c>
      <c r="Y15" s="493">
        <v>52641.222938535699</v>
      </c>
      <c r="Z15" s="493">
        <v>49001.668813744218</v>
      </c>
      <c r="AA15" s="493">
        <v>50702.821440124186</v>
      </c>
      <c r="AB15" s="493">
        <v>55252.264096113526</v>
      </c>
      <c r="AC15" s="494">
        <v>62423.828214143716</v>
      </c>
      <c r="AD15" s="2">
        <f t="shared" si="1"/>
        <v>670095.3409599741</v>
      </c>
      <c r="AE15" s="16">
        <f t="shared" si="0"/>
        <v>1.4340409784699576E-2</v>
      </c>
      <c r="AF15" s="1"/>
      <c r="AG15" s="1"/>
      <c r="AH15" s="1"/>
      <c r="AI15" s="1"/>
      <c r="AJ15" s="1"/>
      <c r="AK15" s="1"/>
      <c r="AL15" s="2"/>
      <c r="AM15" s="2"/>
      <c r="AN15" s="12"/>
      <c r="AO15" s="180"/>
      <c r="AP15" s="172"/>
      <c r="AU15" s="177"/>
      <c r="AV15" s="177"/>
      <c r="AW15" s="177"/>
      <c r="AX15" s="177"/>
      <c r="AY15" s="177"/>
    </row>
    <row r="16" spans="1:51" x14ac:dyDescent="0.25">
      <c r="B16" s="240" t="s">
        <v>423</v>
      </c>
      <c r="C16" s="475">
        <v>4968187</v>
      </c>
      <c r="D16" s="476">
        <v>729401693</v>
      </c>
      <c r="E16" s="641">
        <f>'Util Rev and Load Data'!AA86</f>
        <v>704672307</v>
      </c>
      <c r="F16" s="639">
        <f>+E16*K16</f>
        <v>5716480.9358515264</v>
      </c>
      <c r="G16" s="638">
        <v>5459538.9300000006</v>
      </c>
      <c r="H16" s="509">
        <f>+G16-C16</f>
        <v>491351.93000000063</v>
      </c>
      <c r="I16" s="836">
        <v>394055.94260422327</v>
      </c>
      <c r="J16" s="509">
        <f>+H16-I16</f>
        <v>97295.987395777367</v>
      </c>
      <c r="K16" s="503">
        <f>'2021 Projected Revenue'!I12</f>
        <v>8.1122542763008374E-3</v>
      </c>
      <c r="L16" s="239" t="s">
        <v>417</v>
      </c>
      <c r="O16" s="181" t="s">
        <v>424</v>
      </c>
      <c r="P16" s="181" t="s">
        <v>425</v>
      </c>
      <c r="Q16" s="186">
        <v>0</v>
      </c>
      <c r="R16" s="495">
        <v>45394.9121504578</v>
      </c>
      <c r="S16" s="186">
        <v>41643.55357584756</v>
      </c>
      <c r="T16" s="186">
        <v>39348.646374659736</v>
      </c>
      <c r="U16" s="186">
        <v>34968.641425389753</v>
      </c>
      <c r="V16" s="724">
        <v>39248.007918831972</v>
      </c>
      <c r="W16" s="517">
        <v>42422.165437292104</v>
      </c>
      <c r="X16" s="493">
        <v>45104.697121124584</v>
      </c>
      <c r="Y16" s="493">
        <v>39684.527245061086</v>
      </c>
      <c r="Z16" s="493">
        <v>36940.784285407506</v>
      </c>
      <c r="AA16" s="493">
        <v>38223.228612896011</v>
      </c>
      <c r="AB16" s="493">
        <v>41652.907312462987</v>
      </c>
      <c r="AC16" s="494">
        <v>47059.31916508983</v>
      </c>
      <c r="AD16" s="2">
        <f t="shared" si="1"/>
        <v>491691.39062452089</v>
      </c>
      <c r="AE16" s="16">
        <f t="shared" si="0"/>
        <v>1.0522466876225592E-2</v>
      </c>
      <c r="AF16" s="1"/>
      <c r="AG16" s="1"/>
      <c r="AH16" s="1"/>
      <c r="AI16" s="1"/>
      <c r="AJ16" s="1"/>
      <c r="AK16" s="1"/>
      <c r="AL16" s="2"/>
      <c r="AM16" s="2"/>
      <c r="AN16" s="12"/>
      <c r="AO16" s="180"/>
      <c r="AP16" s="172"/>
      <c r="AU16" s="177"/>
      <c r="AV16" s="177"/>
      <c r="AW16" s="177"/>
      <c r="AX16" s="177"/>
      <c r="AY16" s="177"/>
    </row>
    <row r="17" spans="1:51" x14ac:dyDescent="0.25">
      <c r="B17" s="241" t="s">
        <v>62</v>
      </c>
      <c r="C17" s="248">
        <f t="shared" ref="C17:I17" si="2">SUM(C14:C16)</f>
        <v>46679702</v>
      </c>
      <c r="D17" s="249">
        <f t="shared" si="2"/>
        <v>4608979410</v>
      </c>
      <c r="E17" s="642">
        <f t="shared" si="2"/>
        <v>4633557363.1200056</v>
      </c>
      <c r="F17" s="312">
        <f t="shared" si="2"/>
        <v>49588429.597953528</v>
      </c>
      <c r="G17" s="251">
        <f>SUM(G14:G16)</f>
        <v>47670964.07</v>
      </c>
      <c r="H17" s="252">
        <f t="shared" si="2"/>
        <v>991262.0699999975</v>
      </c>
      <c r="I17" s="837">
        <f t="shared" si="2"/>
        <v>593157.26050583459</v>
      </c>
      <c r="J17" s="510">
        <f>SUM(J14:J16)</f>
        <v>398104.80949416291</v>
      </c>
      <c r="K17" s="240"/>
      <c r="L17" s="243"/>
      <c r="O17" s="181" t="s">
        <v>426</v>
      </c>
      <c r="P17" s="181" t="s">
        <v>427</v>
      </c>
      <c r="Q17" s="186">
        <v>0</v>
      </c>
      <c r="R17" s="495">
        <v>27944.776045533279</v>
      </c>
      <c r="S17" s="186">
        <v>23530.413264043549</v>
      </c>
      <c r="T17" s="186">
        <v>24594.466716159364</v>
      </c>
      <c r="U17" s="186">
        <v>21450.007423904972</v>
      </c>
      <c r="V17" s="724">
        <v>20337.223459539717</v>
      </c>
      <c r="W17" s="517">
        <v>23865.396148270567</v>
      </c>
      <c r="X17" s="493">
        <v>25374.505375841291</v>
      </c>
      <c r="Y17" s="493">
        <v>22325.285706129045</v>
      </c>
      <c r="Z17" s="493">
        <v>20781.74091094518</v>
      </c>
      <c r="AA17" s="493">
        <v>21503.204362848814</v>
      </c>
      <c r="AB17" s="493">
        <v>23432.635356828643</v>
      </c>
      <c r="AC17" s="494">
        <v>26474.115188742686</v>
      </c>
      <c r="AD17" s="2">
        <f t="shared" si="1"/>
        <v>281613.76995878707</v>
      </c>
      <c r="AE17" s="16">
        <f t="shared" si="0"/>
        <v>6.0266899579359259E-3</v>
      </c>
      <c r="AF17" s="1"/>
      <c r="AG17" s="1"/>
      <c r="AH17" s="1"/>
      <c r="AI17" s="1"/>
      <c r="AJ17" s="1"/>
      <c r="AK17" s="1"/>
      <c r="AL17" s="2"/>
      <c r="AM17" s="2"/>
      <c r="AN17" s="12"/>
      <c r="AO17" s="180"/>
      <c r="AP17" s="172"/>
      <c r="AU17" s="177"/>
      <c r="AV17" s="177"/>
      <c r="AW17" s="177"/>
      <c r="AX17" s="177"/>
      <c r="AY17" s="177"/>
    </row>
    <row r="18" spans="1:51" x14ac:dyDescent="0.25">
      <c r="B18" s="238"/>
      <c r="G18" s="325">
        <f>G14/G$17</f>
        <v>0.52453542565832145</v>
      </c>
      <c r="H18" s="12"/>
      <c r="J18" s="168"/>
      <c r="L18" s="239"/>
      <c r="O18" s="181" t="s">
        <v>428</v>
      </c>
      <c r="P18" s="181" t="s">
        <v>429</v>
      </c>
      <c r="Q18" s="186">
        <v>0</v>
      </c>
      <c r="R18" s="495">
        <v>12551.328878990347</v>
      </c>
      <c r="S18" s="186">
        <v>12077.030438010392</v>
      </c>
      <c r="T18" s="186">
        <v>12390.556792873049</v>
      </c>
      <c r="U18" s="186">
        <v>10565.622370700321</v>
      </c>
      <c r="V18" s="724">
        <v>9563.0982430091553</v>
      </c>
      <c r="W18" s="517">
        <v>11205.95370415533</v>
      </c>
      <c r="X18" s="493">
        <v>11914.553219269461</v>
      </c>
      <c r="Y18" s="493">
        <v>10482.79762467099</v>
      </c>
      <c r="Z18" s="493">
        <v>9758.0289509117756</v>
      </c>
      <c r="AA18" s="493">
        <v>10096.790813109401</v>
      </c>
      <c r="AB18" s="493">
        <v>11002.751655308417</v>
      </c>
      <c r="AC18" s="494">
        <v>12430.873023032738</v>
      </c>
      <c r="AD18" s="2">
        <f t="shared" si="1"/>
        <v>134039.38571404136</v>
      </c>
      <c r="AE18" s="16">
        <f t="shared" si="0"/>
        <v>2.8685167631147196E-3</v>
      </c>
      <c r="AF18" s="1"/>
      <c r="AG18" s="1"/>
      <c r="AH18" s="1"/>
      <c r="AI18" s="1"/>
      <c r="AJ18" s="1"/>
      <c r="AK18" s="1"/>
      <c r="AL18" s="2"/>
      <c r="AM18" s="2"/>
      <c r="AN18" s="12"/>
      <c r="AO18" s="180"/>
      <c r="AP18" s="172"/>
      <c r="AU18" s="177"/>
      <c r="AV18" s="177"/>
      <c r="AW18" s="177"/>
      <c r="AX18" s="177"/>
      <c r="AY18" s="177"/>
    </row>
    <row r="19" spans="1:51" x14ac:dyDescent="0.25">
      <c r="B19" s="238" t="s">
        <v>430</v>
      </c>
      <c r="F19" s="168"/>
      <c r="G19" s="325">
        <f t="shared" ref="G19:G20" si="3">G15/G$17</f>
        <v>0.36093911767201226</v>
      </c>
      <c r="H19" s="12"/>
      <c r="L19" s="239"/>
      <c r="O19" s="181" t="s">
        <v>431</v>
      </c>
      <c r="P19" s="181" t="s">
        <v>432</v>
      </c>
      <c r="Q19" s="186">
        <v>0</v>
      </c>
      <c r="R19" s="495">
        <v>91215.718881464971</v>
      </c>
      <c r="S19" s="186">
        <v>73796.189062113335</v>
      </c>
      <c r="T19" s="186">
        <v>61337.084879980197</v>
      </c>
      <c r="U19" s="186">
        <v>54169.680772086111</v>
      </c>
      <c r="V19" s="724">
        <v>54799.77233358079</v>
      </c>
      <c r="W19" s="517">
        <v>64368.095037708074</v>
      </c>
      <c r="X19" s="493">
        <v>68438.36001797716</v>
      </c>
      <c r="Y19" s="493">
        <v>60214.215726741102</v>
      </c>
      <c r="Z19" s="493">
        <v>56051.073516400938</v>
      </c>
      <c r="AA19" s="493">
        <v>57996.954814572113</v>
      </c>
      <c r="AB19" s="493">
        <v>63200.882577497301</v>
      </c>
      <c r="AC19" s="494">
        <v>71404.151513810459</v>
      </c>
      <c r="AD19" s="2">
        <f t="shared" si="1"/>
        <v>776992.17913393257</v>
      </c>
      <c r="AE19" s="16">
        <f t="shared" si="0"/>
        <v>1.6628061064153626E-2</v>
      </c>
      <c r="AF19" s="1"/>
      <c r="AG19" s="1"/>
      <c r="AH19" s="1"/>
      <c r="AI19" s="1"/>
      <c r="AJ19" s="1"/>
      <c r="AK19" s="1"/>
      <c r="AL19" s="2"/>
      <c r="AM19" s="2"/>
      <c r="AN19" s="12"/>
      <c r="AO19" s="180"/>
      <c r="AP19" s="172"/>
      <c r="AU19" s="177"/>
      <c r="AV19" s="177"/>
      <c r="AW19" s="177"/>
      <c r="AX19" s="177"/>
      <c r="AY19" s="177"/>
    </row>
    <row r="20" spans="1:51" x14ac:dyDescent="0.25">
      <c r="B20" s="240" t="s">
        <v>433</v>
      </c>
      <c r="C20" s="11"/>
      <c r="D20" s="11"/>
      <c r="E20" s="11"/>
      <c r="F20" s="242"/>
      <c r="G20" s="759">
        <f t="shared" si="3"/>
        <v>0.11452545666966622</v>
      </c>
      <c r="H20" s="227"/>
      <c r="I20" s="11"/>
      <c r="J20" s="11"/>
      <c r="K20" s="11"/>
      <c r="L20" s="243"/>
      <c r="O20" s="181" t="s">
        <v>434</v>
      </c>
      <c r="P20" s="181" t="s">
        <v>435</v>
      </c>
      <c r="Q20" s="186">
        <v>0</v>
      </c>
      <c r="R20" s="495">
        <v>48065.369957931201</v>
      </c>
      <c r="S20" s="186">
        <v>50375.471417965848</v>
      </c>
      <c r="T20" s="186">
        <v>45475.219005196726</v>
      </c>
      <c r="U20" s="186">
        <v>42809.809453105663</v>
      </c>
      <c r="V20" s="724">
        <v>46415.590200445426</v>
      </c>
      <c r="W20" s="517">
        <v>50409.842289383283</v>
      </c>
      <c r="X20" s="493">
        <v>53597.468326959286</v>
      </c>
      <c r="Y20" s="493">
        <v>47156.733729431209</v>
      </c>
      <c r="Z20" s="493">
        <v>43896.370934344915</v>
      </c>
      <c r="AA20" s="493">
        <v>45420.28692560122</v>
      </c>
      <c r="AB20" s="493">
        <v>49495.740419459078</v>
      </c>
      <c r="AC20" s="494">
        <v>55920.126492943033</v>
      </c>
      <c r="AD20" s="2">
        <f t="shared" si="1"/>
        <v>579038.02915276692</v>
      </c>
      <c r="AE20" s="16">
        <f t="shared" si="0"/>
        <v>1.2391733103351763E-2</v>
      </c>
      <c r="AF20" s="1"/>
      <c r="AG20" s="1"/>
      <c r="AH20" s="1"/>
      <c r="AI20" s="1"/>
      <c r="AJ20" s="1"/>
      <c r="AK20" s="1"/>
      <c r="AL20" s="2"/>
      <c r="AM20" s="2"/>
      <c r="AN20" s="12"/>
      <c r="AO20" s="180"/>
      <c r="AP20" s="172"/>
      <c r="AU20" s="177"/>
      <c r="AV20" s="177"/>
      <c r="AW20" s="177"/>
      <c r="AX20" s="177"/>
      <c r="AY20" s="177"/>
    </row>
    <row r="21" spans="1:51" x14ac:dyDescent="0.25">
      <c r="F21" s="203"/>
      <c r="G21" s="167"/>
      <c r="I21" s="9"/>
      <c r="O21" s="181" t="s">
        <v>436</v>
      </c>
      <c r="P21" s="181" t="s">
        <v>437</v>
      </c>
      <c r="Q21" s="186">
        <v>0</v>
      </c>
      <c r="R21" s="495">
        <v>469588.39891116053</v>
      </c>
      <c r="S21" s="186">
        <v>411607.12694877497</v>
      </c>
      <c r="T21" s="186">
        <v>419056.32269240287</v>
      </c>
      <c r="U21" s="186">
        <v>357829.95298193517</v>
      </c>
      <c r="V21" s="724">
        <v>356800.20786933921</v>
      </c>
      <c r="W21" s="517">
        <v>404734.01290239219</v>
      </c>
      <c r="X21" s="493">
        <v>430327.04432697175</v>
      </c>
      <c r="Y21" s="493">
        <v>378615.230893153</v>
      </c>
      <c r="Z21" s="493">
        <v>352438.20558135497</v>
      </c>
      <c r="AA21" s="493">
        <v>364673.52722601703</v>
      </c>
      <c r="AB21" s="493">
        <v>397394.80886576453</v>
      </c>
      <c r="AC21" s="494">
        <v>448975.36214400834</v>
      </c>
      <c r="AD21" s="2">
        <f t="shared" si="1"/>
        <v>4792040.2013432737</v>
      </c>
      <c r="AE21" s="16">
        <f t="shared" si="0"/>
        <v>0.10255230262244364</v>
      </c>
      <c r="AF21" s="1"/>
      <c r="AG21" s="1"/>
      <c r="AH21" s="1"/>
      <c r="AI21" s="1"/>
      <c r="AJ21" s="1"/>
      <c r="AK21" s="1"/>
      <c r="AL21" s="2"/>
      <c r="AM21" s="2"/>
      <c r="AN21" s="12"/>
      <c r="AO21" s="180"/>
      <c r="AP21" s="172"/>
      <c r="AU21" s="177"/>
      <c r="AV21" s="177"/>
      <c r="AW21" s="177"/>
      <c r="AX21" s="177"/>
      <c r="AY21" s="177"/>
    </row>
    <row r="22" spans="1:51" x14ac:dyDescent="0.25">
      <c r="F22" s="202"/>
      <c r="K22" s="425"/>
      <c r="O22" s="181" t="s">
        <v>438</v>
      </c>
      <c r="P22" s="181" t="s">
        <v>439</v>
      </c>
      <c r="Q22" s="186">
        <v>0</v>
      </c>
      <c r="R22" s="495">
        <v>86063.608017817358</v>
      </c>
      <c r="S22" s="186">
        <v>88014.501361049231</v>
      </c>
      <c r="T22" s="186">
        <v>71468.230635981192</v>
      </c>
      <c r="U22" s="186">
        <v>70288.067310071769</v>
      </c>
      <c r="V22" s="724">
        <v>62349.388765157135</v>
      </c>
      <c r="W22" s="517">
        <v>74674.08880004783</v>
      </c>
      <c r="X22" s="493">
        <v>79396.04504868752</v>
      </c>
      <c r="Y22" s="493">
        <v>69855.13070675463</v>
      </c>
      <c r="Z22" s="493">
        <v>65025.426628669833</v>
      </c>
      <c r="AA22" s="493">
        <v>67282.863527631387</v>
      </c>
      <c r="AB22" s="493">
        <v>73319.993625237374</v>
      </c>
      <c r="AC22" s="494">
        <v>82836.690253311666</v>
      </c>
      <c r="AD22" s="2">
        <f t="shared" si="1"/>
        <v>890574.03468041692</v>
      </c>
      <c r="AE22" s="16">
        <f t="shared" si="0"/>
        <v>1.9058775401474215E-2</v>
      </c>
      <c r="AF22" s="1"/>
      <c r="AG22" s="1"/>
      <c r="AH22" s="1"/>
      <c r="AI22" s="1"/>
      <c r="AJ22" s="1"/>
      <c r="AK22" s="1"/>
      <c r="AL22" s="2"/>
      <c r="AM22" s="2"/>
      <c r="AN22" s="12"/>
      <c r="AO22" s="180"/>
      <c r="AP22" s="172"/>
      <c r="AU22" s="177"/>
      <c r="AV22" s="177"/>
      <c r="AW22" s="177"/>
      <c r="AX22" s="177"/>
      <c r="AY22" s="177"/>
    </row>
    <row r="23" spans="1:51" x14ac:dyDescent="0.25">
      <c r="B23" s="232">
        <v>2022</v>
      </c>
      <c r="C23" s="233" t="s">
        <v>440</v>
      </c>
      <c r="D23" s="538"/>
      <c r="E23" s="234"/>
      <c r="F23" s="234"/>
      <c r="G23" s="235"/>
      <c r="H23" s="235"/>
      <c r="I23" s="235"/>
      <c r="J23" s="244"/>
      <c r="O23" s="181"/>
      <c r="P23" s="181" t="s">
        <v>441</v>
      </c>
      <c r="Q23" s="186"/>
      <c r="R23" s="496">
        <v>1594.8799999999999</v>
      </c>
      <c r="S23" s="497">
        <v>1312.3700000000001</v>
      </c>
      <c r="T23" s="497">
        <v>1710.56</v>
      </c>
      <c r="U23" s="497">
        <v>1785.8000000000002</v>
      </c>
      <c r="V23" s="867">
        <v>2164.46</v>
      </c>
      <c r="W23" s="876"/>
      <c r="X23" s="519"/>
      <c r="Y23" s="519"/>
      <c r="Z23" s="519"/>
      <c r="AA23" s="519"/>
      <c r="AB23" s="519"/>
      <c r="AC23" s="520"/>
      <c r="AD23" s="521"/>
      <c r="AE23" s="1"/>
      <c r="AF23" s="1"/>
      <c r="AG23" s="1"/>
      <c r="AH23" s="1"/>
      <c r="AI23" s="1"/>
      <c r="AJ23" s="1"/>
      <c r="AK23" s="1"/>
      <c r="AL23" s="1"/>
      <c r="AN23" s="12"/>
      <c r="AO23" s="180"/>
      <c r="AT23" s="193"/>
      <c r="AU23" s="194"/>
      <c r="AV23" s="194"/>
      <c r="AW23" s="194"/>
      <c r="AX23" s="194"/>
      <c r="AY23" s="194"/>
    </row>
    <row r="24" spans="1:51" x14ac:dyDescent="0.25">
      <c r="B24" s="238"/>
      <c r="G24" s="8"/>
      <c r="J24" s="245"/>
      <c r="O24" s="187" t="s">
        <v>442</v>
      </c>
      <c r="P24" s="188"/>
      <c r="Q24" s="380">
        <f>SUM(Q7:Q23)</f>
        <v>0</v>
      </c>
      <c r="R24" s="378">
        <f>SUM(R7:R23)</f>
        <v>4543014.8354565706</v>
      </c>
      <c r="S24" s="379">
        <f t="shared" ref="S24:V24" si="4">SUM(S7:S23)</f>
        <v>4086921.5558450879</v>
      </c>
      <c r="T24" s="379">
        <f t="shared" si="4"/>
        <v>3821090.4659638698</v>
      </c>
      <c r="U24" s="379">
        <f t="shared" si="4"/>
        <v>3428970.655233853</v>
      </c>
      <c r="V24" s="379">
        <f t="shared" si="4"/>
        <v>3553306.3456718642</v>
      </c>
      <c r="W24" s="834">
        <f t="shared" ref="W24" si="5">SUM(W7:W23)</f>
        <v>3979055.2118701567</v>
      </c>
      <c r="X24" s="832">
        <f t="shared" ref="X24" si="6">SUM(X7:X23)</f>
        <v>4230667.5840235427</v>
      </c>
      <c r="Y24" s="832">
        <f t="shared" ref="Y24" si="7">SUM(Y7:Y23)</f>
        <v>3722274.0361634651</v>
      </c>
      <c r="Z24" s="832">
        <f t="shared" ref="Z24" si="8">SUM(Z7:Z23)</f>
        <v>3464920.2539813714</v>
      </c>
      <c r="AA24" s="832">
        <f t="shared" ref="AA24" si="9">SUM(AA7:AA23)</f>
        <v>3585209.1815414112</v>
      </c>
      <c r="AB24" s="832">
        <f t="shared" ref="AB24" si="10">SUM(AB7:AB23)</f>
        <v>3906901.4092690293</v>
      </c>
      <c r="AC24" s="833">
        <f t="shared" ref="AC24:AD24" si="11">SUM(AC7:AC23)</f>
        <v>4414004.501201259</v>
      </c>
      <c r="AD24" s="835">
        <f t="shared" si="11"/>
        <v>46727767.966221489</v>
      </c>
      <c r="AE24" s="374">
        <v>46679702.199746422</v>
      </c>
      <c r="AF24" s="973" t="s">
        <v>443</v>
      </c>
      <c r="AG24" s="975"/>
      <c r="AH24" s="1"/>
      <c r="AI24" s="1"/>
      <c r="AJ24" s="1"/>
      <c r="AK24" s="1"/>
      <c r="AL24" s="1"/>
      <c r="AT24" s="4"/>
      <c r="AU24" s="195"/>
      <c r="AV24" s="195"/>
      <c r="AW24" s="195"/>
      <c r="AX24" s="195"/>
      <c r="AY24" s="195"/>
    </row>
    <row r="25" spans="1:51" x14ac:dyDescent="0.25">
      <c r="B25" s="426" t="s">
        <v>385</v>
      </c>
      <c r="C25" s="1003" t="s">
        <v>444</v>
      </c>
      <c r="D25" s="1004"/>
      <c r="E25" s="14"/>
      <c r="F25" s="1007" t="s">
        <v>445</v>
      </c>
      <c r="G25" s="1008"/>
      <c r="H25" s="1008"/>
      <c r="I25" s="1008"/>
      <c r="J25" s="1009"/>
      <c r="P25" s="324"/>
      <c r="Q25" s="1"/>
      <c r="R25" s="2"/>
      <c r="S25" s="2"/>
      <c r="T25" s="2"/>
      <c r="U25" s="2"/>
      <c r="V25" s="374" t="s">
        <v>446</v>
      </c>
      <c r="W25" s="499">
        <f>SUM(R24:W24)</f>
        <v>23412359.070041403</v>
      </c>
      <c r="X25" s="1"/>
      <c r="Y25" s="1"/>
      <c r="Z25" s="1"/>
      <c r="AA25" s="1"/>
      <c r="AB25" s="500" t="s">
        <v>447</v>
      </c>
      <c r="AC25" s="501">
        <f>SUM(X24:AC24)</f>
        <v>23323976.966180079</v>
      </c>
      <c r="AD25" s="502">
        <f>+AC25+W25</f>
        <v>46736336.036221482</v>
      </c>
      <c r="AE25" s="374">
        <f>AD24-AE24</f>
        <v>48065.766475066543</v>
      </c>
      <c r="AF25" s="974" t="s">
        <v>448</v>
      </c>
      <c r="AG25" s="975"/>
      <c r="AH25" s="1"/>
      <c r="AI25" s="1"/>
      <c r="AJ25" s="1"/>
      <c r="AK25" s="1"/>
      <c r="AL25" s="1"/>
      <c r="AU25" s="177"/>
      <c r="AV25" s="177"/>
      <c r="AW25" s="177"/>
      <c r="AX25" s="177"/>
      <c r="AY25" s="177"/>
    </row>
    <row r="26" spans="1:51" x14ac:dyDescent="0.25">
      <c r="B26" s="426" t="s">
        <v>449</v>
      </c>
      <c r="C26" s="247" t="s">
        <v>393</v>
      </c>
      <c r="D26" s="246" t="s">
        <v>393</v>
      </c>
      <c r="E26" s="14"/>
      <c r="F26" s="719" t="s">
        <v>446</v>
      </c>
      <c r="G26" s="553" t="s">
        <v>450</v>
      </c>
      <c r="H26" s="553" t="s">
        <v>217</v>
      </c>
      <c r="I26" s="884" t="s">
        <v>217</v>
      </c>
      <c r="J26" s="877" t="s">
        <v>396</v>
      </c>
      <c r="K26" s="535"/>
      <c r="L26" s="536"/>
      <c r="P26" s="1" t="s">
        <v>451</v>
      </c>
      <c r="Q26" s="1"/>
      <c r="R26" s="16">
        <v>9.0973556733360911E-2</v>
      </c>
      <c r="S26" s="16">
        <v>8.4226076282858706E-2</v>
      </c>
      <c r="T26" s="16">
        <v>7.909585065615142E-2</v>
      </c>
      <c r="U26" s="16">
        <v>7.3139160248166565E-2</v>
      </c>
      <c r="V26" s="16">
        <v>7.4926861046037921E-2</v>
      </c>
      <c r="W26" s="16">
        <v>8.7097892753053366E-2</v>
      </c>
      <c r="X26" s="16">
        <v>9.2605458302729912E-2</v>
      </c>
      <c r="Y26" s="16">
        <v>8.1477186803564222E-2</v>
      </c>
      <c r="Z26" s="16">
        <v>7.584394702010476E-2</v>
      </c>
      <c r="AA26" s="16">
        <v>7.8476962033505404E-2</v>
      </c>
      <c r="AB26" s="16">
        <v>8.5518511762829721E-2</v>
      </c>
      <c r="AC26" s="16">
        <v>9.6618536357637078E-2</v>
      </c>
      <c r="AD26" s="1"/>
      <c r="AE26" s="1"/>
      <c r="AF26" s="1"/>
      <c r="AG26" s="1"/>
      <c r="AH26" s="1"/>
      <c r="AI26" s="1"/>
      <c r="AJ26" s="1"/>
      <c r="AK26" s="1"/>
      <c r="AL26" s="1"/>
      <c r="AT26" s="4"/>
      <c r="AU26" s="195"/>
      <c r="AV26" s="195"/>
      <c r="AW26" s="195"/>
      <c r="AX26" s="195"/>
      <c r="AY26" s="195"/>
    </row>
    <row r="27" spans="1:51" x14ac:dyDescent="0.25">
      <c r="B27" s="238"/>
      <c r="C27" s="247" t="s">
        <v>400</v>
      </c>
      <c r="D27" s="246" t="s">
        <v>47</v>
      </c>
      <c r="E27" s="14"/>
      <c r="F27" s="720" t="s">
        <v>452</v>
      </c>
      <c r="G27" s="874" t="s">
        <v>453</v>
      </c>
      <c r="H27" s="874" t="s">
        <v>454</v>
      </c>
      <c r="I27" s="885" t="s">
        <v>62</v>
      </c>
      <c r="J27" s="878" t="s">
        <v>404</v>
      </c>
      <c r="K27" s="535"/>
      <c r="L27" s="536"/>
      <c r="P27" s="1"/>
      <c r="Q27" s="1"/>
      <c r="R27" s="16"/>
      <c r="S27" s="16"/>
      <c r="T27" s="16"/>
      <c r="U27" s="16"/>
      <c r="V27" s="933">
        <f>SUM(R24:V24)</f>
        <v>19433303.858171247</v>
      </c>
      <c r="W27" s="16"/>
      <c r="X27" s="16"/>
      <c r="Y27" s="16"/>
      <c r="Z27" s="16"/>
      <c r="AA27" s="16"/>
      <c r="AB27" s="16"/>
      <c r="AC27" s="16"/>
      <c r="AD27" s="1"/>
      <c r="AE27" s="1"/>
      <c r="AF27" s="1"/>
      <c r="AG27" s="1"/>
      <c r="AH27" s="1"/>
      <c r="AI27" s="1"/>
      <c r="AJ27" s="1"/>
      <c r="AK27" s="1"/>
      <c r="AL27" s="1"/>
      <c r="AU27" s="176"/>
      <c r="AV27" s="176"/>
      <c r="AW27" s="176"/>
      <c r="AX27" s="176"/>
      <c r="AY27" s="176"/>
    </row>
    <row r="28" spans="1:51" x14ac:dyDescent="0.25">
      <c r="B28" s="247" t="s">
        <v>6</v>
      </c>
      <c r="C28" s="247" t="s">
        <v>455</v>
      </c>
      <c r="D28" s="246" t="s">
        <v>456</v>
      </c>
      <c r="E28" s="14"/>
      <c r="F28" s="238"/>
      <c r="G28" s="8"/>
      <c r="H28" s="8"/>
      <c r="I28" s="507"/>
      <c r="J28" s="879" t="s">
        <v>410</v>
      </c>
      <c r="K28" s="535"/>
      <c r="L28" s="536"/>
      <c r="N28" s="1" t="s">
        <v>356</v>
      </c>
      <c r="O28" s="181" t="s">
        <v>769</v>
      </c>
      <c r="P28" s="181"/>
      <c r="Q28" s="181"/>
      <c r="R28" s="16"/>
      <c r="S28" s="16"/>
      <c r="T28" s="16"/>
      <c r="U28" s="16"/>
      <c r="V28" s="16"/>
      <c r="W28" s="16"/>
      <c r="X28" s="1"/>
      <c r="Y28" s="1"/>
      <c r="Z28" s="1"/>
      <c r="AA28" s="1"/>
      <c r="AB28" s="1"/>
      <c r="AC28" s="3"/>
      <c r="AD28" s="3"/>
      <c r="AE28" s="1"/>
      <c r="AF28" s="1"/>
      <c r="AG28" s="1"/>
      <c r="AH28" s="1"/>
      <c r="AI28" s="1"/>
      <c r="AJ28" s="1"/>
      <c r="AK28" s="1"/>
      <c r="AL28" s="1"/>
      <c r="AT28" s="193"/>
    </row>
    <row r="29" spans="1:51" x14ac:dyDescent="0.25">
      <c r="A29" s="197"/>
      <c r="B29" s="238"/>
      <c r="C29" s="238"/>
      <c r="D29" s="239"/>
      <c r="F29" s="289"/>
      <c r="I29" s="886"/>
      <c r="J29" s="880" t="s">
        <v>457</v>
      </c>
      <c r="O29" s="181" t="s">
        <v>462</v>
      </c>
      <c r="P29" s="181"/>
      <c r="Q29" s="181"/>
      <c r="R29" s="1"/>
      <c r="S29" s="1"/>
      <c r="T29" s="460"/>
      <c r="U29" s="3"/>
      <c r="V29" s="1"/>
      <c r="W29" s="1"/>
      <c r="X29" s="1"/>
      <c r="Y29" s="1"/>
      <c r="Z29" s="1"/>
      <c r="AA29" s="1"/>
      <c r="AB29" s="1"/>
      <c r="AC29" s="1"/>
      <c r="AD29" s="1"/>
      <c r="AE29" s="1"/>
      <c r="AF29" s="1"/>
      <c r="AG29" s="1"/>
      <c r="AI29" s="1"/>
      <c r="AJ29" s="1"/>
      <c r="AK29" s="1"/>
      <c r="AL29" s="1"/>
      <c r="AU29" s="178"/>
    </row>
    <row r="30" spans="1:51" x14ac:dyDescent="0.25">
      <c r="B30" s="238" t="s">
        <v>16</v>
      </c>
      <c r="C30" s="394">
        <f>'Projected 2022 EEC Collections'!I9</f>
        <v>23402001.622796677</v>
      </c>
      <c r="D30" s="474">
        <f>'Projected 2022 EEC Collections'!B9</f>
        <v>2140668931</v>
      </c>
      <c r="E30" s="173">
        <f>C30/C$33</f>
        <v>0.50583545664202956</v>
      </c>
      <c r="F30" s="868">
        <f>G30/G33</f>
        <v>0.51258922427927289</v>
      </c>
      <c r="G30" s="869">
        <v>9955897.4100000001</v>
      </c>
      <c r="H30" s="869">
        <f>H$33*$F30</f>
        <v>13995240.084618792</v>
      </c>
      <c r="I30" s="508">
        <f>+G30+H30</f>
        <v>23951137.494618792</v>
      </c>
      <c r="J30" s="881">
        <f>+I30-C30</f>
        <v>549135.87182211503</v>
      </c>
      <c r="K30" s="10">
        <f>I30/G14-1</f>
        <v>-4.2150262862545196E-2</v>
      </c>
      <c r="L30" s="168"/>
      <c r="O30" s="190" t="s">
        <v>359</v>
      </c>
      <c r="P30" s="181"/>
      <c r="Q30" s="182" t="s">
        <v>360</v>
      </c>
      <c r="R30" s="69"/>
      <c r="S30" s="1"/>
      <c r="T30" s="1"/>
      <c r="U30" s="1"/>
      <c r="V30" s="1"/>
      <c r="W30" s="1"/>
      <c r="X30" s="1"/>
      <c r="Y30" s="1"/>
      <c r="Z30" s="1"/>
      <c r="AA30" s="1"/>
      <c r="AB30" s="1"/>
      <c r="AC30" s="1"/>
      <c r="AD30" s="70" t="s">
        <v>363</v>
      </c>
      <c r="AE30" s="1"/>
      <c r="AF30" s="1"/>
      <c r="AG30" s="1"/>
      <c r="AK30" s="70"/>
      <c r="AL30" s="70"/>
      <c r="AM30" s="70"/>
      <c r="AN30" s="70"/>
      <c r="AU30" s="178"/>
    </row>
    <row r="31" spans="1:51" x14ac:dyDescent="0.25">
      <c r="B31" s="238" t="s">
        <v>76</v>
      </c>
      <c r="C31" s="394">
        <f>'Projected 2022 EEC Collections'!I10</f>
        <v>17473824.322025269</v>
      </c>
      <c r="D31" s="474">
        <f>'Projected 2022 EEC Collections'!B10+'Projected 2022 EEC Collections'!B15+'Projected 2022 EEC Collections'!B22</f>
        <v>1706792583.4785299</v>
      </c>
      <c r="E31" s="173">
        <f t="shared" ref="E31:E32" si="12">C31/C$33</f>
        <v>0.37769760243944284</v>
      </c>
      <c r="F31" s="868">
        <f>G31/G33</f>
        <v>0.37117633137436118</v>
      </c>
      <c r="G31" s="869">
        <v>7209268.7500000019</v>
      </c>
      <c r="H31" s="869">
        <f t="shared" ref="H31:H32" si="13">H$33*$F31</f>
        <v>10134239.319244817</v>
      </c>
      <c r="I31" s="508">
        <f>+H31+G31</f>
        <v>17343508.069244817</v>
      </c>
      <c r="J31" s="881">
        <f>+I31-C31</f>
        <v>-130316.25278045237</v>
      </c>
      <c r="K31" s="10">
        <f t="shared" ref="K31:K32" si="14">I31/G15-1</f>
        <v>7.9733721940884461E-3</v>
      </c>
      <c r="L31" s="168"/>
      <c r="O31" s="191" t="s">
        <v>364</v>
      </c>
      <c r="P31" s="183" t="s">
        <v>365</v>
      </c>
      <c r="Q31" s="184" t="s">
        <v>366</v>
      </c>
      <c r="R31" s="185" t="s">
        <v>367</v>
      </c>
      <c r="S31" s="185" t="s">
        <v>368</v>
      </c>
      <c r="T31" s="185" t="s">
        <v>369</v>
      </c>
      <c r="U31" s="185" t="s">
        <v>370</v>
      </c>
      <c r="V31" s="185" t="s">
        <v>371</v>
      </c>
      <c r="W31" s="185" t="s">
        <v>372</v>
      </c>
      <c r="X31" s="185" t="s">
        <v>373</v>
      </c>
      <c r="Y31" s="185" t="s">
        <v>374</v>
      </c>
      <c r="Z31" s="185" t="s">
        <v>375</v>
      </c>
      <c r="AA31" s="185" t="s">
        <v>376</v>
      </c>
      <c r="AB31" s="185" t="s">
        <v>377</v>
      </c>
      <c r="AC31" s="185" t="s">
        <v>378</v>
      </c>
      <c r="AD31" s="185" t="s">
        <v>379</v>
      </c>
      <c r="AE31" s="1"/>
      <c r="AF31" s="1"/>
      <c r="AG31" s="1"/>
      <c r="AK31" s="198"/>
      <c r="AL31" s="198"/>
      <c r="AM31" s="198"/>
      <c r="AN31" s="198"/>
      <c r="AT31" s="193"/>
      <c r="AU31" s="196"/>
    </row>
    <row r="32" spans="1:51" x14ac:dyDescent="0.25">
      <c r="B32" s="240" t="s">
        <v>52</v>
      </c>
      <c r="C32" s="475">
        <f>'Projected 2022 EEC Collections'!I11</f>
        <v>5388233.4751127912</v>
      </c>
      <c r="D32" s="476">
        <f>'Projected 2022 EEC Collections'!B11+'Projected 2022 EEC Collections'!B18</f>
        <v>699039283.44000006</v>
      </c>
      <c r="E32" s="173">
        <f t="shared" si="12"/>
        <v>0.11646694091852765</v>
      </c>
      <c r="F32" s="870">
        <f>G32/G33</f>
        <v>0.11623444434636591</v>
      </c>
      <c r="G32" s="871">
        <v>2257593.7000000002</v>
      </c>
      <c r="H32" s="871">
        <f t="shared" si="13"/>
        <v>3173552.7741866168</v>
      </c>
      <c r="I32" s="509">
        <f>+H32+G32</f>
        <v>5431146.4741866169</v>
      </c>
      <c r="J32" s="882">
        <f>+I32-C32</f>
        <v>42912.999073825777</v>
      </c>
      <c r="K32" s="10">
        <f t="shared" si="14"/>
        <v>-5.2005226407247918E-3</v>
      </c>
      <c r="L32" s="168"/>
      <c r="O32" s="181" t="s">
        <v>381</v>
      </c>
      <c r="P32" s="181" t="s">
        <v>382</v>
      </c>
      <c r="Q32" s="186">
        <v>0</v>
      </c>
      <c r="R32" s="186">
        <v>15278.089581786686</v>
      </c>
      <c r="S32" s="186">
        <v>14445.958921059144</v>
      </c>
      <c r="T32" s="186">
        <v>14641.464983914871</v>
      </c>
      <c r="U32" s="186">
        <v>13852.432566196485</v>
      </c>
      <c r="V32" s="186">
        <v>10773.887651571393</v>
      </c>
      <c r="W32" s="186">
        <v>13892.036624597871</v>
      </c>
      <c r="X32" s="186">
        <v>13620.341499628805</v>
      </c>
      <c r="Y32" s="186">
        <v>11715.001237317494</v>
      </c>
      <c r="Z32" s="186">
        <v>18020.836426627069</v>
      </c>
      <c r="AA32" s="186">
        <v>12302.73694630042</v>
      </c>
      <c r="AB32" s="186">
        <v>10400.405840138579</v>
      </c>
      <c r="AC32" s="186">
        <v>14895.164563226923</v>
      </c>
      <c r="AD32" s="186">
        <f>SUM(R32:AC32)</f>
        <v>163838.35684236573</v>
      </c>
      <c r="AE32" s="16">
        <f>AD32/AD$48</f>
        <v>3.4368565754360554E-3</v>
      </c>
      <c r="AF32" s="1"/>
      <c r="AG32" s="198"/>
      <c r="AK32" s="198"/>
      <c r="AL32" s="198"/>
      <c r="AM32" s="198"/>
      <c r="AN32" s="198"/>
      <c r="AU32" s="178"/>
    </row>
    <row r="33" spans="2:40" x14ac:dyDescent="0.25">
      <c r="B33" s="241" t="s">
        <v>62</v>
      </c>
      <c r="C33" s="838">
        <f>SUM(C30:C32)</f>
        <v>46264059.419934735</v>
      </c>
      <c r="D33" s="839">
        <f>SUM(D30:D32)</f>
        <v>4546500797.9185295</v>
      </c>
      <c r="E33" s="231"/>
      <c r="F33" s="872">
        <f>SUM(F30:F32)</f>
        <v>1</v>
      </c>
      <c r="G33" s="873">
        <f>SUM(G30:G32)</f>
        <v>19422759.860000003</v>
      </c>
      <c r="H33" s="721">
        <f>SUM(W24:AC24)</f>
        <v>27303032.178050227</v>
      </c>
      <c r="I33" s="510">
        <f>SUM(I30:I32)</f>
        <v>46725792.038050219</v>
      </c>
      <c r="J33" s="883">
        <f>SUM(J30:J32)</f>
        <v>461732.61811548844</v>
      </c>
      <c r="K33" s="515"/>
      <c r="L33" s="516"/>
      <c r="O33" s="181" t="s">
        <v>383</v>
      </c>
      <c r="P33" s="181" t="s">
        <v>384</v>
      </c>
      <c r="Q33" s="186">
        <v>0</v>
      </c>
      <c r="R33" s="186">
        <v>23041.801534273691</v>
      </c>
      <c r="S33" s="186">
        <v>23129.403612967086</v>
      </c>
      <c r="T33" s="186">
        <v>24071.170502350902</v>
      </c>
      <c r="U33" s="186">
        <v>27351.071516951244</v>
      </c>
      <c r="V33" s="186">
        <v>20647.255629794603</v>
      </c>
      <c r="W33" s="186">
        <v>23117.169017569904</v>
      </c>
      <c r="X33" s="186">
        <v>25253.392724573125</v>
      </c>
      <c r="Y33" s="186">
        <v>25042.959663449641</v>
      </c>
      <c r="Z33" s="186">
        <v>26425.152190051962</v>
      </c>
      <c r="AA33" s="186">
        <v>20822.034149962878</v>
      </c>
      <c r="AB33" s="186">
        <v>19992.160356347438</v>
      </c>
      <c r="AC33" s="186">
        <v>26023.974263796088</v>
      </c>
      <c r="AD33" s="186">
        <f t="shared" ref="AD33:AD47" si="15">SUM(R33:AC33)</f>
        <v>284917.54516208859</v>
      </c>
      <c r="AE33" s="16">
        <f t="shared" ref="AE33:AE47" si="16">AD33/AD$48</f>
        <v>5.9767490190930318E-3</v>
      </c>
      <c r="AF33" s="1"/>
      <c r="AG33" s="198"/>
      <c r="AK33" s="198"/>
      <c r="AL33" s="198"/>
      <c r="AM33" s="198"/>
      <c r="AN33" s="198"/>
    </row>
    <row r="34" spans="2:40" x14ac:dyDescent="0.25">
      <c r="B34" s="238"/>
      <c r="C34" s="305"/>
      <c r="F34" s="12"/>
      <c r="G34" s="12"/>
      <c r="I34" s="325">
        <f>I30/I$33</f>
        <v>0.512589224279273</v>
      </c>
      <c r="J34" s="455"/>
      <c r="O34" s="181" t="s">
        <v>390</v>
      </c>
      <c r="P34" s="181" t="s">
        <v>391</v>
      </c>
      <c r="Q34" s="186">
        <v>0</v>
      </c>
      <c r="R34" s="186">
        <v>3441491.1655530808</v>
      </c>
      <c r="S34" s="186">
        <v>3219864.1524375151</v>
      </c>
      <c r="T34" s="186">
        <v>2852091.4625092796</v>
      </c>
      <c r="U34" s="186">
        <v>2655126.8497896558</v>
      </c>
      <c r="V34" s="186">
        <v>2884814.9269982674</v>
      </c>
      <c r="W34" s="186">
        <v>3199371.957436278</v>
      </c>
      <c r="X34" s="186">
        <v>3262890.4726552833</v>
      </c>
      <c r="Y34" s="186">
        <v>3241961.326404355</v>
      </c>
      <c r="Z34" s="186">
        <v>2784115.3476862158</v>
      </c>
      <c r="AA34" s="186">
        <v>2855828.3296213802</v>
      </c>
      <c r="AB34" s="186">
        <v>3226144.6473645135</v>
      </c>
      <c r="AC34" s="186">
        <v>3576832.1405592673</v>
      </c>
      <c r="AD34" s="186">
        <f t="shared" si="15"/>
        <v>37200532.779015094</v>
      </c>
      <c r="AE34" s="16">
        <f t="shared" si="16"/>
        <v>0.7803599728132895</v>
      </c>
      <c r="AF34" s="1"/>
      <c r="AG34" s="198"/>
      <c r="AK34" s="198"/>
      <c r="AL34" s="198"/>
      <c r="AM34" s="198"/>
      <c r="AN34" s="198"/>
    </row>
    <row r="35" spans="2:40" x14ac:dyDescent="0.25">
      <c r="B35" s="238" t="s">
        <v>458</v>
      </c>
      <c r="F35" s="12"/>
      <c r="G35" s="12"/>
      <c r="I35" s="325">
        <f t="shared" ref="I35:I36" si="17">I31/I$33</f>
        <v>0.37117633137436123</v>
      </c>
      <c r="J35" s="306"/>
      <c r="O35" s="181" t="s">
        <v>398</v>
      </c>
      <c r="P35" s="181" t="s">
        <v>399</v>
      </c>
      <c r="Q35" s="186">
        <v>0</v>
      </c>
      <c r="R35" s="186">
        <v>36969.205642167777</v>
      </c>
      <c r="S35" s="186">
        <v>39424.488987874283</v>
      </c>
      <c r="T35" s="186">
        <v>33128.997772828501</v>
      </c>
      <c r="U35" s="186">
        <v>38491.215045780744</v>
      </c>
      <c r="V35" s="186">
        <v>30017.312546399404</v>
      </c>
      <c r="W35" s="186">
        <v>30499.846572630537</v>
      </c>
      <c r="X35" s="186">
        <v>32734.095520910665</v>
      </c>
      <c r="Y35" s="186">
        <v>34298.47067557535</v>
      </c>
      <c r="Z35" s="186">
        <v>32955.644642415245</v>
      </c>
      <c r="AA35" s="186">
        <v>39755.951497154165</v>
      </c>
      <c r="AB35" s="186">
        <v>28650.898292501854</v>
      </c>
      <c r="AC35" s="186">
        <v>36711.279386290516</v>
      </c>
      <c r="AD35" s="186">
        <f t="shared" si="15"/>
        <v>413637.40658252907</v>
      </c>
      <c r="AE35" s="16">
        <f t="shared" si="16"/>
        <v>8.6769207654301753E-3</v>
      </c>
      <c r="AF35" s="1"/>
      <c r="AG35" s="198"/>
      <c r="AK35" s="198"/>
      <c r="AL35" s="198"/>
      <c r="AM35" s="198"/>
      <c r="AN35" s="198"/>
    </row>
    <row r="36" spans="2:40" x14ac:dyDescent="0.25">
      <c r="B36" s="240" t="s">
        <v>459</v>
      </c>
      <c r="C36" s="11"/>
      <c r="D36" s="11"/>
      <c r="E36" s="11"/>
      <c r="F36" s="227"/>
      <c r="G36" s="227"/>
      <c r="H36" s="11"/>
      <c r="I36" s="759">
        <f t="shared" si="17"/>
        <v>0.11623444434636594</v>
      </c>
      <c r="J36" s="243"/>
      <c r="O36" s="492" t="s">
        <v>405</v>
      </c>
      <c r="P36" s="492" t="s">
        <v>406</v>
      </c>
      <c r="Q36" s="823">
        <v>0</v>
      </c>
      <c r="R36" s="186">
        <v>11466.10244988864</v>
      </c>
      <c r="S36" s="186">
        <v>14220.529571888146</v>
      </c>
      <c r="T36" s="186">
        <v>12214.550853749071</v>
      </c>
      <c r="U36" s="186">
        <v>9989.7352140559251</v>
      </c>
      <c r="V36" s="186">
        <v>10947.715911902993</v>
      </c>
      <c r="W36" s="186">
        <v>11053.838158871566</v>
      </c>
      <c r="X36" s="186">
        <v>11249.809453105667</v>
      </c>
      <c r="Y36" s="186">
        <v>12921.55407077456</v>
      </c>
      <c r="Z36" s="186">
        <v>9700.2128186092541</v>
      </c>
      <c r="AA36" s="186">
        <v>11418.728037614452</v>
      </c>
      <c r="AB36" s="186">
        <v>11873.219500123731</v>
      </c>
      <c r="AC36" s="186">
        <v>12622.35090324177</v>
      </c>
      <c r="AD36" s="186">
        <f t="shared" si="15"/>
        <v>139678.34694382577</v>
      </c>
      <c r="AE36" s="16">
        <f t="shared" si="16"/>
        <v>2.930049192337802E-3</v>
      </c>
      <c r="AF36" s="1"/>
      <c r="AG36" s="198"/>
      <c r="AK36" s="198"/>
      <c r="AL36" s="198"/>
      <c r="AM36" s="198"/>
      <c r="AN36" s="198"/>
    </row>
    <row r="37" spans="2:40" x14ac:dyDescent="0.25">
      <c r="F37" s="12"/>
      <c r="G37" s="12"/>
      <c r="O37" s="181" t="s">
        <v>411</v>
      </c>
      <c r="P37" s="181" t="s">
        <v>412</v>
      </c>
      <c r="Q37" s="186">
        <v>0</v>
      </c>
      <c r="R37" s="186">
        <v>6054.4716654293479</v>
      </c>
      <c r="S37" s="186">
        <v>6353.9420935412018</v>
      </c>
      <c r="T37" s="186">
        <v>5498.6488492947292</v>
      </c>
      <c r="U37" s="186">
        <v>5299.0645879732738</v>
      </c>
      <c r="V37" s="186">
        <v>4668.0029695619896</v>
      </c>
      <c r="W37" s="186">
        <v>4633.4471665429337</v>
      </c>
      <c r="X37" s="186">
        <v>4504.9443207126942</v>
      </c>
      <c r="Y37" s="186">
        <v>4877.8520168275181</v>
      </c>
      <c r="Z37" s="186">
        <v>5161.613462014353</v>
      </c>
      <c r="AA37" s="186">
        <v>4289.2254392477098</v>
      </c>
      <c r="AB37" s="186">
        <v>4926.6815144766142</v>
      </c>
      <c r="AC37" s="186">
        <v>5745.1818856718628</v>
      </c>
      <c r="AD37" s="186">
        <f t="shared" si="15"/>
        <v>62013.075971294231</v>
      </c>
      <c r="AE37" s="16">
        <f t="shared" si="16"/>
        <v>1.300855623936815E-3</v>
      </c>
      <c r="AF37" s="1"/>
      <c r="AG37" s="198"/>
      <c r="AK37" s="198"/>
      <c r="AL37" s="198"/>
      <c r="AM37" s="198"/>
      <c r="AN37" s="198"/>
    </row>
    <row r="38" spans="2:40" x14ac:dyDescent="0.25">
      <c r="B38" s="193"/>
      <c r="C38" s="9"/>
      <c r="D38" s="453"/>
      <c r="F38" s="13"/>
      <c r="G38" s="12"/>
      <c r="H38" s="13"/>
      <c r="O38" s="181" t="s">
        <v>414</v>
      </c>
      <c r="P38" s="181" t="s">
        <v>415</v>
      </c>
      <c r="Q38" s="186">
        <v>0</v>
      </c>
      <c r="R38" s="186">
        <v>11880.653303637713</v>
      </c>
      <c r="S38" s="186">
        <v>13501.311556545408</v>
      </c>
      <c r="T38" s="186">
        <v>11113.912397921305</v>
      </c>
      <c r="U38" s="186">
        <v>10343.746597376887</v>
      </c>
      <c r="V38" s="186">
        <v>9865.6669141301663</v>
      </c>
      <c r="W38" s="186">
        <v>10012.363276416727</v>
      </c>
      <c r="X38" s="186">
        <v>10895.540707745606</v>
      </c>
      <c r="Y38" s="186">
        <v>11147.161593664934</v>
      </c>
      <c r="Z38" s="186">
        <v>11373.709477852017</v>
      </c>
      <c r="AA38" s="186">
        <v>10135.600098985398</v>
      </c>
      <c r="AB38" s="186">
        <v>10675.278396436526</v>
      </c>
      <c r="AC38" s="186">
        <v>11835.248700816628</v>
      </c>
      <c r="AD38" s="186">
        <f t="shared" si="15"/>
        <v>132780.1930215293</v>
      </c>
      <c r="AE38" s="16">
        <f t="shared" si="16"/>
        <v>2.7853458022212563E-3</v>
      </c>
      <c r="AF38" s="1"/>
      <c r="AG38" s="198"/>
      <c r="AK38" s="198"/>
      <c r="AL38" s="198"/>
      <c r="AM38" s="198"/>
      <c r="AN38" s="198"/>
    </row>
    <row r="39" spans="2:40" x14ac:dyDescent="0.25">
      <c r="B39" s="454"/>
      <c r="F39" s="13"/>
      <c r="G39" s="12"/>
      <c r="O39" s="181" t="s">
        <v>418</v>
      </c>
      <c r="P39" s="181" t="s">
        <v>419</v>
      </c>
      <c r="Q39" s="186">
        <v>0</v>
      </c>
      <c r="R39" s="186">
        <v>67888.839396189054</v>
      </c>
      <c r="S39" s="186">
        <v>60677.347191289278</v>
      </c>
      <c r="T39" s="186">
        <v>52703.043801039341</v>
      </c>
      <c r="U39" s="186">
        <v>39165.87973273942</v>
      </c>
      <c r="V39" s="186">
        <v>36031.417965850029</v>
      </c>
      <c r="W39" s="186">
        <v>38287.354615194257</v>
      </c>
      <c r="X39" s="186">
        <v>39609.34422172729</v>
      </c>
      <c r="Y39" s="186">
        <v>40557.723335807968</v>
      </c>
      <c r="Z39" s="186">
        <v>33430.477604553322</v>
      </c>
      <c r="AA39" s="186">
        <v>34764.236575105169</v>
      </c>
      <c r="AB39" s="186">
        <v>48752.467211086361</v>
      </c>
      <c r="AC39" s="186">
        <v>57465.03340757238</v>
      </c>
      <c r="AD39" s="186">
        <f t="shared" si="15"/>
        <v>549333.16505815391</v>
      </c>
      <c r="AE39" s="16">
        <f t="shared" si="16"/>
        <v>1.1523426728770866E-2</v>
      </c>
      <c r="AF39" s="1"/>
      <c r="AG39" s="198"/>
      <c r="AK39" s="198"/>
      <c r="AL39" s="198"/>
      <c r="AM39" s="198"/>
      <c r="AN39" s="198"/>
    </row>
    <row r="40" spans="2:40" x14ac:dyDescent="0.25">
      <c r="F40" s="13"/>
      <c r="G40" s="12"/>
      <c r="O40" s="181" t="s">
        <v>421</v>
      </c>
      <c r="P40" s="181" t="s">
        <v>422</v>
      </c>
      <c r="Q40" s="186">
        <v>0</v>
      </c>
      <c r="R40" s="186">
        <v>59820.905716406822</v>
      </c>
      <c r="S40" s="186">
        <v>61316.654293491709</v>
      </c>
      <c r="T40" s="186">
        <v>56551.200197970793</v>
      </c>
      <c r="U40" s="186">
        <v>46889.611482306362</v>
      </c>
      <c r="V40" s="186">
        <v>49153.358079683239</v>
      </c>
      <c r="W40" s="186">
        <v>57801.247216035626</v>
      </c>
      <c r="X40" s="186">
        <v>50581.440237564959</v>
      </c>
      <c r="Y40" s="186">
        <v>60153.466963622865</v>
      </c>
      <c r="Z40" s="186">
        <v>51311.309081910411</v>
      </c>
      <c r="AA40" s="186">
        <v>57559.554565701554</v>
      </c>
      <c r="AB40" s="186">
        <v>65352.764167285321</v>
      </c>
      <c r="AC40" s="186">
        <v>75111.417965850022</v>
      </c>
      <c r="AD40" s="186">
        <f t="shared" si="15"/>
        <v>691602.92996782949</v>
      </c>
      <c r="AE40" s="16">
        <f t="shared" si="16"/>
        <v>1.4507836402056381E-2</v>
      </c>
      <c r="AF40" s="1"/>
      <c r="AG40" s="198"/>
      <c r="AK40" s="198"/>
      <c r="AL40" s="198"/>
      <c r="AM40" s="198"/>
      <c r="AN40" s="198"/>
    </row>
    <row r="41" spans="2:40" x14ac:dyDescent="0.25">
      <c r="O41" s="181" t="s">
        <v>424</v>
      </c>
      <c r="P41" s="181" t="s">
        <v>425</v>
      </c>
      <c r="Q41" s="186">
        <v>0</v>
      </c>
      <c r="R41" s="186">
        <v>44580.103934669634</v>
      </c>
      <c r="S41" s="186">
        <v>42202.731997030431</v>
      </c>
      <c r="T41" s="186">
        <v>40667.696114823062</v>
      </c>
      <c r="U41" s="186">
        <v>36078.188567186335</v>
      </c>
      <c r="V41" s="186">
        <v>41085.800544419697</v>
      </c>
      <c r="W41" s="186">
        <v>42271.497154169752</v>
      </c>
      <c r="X41" s="186">
        <v>45522.514229151202</v>
      </c>
      <c r="Y41" s="186">
        <v>45420.094036129667</v>
      </c>
      <c r="Z41" s="186">
        <v>37966.592427616924</v>
      </c>
      <c r="AA41" s="186">
        <v>39690.571640682996</v>
      </c>
      <c r="AB41" s="186">
        <v>43251.888146498386</v>
      </c>
      <c r="AC41" s="186">
        <v>46373.66988369215</v>
      </c>
      <c r="AD41" s="186">
        <f t="shared" si="15"/>
        <v>505111.34867607022</v>
      </c>
      <c r="AE41" s="16">
        <f t="shared" si="16"/>
        <v>1.0595780459974852E-2</v>
      </c>
      <c r="AF41" s="1"/>
      <c r="AG41" s="198"/>
      <c r="AK41" s="198"/>
      <c r="AL41" s="198"/>
      <c r="AM41" s="198"/>
      <c r="AN41" s="198"/>
    </row>
    <row r="42" spans="2:40" x14ac:dyDescent="0.25">
      <c r="O42" s="181" t="s">
        <v>426</v>
      </c>
      <c r="P42" s="181" t="s">
        <v>427</v>
      </c>
      <c r="Q42" s="186">
        <v>0</v>
      </c>
      <c r="R42" s="186">
        <v>25757.327394209351</v>
      </c>
      <c r="S42" s="186">
        <v>24168.235585251172</v>
      </c>
      <c r="T42" s="186">
        <v>23033.249195743625</v>
      </c>
      <c r="U42" s="186">
        <v>21476.367235832713</v>
      </c>
      <c r="V42" s="186">
        <v>21671.566443949516</v>
      </c>
      <c r="W42" s="186">
        <v>23729.413511507049</v>
      </c>
      <c r="X42" s="186">
        <v>22162.70230141054</v>
      </c>
      <c r="Y42" s="186">
        <v>24712.754268745361</v>
      </c>
      <c r="Z42" s="186">
        <v>23068.87404107894</v>
      </c>
      <c r="AA42" s="186">
        <v>23958.950754763668</v>
      </c>
      <c r="AB42" s="186">
        <v>23378.500371195249</v>
      </c>
      <c r="AC42" s="186">
        <v>25160.900767136845</v>
      </c>
      <c r="AD42" s="186">
        <f t="shared" si="15"/>
        <v>282278.84187082405</v>
      </c>
      <c r="AE42" s="16">
        <f t="shared" si="16"/>
        <v>5.9213966282854703E-3</v>
      </c>
      <c r="AF42" s="1"/>
      <c r="AG42" s="198"/>
      <c r="AK42" s="198"/>
      <c r="AL42" s="198"/>
      <c r="AM42" s="198"/>
      <c r="AN42" s="198"/>
    </row>
    <row r="43" spans="2:40" x14ac:dyDescent="0.25">
      <c r="O43" s="181" t="s">
        <v>428</v>
      </c>
      <c r="P43" s="181" t="s">
        <v>429</v>
      </c>
      <c r="Q43" s="186">
        <v>0</v>
      </c>
      <c r="R43" s="186">
        <v>11897.76787923781</v>
      </c>
      <c r="S43" s="186">
        <v>12681.811432813658</v>
      </c>
      <c r="T43" s="186">
        <v>11843.751546646869</v>
      </c>
      <c r="U43" s="186">
        <v>11168.740410789407</v>
      </c>
      <c r="V43" s="186">
        <v>9996.5652066320217</v>
      </c>
      <c r="W43" s="186">
        <v>10453.066072754267</v>
      </c>
      <c r="X43" s="186">
        <v>10331.106161841128</v>
      </c>
      <c r="Y43" s="186">
        <v>11073.684731502102</v>
      </c>
      <c r="Z43" s="186">
        <v>10312.100965107646</v>
      </c>
      <c r="AA43" s="186">
        <v>9993.3382826033157</v>
      </c>
      <c r="AB43" s="186">
        <v>11686.325167037861</v>
      </c>
      <c r="AC43" s="186">
        <v>11786.191536748329</v>
      </c>
      <c r="AD43" s="186">
        <f t="shared" si="15"/>
        <v>133224.44939371443</v>
      </c>
      <c r="AE43" s="16">
        <f t="shared" si="16"/>
        <v>2.7946650206469685E-3</v>
      </c>
      <c r="AF43" s="1"/>
      <c r="AG43" s="198"/>
      <c r="AK43" s="198"/>
      <c r="AL43" s="198"/>
      <c r="AM43" s="198"/>
      <c r="AN43" s="198"/>
    </row>
    <row r="44" spans="2:40" x14ac:dyDescent="0.25">
      <c r="O44" s="181" t="s">
        <v>431</v>
      </c>
      <c r="P44" s="181" t="s">
        <v>432</v>
      </c>
      <c r="Q44" s="186">
        <v>0</v>
      </c>
      <c r="R44" s="186">
        <v>91384.073249195731</v>
      </c>
      <c r="S44" s="186">
        <v>65560.910665676813</v>
      </c>
      <c r="T44" s="186">
        <v>59394.75377381836</v>
      </c>
      <c r="U44" s="186">
        <v>51812.383073496654</v>
      </c>
      <c r="V44" s="186">
        <v>53735.144766146987</v>
      </c>
      <c r="W44" s="186">
        <v>60617.144271219993</v>
      </c>
      <c r="X44" s="186">
        <v>66132.59094283593</v>
      </c>
      <c r="Y44" s="186">
        <v>68076.476119772327</v>
      </c>
      <c r="Z44" s="186">
        <v>58260.143528829489</v>
      </c>
      <c r="AA44" s="186">
        <v>55452.224696857207</v>
      </c>
      <c r="AB44" s="186">
        <v>81539.668398911148</v>
      </c>
      <c r="AC44" s="186">
        <v>88752.516703786183</v>
      </c>
      <c r="AD44" s="186">
        <f t="shared" si="15"/>
        <v>800718.03019054665</v>
      </c>
      <c r="AE44" s="16">
        <f t="shared" si="16"/>
        <v>1.6796756755674318E-2</v>
      </c>
      <c r="AF44" s="1"/>
      <c r="AG44" s="198"/>
      <c r="AK44" s="198"/>
      <c r="AL44" s="198"/>
      <c r="AM44" s="198"/>
      <c r="AN44" s="198"/>
    </row>
    <row r="45" spans="2:40" x14ac:dyDescent="0.25">
      <c r="O45" s="181" t="s">
        <v>434</v>
      </c>
      <c r="P45" s="181" t="s">
        <v>435</v>
      </c>
      <c r="Q45" s="186">
        <v>0</v>
      </c>
      <c r="R45" s="186">
        <v>53034.21925266023</v>
      </c>
      <c r="S45" s="186">
        <v>49411.304132640427</v>
      </c>
      <c r="T45" s="186">
        <v>46822.637960900764</v>
      </c>
      <c r="U45" s="186">
        <v>42789.537243256615</v>
      </c>
      <c r="V45" s="186">
        <v>51440.643405097748</v>
      </c>
      <c r="W45" s="186">
        <v>54112.81365998515</v>
      </c>
      <c r="X45" s="186">
        <v>56512.001979707988</v>
      </c>
      <c r="Y45" s="186">
        <v>52338.91610987379</v>
      </c>
      <c r="Z45" s="186">
        <v>44296.867112100961</v>
      </c>
      <c r="AA45" s="186">
        <v>42958.752783964366</v>
      </c>
      <c r="AB45" s="186">
        <v>48068.804751299183</v>
      </c>
      <c r="AC45" s="186">
        <v>56195.466468695864</v>
      </c>
      <c r="AD45" s="186">
        <f t="shared" si="15"/>
        <v>597981.96486018307</v>
      </c>
      <c r="AE45" s="16">
        <f t="shared" si="16"/>
        <v>1.2543938351989498E-2</v>
      </c>
      <c r="AF45" s="1"/>
      <c r="AG45" s="198"/>
      <c r="AK45" s="198"/>
      <c r="AL45" s="198"/>
      <c r="AM45" s="198"/>
      <c r="AN45" s="198"/>
    </row>
    <row r="46" spans="2:40" x14ac:dyDescent="0.25">
      <c r="O46" s="181" t="s">
        <v>436</v>
      </c>
      <c r="P46" s="181" t="s">
        <v>437</v>
      </c>
      <c r="Q46" s="186">
        <v>0</v>
      </c>
      <c r="R46" s="186">
        <v>460205.33531304129</v>
      </c>
      <c r="S46" s="186">
        <v>407721.26701311552</v>
      </c>
      <c r="T46" s="186">
        <v>405354.55580301903</v>
      </c>
      <c r="U46" s="186">
        <v>345698.34199455578</v>
      </c>
      <c r="V46" s="186">
        <v>360409.75996040582</v>
      </c>
      <c r="W46" s="186">
        <v>401490.00742390496</v>
      </c>
      <c r="X46" s="186">
        <v>423222.62806236075</v>
      </c>
      <c r="Y46" s="186">
        <v>429135.78817124467</v>
      </c>
      <c r="Z46" s="186">
        <v>360165.91932689922</v>
      </c>
      <c r="AA46" s="186">
        <v>370591.01212571142</v>
      </c>
      <c r="AB46" s="186">
        <v>407787.89408562233</v>
      </c>
      <c r="AC46" s="186">
        <v>461385.9539717891</v>
      </c>
      <c r="AD46" s="186">
        <f t="shared" si="15"/>
        <v>4833168.4632516699</v>
      </c>
      <c r="AE46" s="16">
        <f t="shared" si="16"/>
        <v>0.10138594608281244</v>
      </c>
      <c r="AF46" s="1"/>
      <c r="AG46" s="198"/>
      <c r="AK46" s="198"/>
      <c r="AL46" s="198"/>
      <c r="AM46" s="198"/>
      <c r="AN46" s="198"/>
    </row>
    <row r="47" spans="2:40" x14ac:dyDescent="0.25">
      <c r="O47" s="181" t="s">
        <v>438</v>
      </c>
      <c r="P47" s="181" t="s">
        <v>439</v>
      </c>
      <c r="Q47" s="186">
        <v>0</v>
      </c>
      <c r="R47" s="186">
        <v>84811.442712199932</v>
      </c>
      <c r="S47" s="186">
        <v>82342.212323682252</v>
      </c>
      <c r="T47" s="186">
        <v>78555.69413511506</v>
      </c>
      <c r="U47" s="186">
        <v>70993.942093541205</v>
      </c>
      <c r="V47" s="186">
        <v>64673.833209601573</v>
      </c>
      <c r="W47" s="186">
        <v>66622.637960900771</v>
      </c>
      <c r="X47" s="186">
        <v>68998.574610244978</v>
      </c>
      <c r="Y47" s="186">
        <v>72736.78792378123</v>
      </c>
      <c r="Z47" s="186">
        <v>76650.937886661704</v>
      </c>
      <c r="AA47" s="186">
        <v>64977.441227418953</v>
      </c>
      <c r="AB47" s="181">
        <v>69684.751299183365</v>
      </c>
      <c r="AC47" s="181">
        <v>79125.256124721593</v>
      </c>
      <c r="AD47" s="186">
        <f t="shared" si="15"/>
        <v>880173.5115070527</v>
      </c>
      <c r="AE47" s="16">
        <f t="shared" si="16"/>
        <v>1.8463503778044708E-2</v>
      </c>
      <c r="AF47" s="1"/>
      <c r="AG47" s="198"/>
      <c r="AK47" s="198"/>
      <c r="AL47" s="198"/>
      <c r="AM47" s="198"/>
      <c r="AN47" s="198"/>
    </row>
    <row r="48" spans="2:40" x14ac:dyDescent="0.25">
      <c r="O48" s="187" t="s">
        <v>442</v>
      </c>
      <c r="P48" s="188"/>
      <c r="Q48" s="188"/>
      <c r="R48" s="189">
        <f>SUM(R32:R47)</f>
        <v>4445561.5045780744</v>
      </c>
      <c r="S48" s="189">
        <f t="shared" ref="S48:AC48" si="18">SUM(S32:S47)</f>
        <v>4137022.2618163815</v>
      </c>
      <c r="T48" s="189">
        <f t="shared" si="18"/>
        <v>3727686.7903984161</v>
      </c>
      <c r="U48" s="189">
        <f t="shared" si="18"/>
        <v>3426527.1071516955</v>
      </c>
      <c r="V48" s="189">
        <f t="shared" si="18"/>
        <v>3659932.8582034144</v>
      </c>
      <c r="W48" s="189">
        <f t="shared" si="18"/>
        <v>4047965.8401385797</v>
      </c>
      <c r="X48" s="189">
        <f t="shared" si="18"/>
        <v>4144221.4996288056</v>
      </c>
      <c r="Y48" s="189">
        <f t="shared" si="18"/>
        <v>4146170.0173224453</v>
      </c>
      <c r="Z48" s="189">
        <f t="shared" si="18"/>
        <v>3583215.7386785438</v>
      </c>
      <c r="AA48" s="189">
        <f t="shared" si="18"/>
        <v>3654498.6884434535</v>
      </c>
      <c r="AB48" s="189">
        <f t="shared" si="18"/>
        <v>4112166.3548626574</v>
      </c>
      <c r="AC48" s="189">
        <f t="shared" si="18"/>
        <v>4586021.7470923038</v>
      </c>
      <c r="AD48" s="189">
        <f>SUM(AD32:AD47)</f>
        <v>47670990.408314764</v>
      </c>
      <c r="AE48" s="374">
        <v>46446942.755990788</v>
      </c>
      <c r="AF48" s="974" t="s">
        <v>460</v>
      </c>
      <c r="AG48" s="975"/>
      <c r="AK48" s="198"/>
      <c r="AL48" s="198"/>
      <c r="AM48" s="198"/>
      <c r="AN48" s="198"/>
    </row>
    <row r="49" spans="14:40" x14ac:dyDescent="0.25">
      <c r="O49" s="8"/>
      <c r="R49" s="10">
        <f>R48/$AD48</f>
        <v>9.325506909969046E-2</v>
      </c>
      <c r="S49" s="10">
        <f t="shared" ref="S49:AC49" si="19">S48/$AD48</f>
        <v>8.6782804938216745E-2</v>
      </c>
      <c r="T49" s="10">
        <f t="shared" si="19"/>
        <v>7.8196126375176672E-2</v>
      </c>
      <c r="U49" s="10">
        <f t="shared" si="19"/>
        <v>7.1878664105834086E-2</v>
      </c>
      <c r="V49" s="10">
        <f t="shared" si="19"/>
        <v>7.6774844131726902E-2</v>
      </c>
      <c r="W49" s="10">
        <f t="shared" si="19"/>
        <v>8.4914657855158268E-2</v>
      </c>
      <c r="X49" s="10">
        <f t="shared" si="19"/>
        <v>8.6933824200681409E-2</v>
      </c>
      <c r="Y49" s="10">
        <f t="shared" si="19"/>
        <v>8.6974698486634985E-2</v>
      </c>
      <c r="Z49" s="10">
        <f t="shared" si="19"/>
        <v>7.5165540048304932E-2</v>
      </c>
      <c r="AA49" s="10">
        <f t="shared" si="19"/>
        <v>7.6660850910411055E-2</v>
      </c>
      <c r="AB49" s="10">
        <f t="shared" si="19"/>
        <v>8.6261399640344252E-2</v>
      </c>
      <c r="AC49" s="10">
        <f t="shared" si="19"/>
        <v>9.6201520207820371E-2</v>
      </c>
      <c r="AD49" s="498">
        <f>SUM(R49:AC49)</f>
        <v>1.0000000000000002</v>
      </c>
      <c r="AE49" s="374">
        <f>AD48-AE48</f>
        <v>1224047.6523239762</v>
      </c>
      <c r="AF49" s="974" t="s">
        <v>461</v>
      </c>
      <c r="AG49" s="975"/>
      <c r="AK49" s="198"/>
      <c r="AL49" s="198"/>
      <c r="AM49" s="198"/>
      <c r="AN49" s="198"/>
    </row>
    <row r="50" spans="14:40" x14ac:dyDescent="0.25">
      <c r="R50" s="411"/>
      <c r="S50" s="411"/>
      <c r="T50" s="411"/>
      <c r="U50" s="411"/>
      <c r="V50" s="411">
        <f>SUM(R48:V48)</f>
        <v>19396730.52214798</v>
      </c>
      <c r="W50" s="411"/>
      <c r="X50" s="411"/>
      <c r="Y50" s="408"/>
      <c r="AK50" s="198"/>
      <c r="AL50" s="198"/>
      <c r="AM50" s="198"/>
      <c r="AN50" s="198"/>
    </row>
    <row r="51" spans="14:40" x14ac:dyDescent="0.25">
      <c r="N51" s="1"/>
      <c r="O51" s="181" t="s">
        <v>463</v>
      </c>
      <c r="P51" s="181"/>
      <c r="Q51" s="1"/>
      <c r="R51" s="16"/>
      <c r="S51" s="16"/>
      <c r="T51" s="16"/>
      <c r="U51" s="16"/>
      <c r="V51" s="16">
        <f>V27/V50-1</f>
        <v>1.8855412762222024E-3</v>
      </c>
      <c r="W51" s="16"/>
      <c r="X51" s="1"/>
      <c r="Y51" s="1"/>
      <c r="Z51" s="1"/>
      <c r="AA51" s="1"/>
      <c r="AB51" s="1"/>
      <c r="AC51" s="3"/>
      <c r="AD51" s="3"/>
      <c r="AE51" s="1"/>
      <c r="AF51" s="1"/>
      <c r="AG51" s="1"/>
      <c r="AK51" s="1"/>
      <c r="AL51" s="1"/>
    </row>
    <row r="52" spans="14:40" x14ac:dyDescent="0.25">
      <c r="O52" s="181" t="s">
        <v>464</v>
      </c>
      <c r="P52" s="181"/>
      <c r="Q52" s="1"/>
      <c r="R52" s="1"/>
      <c r="S52" s="1"/>
      <c r="T52" s="460"/>
      <c r="U52" s="3"/>
      <c r="V52" s="1"/>
      <c r="W52" s="1"/>
      <c r="X52" s="1"/>
      <c r="Y52" s="1"/>
      <c r="Z52" s="1"/>
      <c r="AA52" s="1"/>
      <c r="AB52" s="1"/>
      <c r="AC52" s="1"/>
      <c r="AD52" s="1"/>
      <c r="AE52" s="1"/>
      <c r="AF52" s="1"/>
      <c r="AG52" s="1"/>
      <c r="AK52" s="1"/>
      <c r="AL52" s="1"/>
    </row>
    <row r="53" spans="14:40" x14ac:dyDescent="0.25">
      <c r="O53" s="190" t="s">
        <v>359</v>
      </c>
      <c r="P53" s="181"/>
      <c r="Q53" s="182" t="s">
        <v>465</v>
      </c>
      <c r="R53" s="69"/>
      <c r="S53" s="1"/>
      <c r="T53" s="1"/>
      <c r="U53" s="1"/>
      <c r="V53" s="1"/>
      <c r="W53" s="1"/>
      <c r="X53" s="1"/>
      <c r="Y53" s="1"/>
      <c r="Z53" s="1"/>
      <c r="AA53" s="1"/>
      <c r="AB53" s="1"/>
      <c r="AC53" s="1"/>
      <c r="AD53" s="825" t="s">
        <v>363</v>
      </c>
      <c r="AE53" s="1"/>
      <c r="AF53" s="1"/>
      <c r="AG53" s="1"/>
      <c r="AK53" s="1"/>
      <c r="AL53" s="1"/>
    </row>
    <row r="54" spans="14:40" x14ac:dyDescent="0.25">
      <c r="O54" s="191" t="s">
        <v>364</v>
      </c>
      <c r="P54" s="183" t="s">
        <v>365</v>
      </c>
      <c r="Q54" s="184" t="s">
        <v>366</v>
      </c>
      <c r="R54" s="185" t="s">
        <v>367</v>
      </c>
      <c r="S54" s="185" t="s">
        <v>368</v>
      </c>
      <c r="T54" s="185" t="s">
        <v>369</v>
      </c>
      <c r="U54" s="185" t="s">
        <v>370</v>
      </c>
      <c r="V54" s="185" t="s">
        <v>371</v>
      </c>
      <c r="W54" s="185" t="s">
        <v>372</v>
      </c>
      <c r="X54" s="185" t="s">
        <v>373</v>
      </c>
      <c r="Y54" s="185" t="s">
        <v>374</v>
      </c>
      <c r="Z54" s="185" t="s">
        <v>375</v>
      </c>
      <c r="AA54" s="185" t="s">
        <v>376</v>
      </c>
      <c r="AB54" s="185" t="s">
        <v>377</v>
      </c>
      <c r="AC54" s="185" t="s">
        <v>378</v>
      </c>
      <c r="AD54" s="185" t="s">
        <v>379</v>
      </c>
      <c r="AE54" s="822" t="s">
        <v>466</v>
      </c>
      <c r="AF54" s="1"/>
      <c r="AG54" s="1"/>
    </row>
    <row r="55" spans="14:40" x14ac:dyDescent="0.25">
      <c r="O55" s="181" t="s">
        <v>381</v>
      </c>
      <c r="P55" s="181" t="s">
        <v>382</v>
      </c>
      <c r="Q55" s="186">
        <v>0</v>
      </c>
      <c r="R55" s="186">
        <f>R$75*$AE55</f>
        <v>14582.636890510526</v>
      </c>
      <c r="S55" s="186">
        <f t="shared" ref="R55:AC64" si="20">S$75*$AE55</f>
        <v>13570.545225816782</v>
      </c>
      <c r="T55" s="186">
        <f t="shared" si="20"/>
        <v>12227.814832828853</v>
      </c>
      <c r="U55" s="186">
        <f t="shared" si="20"/>
        <v>11239.930107282826</v>
      </c>
      <c r="V55" s="186">
        <f t="shared" si="20"/>
        <v>12005.563720098435</v>
      </c>
      <c r="W55" s="186">
        <f t="shared" si="20"/>
        <v>13278.416220570047</v>
      </c>
      <c r="X55" s="186">
        <f t="shared" si="20"/>
        <v>13594.160661302019</v>
      </c>
      <c r="Y55" s="186">
        <f t="shared" si="20"/>
        <v>13600.55232318136</v>
      </c>
      <c r="Z55" s="186">
        <f t="shared" si="20"/>
        <v>11753.910943241115</v>
      </c>
      <c r="AA55" s="186">
        <f t="shared" si="20"/>
        <v>11987.738182350437</v>
      </c>
      <c r="AB55" s="186">
        <f t="shared" si="20"/>
        <v>13489.011168686497</v>
      </c>
      <c r="AC55" s="186">
        <f t="shared" si="20"/>
        <v>15043.384247628119</v>
      </c>
      <c r="AD55" s="186">
        <f>SUM(R55:AC55)</f>
        <v>156373.66452349702</v>
      </c>
      <c r="AE55" s="824">
        <f>AE32</f>
        <v>3.4368565754360554E-3</v>
      </c>
      <c r="AF55" s="1"/>
      <c r="AG55" s="198"/>
    </row>
    <row r="56" spans="14:40" x14ac:dyDescent="0.25">
      <c r="O56" s="181" t="s">
        <v>383</v>
      </c>
      <c r="P56" s="181" t="s">
        <v>384</v>
      </c>
      <c r="Q56" s="186">
        <v>0</v>
      </c>
      <c r="R56" s="186">
        <f t="shared" si="20"/>
        <v>25359.440761676397</v>
      </c>
      <c r="S56" s="186">
        <f t="shared" si="20"/>
        <v>23599.397032349956</v>
      </c>
      <c r="T56" s="186">
        <f t="shared" si="20"/>
        <v>21264.367221518001</v>
      </c>
      <c r="U56" s="186">
        <f t="shared" si="20"/>
        <v>19546.41974981267</v>
      </c>
      <c r="V56" s="186">
        <f t="shared" si="20"/>
        <v>20877.868951704306</v>
      </c>
      <c r="W56" s="186">
        <f t="shared" si="20"/>
        <v>23091.37998036241</v>
      </c>
      <c r="X56" s="186">
        <f t="shared" si="20"/>
        <v>23640.464655561416</v>
      </c>
      <c r="Y56" s="186">
        <f t="shared" si="20"/>
        <v>23651.579858663219</v>
      </c>
      <c r="Z56" s="186">
        <f t="shared" si="20"/>
        <v>20440.240713742936</v>
      </c>
      <c r="AA56" s="186">
        <f t="shared" si="20"/>
        <v>20846.870054045437</v>
      </c>
      <c r="AB56" s="186">
        <f t="shared" si="20"/>
        <v>23457.607991905552</v>
      </c>
      <c r="AC56" s="186">
        <f t="shared" si="20"/>
        <v>26160.687847278998</v>
      </c>
      <c r="AD56" s="186">
        <f t="shared" ref="AD56:AD70" si="21">SUM(R56:AC56)</f>
        <v>271936.32481862133</v>
      </c>
      <c r="AE56" s="824">
        <f t="shared" ref="AE56:AE70" si="22">AE33</f>
        <v>5.9767490190930318E-3</v>
      </c>
      <c r="AF56" s="1"/>
      <c r="AG56" s="198"/>
    </row>
    <row r="57" spans="14:40" x14ac:dyDescent="0.25">
      <c r="O57" s="181" t="s">
        <v>390</v>
      </c>
      <c r="P57" s="181" t="s">
        <v>391</v>
      </c>
      <c r="Q57" s="186">
        <v>0</v>
      </c>
      <c r="R57" s="186">
        <f t="shared" si="20"/>
        <v>3311079.7258046921</v>
      </c>
      <c r="S57" s="186">
        <f t="shared" si="20"/>
        <v>3081277.9268033006</v>
      </c>
      <c r="T57" s="186">
        <f t="shared" si="20"/>
        <v>2776402.5181358047</v>
      </c>
      <c r="U57" s="186">
        <f t="shared" si="20"/>
        <v>2552097.0574192912</v>
      </c>
      <c r="V57" s="186">
        <f t="shared" si="20"/>
        <v>2725939.0005343962</v>
      </c>
      <c r="W57" s="186">
        <f t="shared" si="20"/>
        <v>3014948.192760386</v>
      </c>
      <c r="X57" s="186">
        <f t="shared" si="20"/>
        <v>3086639.9604490879</v>
      </c>
      <c r="Y57" s="186">
        <f t="shared" si="20"/>
        <v>3088091.2276116582</v>
      </c>
      <c r="Z57" s="186">
        <f t="shared" si="20"/>
        <v>2668799.6495616687</v>
      </c>
      <c r="AA57" s="186">
        <f t="shared" si="20"/>
        <v>2721891.5997054442</v>
      </c>
      <c r="AB57" s="186">
        <f t="shared" si="20"/>
        <v>3062765.1046330952</v>
      </c>
      <c r="AC57" s="186">
        <f t="shared" si="20"/>
        <v>3415695.3206607155</v>
      </c>
      <c r="AD57" s="186">
        <f t="shared" si="21"/>
        <v>35505627.284079544</v>
      </c>
      <c r="AE57" s="824">
        <f t="shared" si="22"/>
        <v>0.7803599728132895</v>
      </c>
      <c r="AF57" s="1"/>
      <c r="AG57" s="198"/>
    </row>
    <row r="58" spans="14:40" x14ac:dyDescent="0.25">
      <c r="O58" s="181" t="s">
        <v>398</v>
      </c>
      <c r="P58" s="181" t="s">
        <v>399</v>
      </c>
      <c r="Q58" s="186">
        <v>0</v>
      </c>
      <c r="R58" s="186">
        <f t="shared" si="20"/>
        <v>36816.312252990931</v>
      </c>
      <c r="S58" s="186">
        <f t="shared" si="20"/>
        <v>34261.117123620214</v>
      </c>
      <c r="T58" s="186">
        <f t="shared" si="20"/>
        <v>30871.169078490348</v>
      </c>
      <c r="U58" s="186">
        <f t="shared" si="20"/>
        <v>28377.088426360118</v>
      </c>
      <c r="V58" s="186">
        <f t="shared" si="20"/>
        <v>30310.058874190985</v>
      </c>
      <c r="W58" s="186">
        <f t="shared" si="20"/>
        <v>33523.588461549625</v>
      </c>
      <c r="X58" s="186">
        <f t="shared" si="20"/>
        <v>34320.738250673072</v>
      </c>
      <c r="Y58" s="186">
        <f t="shared" si="20"/>
        <v>34336.875072931776</v>
      </c>
      <c r="Z58" s="186">
        <f t="shared" si="20"/>
        <v>29674.719238316186</v>
      </c>
      <c r="AA58" s="186">
        <f t="shared" si="20"/>
        <v>30265.055314907764</v>
      </c>
      <c r="AB58" s="186">
        <f t="shared" si="20"/>
        <v>34055.270723610403</v>
      </c>
      <c r="AC58" s="186">
        <f t="shared" si="20"/>
        <v>37979.54622067068</v>
      </c>
      <c r="AD58" s="186">
        <f t="shared" si="21"/>
        <v>394791.5390383121</v>
      </c>
      <c r="AE58" s="824">
        <f t="shared" si="22"/>
        <v>8.6769207654301753E-3</v>
      </c>
      <c r="AF58" s="1"/>
      <c r="AG58" s="198"/>
    </row>
    <row r="59" spans="14:40" x14ac:dyDescent="0.25">
      <c r="O59" s="492" t="s">
        <v>405</v>
      </c>
      <c r="P59" s="492" t="s">
        <v>406</v>
      </c>
      <c r="Q59" s="823">
        <v>0</v>
      </c>
      <c r="R59" s="186">
        <f t="shared" si="20"/>
        <v>12432.245136029471</v>
      </c>
      <c r="S59" s="186">
        <f t="shared" si="20"/>
        <v>11569.399014983097</v>
      </c>
      <c r="T59" s="186">
        <f t="shared" si="20"/>
        <v>10424.670971450312</v>
      </c>
      <c r="U59" s="186">
        <f t="shared" si="20"/>
        <v>9582.462174348635</v>
      </c>
      <c r="V59" s="186">
        <f t="shared" si="20"/>
        <v>10235.193558279727</v>
      </c>
      <c r="W59" s="186">
        <f t="shared" si="20"/>
        <v>11320.348076401802</v>
      </c>
      <c r="X59" s="186">
        <f t="shared" si="20"/>
        <v>11589.532059860432</v>
      </c>
      <c r="Y59" s="186">
        <f t="shared" si="20"/>
        <v>11594.981191448034</v>
      </c>
      <c r="Z59" s="186">
        <f t="shared" si="20"/>
        <v>10020.650123197101</v>
      </c>
      <c r="AA59" s="186">
        <f t="shared" si="20"/>
        <v>10219.996618478746</v>
      </c>
      <c r="AB59" s="186">
        <f t="shared" si="20"/>
        <v>11499.888171862647</v>
      </c>
      <c r="AC59" s="186">
        <f t="shared" si="20"/>
        <v>12825.049546676981</v>
      </c>
      <c r="AD59" s="186">
        <f t="shared" si="21"/>
        <v>133314.416643017</v>
      </c>
      <c r="AE59" s="824">
        <f t="shared" si="22"/>
        <v>2.930049192337802E-3</v>
      </c>
      <c r="AF59" s="1"/>
      <c r="AG59" s="198"/>
    </row>
    <row r="60" spans="14:40" x14ac:dyDescent="0.25">
      <c r="O60" s="181" t="s">
        <v>411</v>
      </c>
      <c r="P60" s="181" t="s">
        <v>412</v>
      </c>
      <c r="Q60" s="186">
        <v>0</v>
      </c>
      <c r="R60" s="186">
        <f t="shared" si="20"/>
        <v>5519.5510183436318</v>
      </c>
      <c r="S60" s="186">
        <f t="shared" si="20"/>
        <v>5136.4727300710447</v>
      </c>
      <c r="T60" s="186">
        <f t="shared" si="20"/>
        <v>4628.2471626635297</v>
      </c>
      <c r="U60" s="186">
        <f t="shared" si="20"/>
        <v>4254.3312389637522</v>
      </c>
      <c r="V60" s="186">
        <f t="shared" si="20"/>
        <v>4544.1247666380577</v>
      </c>
      <c r="W60" s="186">
        <f t="shared" si="20"/>
        <v>5025.9014417297303</v>
      </c>
      <c r="X60" s="186">
        <f t="shared" si="20"/>
        <v>5145.4112095764895</v>
      </c>
      <c r="Y60" s="186">
        <f t="shared" si="20"/>
        <v>5147.8304636592666</v>
      </c>
      <c r="Z60" s="186">
        <f t="shared" si="20"/>
        <v>4448.8737944578679</v>
      </c>
      <c r="AA60" s="186">
        <f t="shared" si="20"/>
        <v>4537.377772540337</v>
      </c>
      <c r="AB60" s="186">
        <f t="shared" si="20"/>
        <v>5105.6119611002414</v>
      </c>
      <c r="AC60" s="186">
        <f t="shared" si="20"/>
        <v>5693.9446182989632</v>
      </c>
      <c r="AD60" s="186">
        <f t="shared" si="21"/>
        <v>59187.678178042908</v>
      </c>
      <c r="AE60" s="824">
        <f t="shared" si="22"/>
        <v>1.300855623936815E-3</v>
      </c>
      <c r="AF60" s="1"/>
      <c r="AG60" s="198"/>
    </row>
    <row r="61" spans="14:40" x14ac:dyDescent="0.25">
      <c r="O61" s="181" t="s">
        <v>414</v>
      </c>
      <c r="P61" s="181" t="s">
        <v>415</v>
      </c>
      <c r="Q61" s="186">
        <v>0</v>
      </c>
      <c r="R61" s="186">
        <f t="shared" si="20"/>
        <v>11818.266359615809</v>
      </c>
      <c r="S61" s="186">
        <f t="shared" si="20"/>
        <v>10998.032751421038</v>
      </c>
      <c r="T61" s="186">
        <f t="shared" si="20"/>
        <v>9909.8382395073968</v>
      </c>
      <c r="U61" s="186">
        <f t="shared" si="20"/>
        <v>9109.2227605128992</v>
      </c>
      <c r="V61" s="186">
        <f t="shared" si="20"/>
        <v>9729.7183566158237</v>
      </c>
      <c r="W61" s="186">
        <f t="shared" si="20"/>
        <v>10761.281440852359</v>
      </c>
      <c r="X61" s="186">
        <f t="shared" si="20"/>
        <v>11017.171505876651</v>
      </c>
      <c r="Y61" s="186">
        <f t="shared" si="20"/>
        <v>11022.351526687553</v>
      </c>
      <c r="Z61" s="186">
        <f t="shared" si="20"/>
        <v>9525.7703622052832</v>
      </c>
      <c r="AA61" s="186">
        <f t="shared" si="20"/>
        <v>9715.2719327837713</v>
      </c>
      <c r="AB61" s="186">
        <f t="shared" si="20"/>
        <v>10931.954770341161</v>
      </c>
      <c r="AC61" s="186">
        <f t="shared" si="20"/>
        <v>12191.671734225949</v>
      </c>
      <c r="AD61" s="186">
        <f t="shared" si="21"/>
        <v>126730.55174064569</v>
      </c>
      <c r="AE61" s="824">
        <f t="shared" si="22"/>
        <v>2.7853458022212563E-3</v>
      </c>
      <c r="AF61" s="1"/>
      <c r="AG61" s="198"/>
    </row>
    <row r="62" spans="14:40" x14ac:dyDescent="0.25">
      <c r="O62" s="181" t="s">
        <v>418</v>
      </c>
      <c r="P62" s="181" t="s">
        <v>419</v>
      </c>
      <c r="Q62" s="186">
        <v>0</v>
      </c>
      <c r="R62" s="186">
        <f t="shared" si="20"/>
        <v>48894.082145033513</v>
      </c>
      <c r="S62" s="186">
        <f t="shared" si="20"/>
        <v>45500.642853951562</v>
      </c>
      <c r="T62" s="186">
        <f t="shared" si="20"/>
        <v>40998.605902314441</v>
      </c>
      <c r="U62" s="186">
        <f t="shared" si="20"/>
        <v>37686.329989300168</v>
      </c>
      <c r="V62" s="186">
        <f t="shared" si="20"/>
        <v>40253.420772611491</v>
      </c>
      <c r="W62" s="186">
        <f t="shared" si="20"/>
        <v>44521.164335304806</v>
      </c>
      <c r="X62" s="186">
        <f t="shared" si="20"/>
        <v>45579.822981055819</v>
      </c>
      <c r="Y62" s="186">
        <f t="shared" si="20"/>
        <v>45601.253566163177</v>
      </c>
      <c r="Z62" s="186">
        <f t="shared" si="20"/>
        <v>39409.654886093769</v>
      </c>
      <c r="AA62" s="186">
        <f t="shared" si="20"/>
        <v>40193.653577317942</v>
      </c>
      <c r="AB62" s="186">
        <f t="shared" si="20"/>
        <v>45227.267543513684</v>
      </c>
      <c r="AC62" s="186">
        <f t="shared" si="20"/>
        <v>50438.920660602285</v>
      </c>
      <c r="AD62" s="186">
        <f t="shared" si="21"/>
        <v>524304.81921326264</v>
      </c>
      <c r="AE62" s="824">
        <f t="shared" si="22"/>
        <v>1.1523426728770866E-2</v>
      </c>
      <c r="AF62" s="1"/>
      <c r="AG62" s="198"/>
    </row>
    <row r="63" spans="14:40" x14ac:dyDescent="0.25">
      <c r="O63" s="181" t="s">
        <v>421</v>
      </c>
      <c r="P63" s="181" t="s">
        <v>422</v>
      </c>
      <c r="Q63" s="186">
        <v>0</v>
      </c>
      <c r="R63" s="186">
        <f t="shared" si="20"/>
        <v>61556.97966281198</v>
      </c>
      <c r="S63" s="186">
        <f t="shared" si="20"/>
        <v>57284.686079132603</v>
      </c>
      <c r="T63" s="186">
        <f t="shared" si="20"/>
        <v>51616.683226535766</v>
      </c>
      <c r="U63" s="186">
        <f t="shared" si="20"/>
        <v>47446.573224056614</v>
      </c>
      <c r="V63" s="186">
        <f t="shared" si="20"/>
        <v>50678.505355886969</v>
      </c>
      <c r="W63" s="186">
        <f t="shared" si="20"/>
        <v>56051.536041186257</v>
      </c>
      <c r="X63" s="186">
        <f t="shared" si="20"/>
        <v>57384.372774536714</v>
      </c>
      <c r="Y63" s="186">
        <f t="shared" si="20"/>
        <v>57411.353587627811</v>
      </c>
      <c r="Z63" s="186">
        <f t="shared" si="20"/>
        <v>49616.215662781004</v>
      </c>
      <c r="AA63" s="186">
        <f t="shared" si="20"/>
        <v>50603.259275711564</v>
      </c>
      <c r="AB63" s="186">
        <f t="shared" si="20"/>
        <v>56940.510308023491</v>
      </c>
      <c r="AC63" s="186">
        <f t="shared" si="20"/>
        <v>63501.910192505027</v>
      </c>
      <c r="AD63" s="186">
        <f t="shared" si="21"/>
        <v>660092.58539079595</v>
      </c>
      <c r="AE63" s="824">
        <f t="shared" si="22"/>
        <v>1.4507836402056381E-2</v>
      </c>
      <c r="AF63" s="1"/>
      <c r="AG63" s="198"/>
    </row>
    <row r="64" spans="14:40" x14ac:dyDescent="0.25">
      <c r="O64" s="181" t="s">
        <v>424</v>
      </c>
      <c r="P64" s="181" t="s">
        <v>425</v>
      </c>
      <c r="Q64" s="186">
        <v>0</v>
      </c>
      <c r="R64" s="186">
        <f t="shared" si="20"/>
        <v>44958.064332310889</v>
      </c>
      <c r="S64" s="186">
        <f t="shared" si="20"/>
        <v>41837.799971816072</v>
      </c>
      <c r="T64" s="186">
        <f t="shared" si="20"/>
        <v>37698.18106460847</v>
      </c>
      <c r="U64" s="186">
        <f t="shared" si="20"/>
        <v>34652.546356875529</v>
      </c>
      <c r="V64" s="186">
        <f t="shared" si="20"/>
        <v>37012.984011490873</v>
      </c>
      <c r="W64" s="186">
        <f t="shared" si="20"/>
        <v>40937.1703593649</v>
      </c>
      <c r="X64" s="186">
        <f t="shared" si="20"/>
        <v>41910.606027109934</v>
      </c>
      <c r="Y64" s="186">
        <f t="shared" si="20"/>
        <v>41930.311430742993</v>
      </c>
      <c r="Z64" s="186">
        <f t="shared" si="20"/>
        <v>36237.142041598694</v>
      </c>
      <c r="AA64" s="186">
        <f t="shared" si="20"/>
        <v>36958.028129447754</v>
      </c>
      <c r="AB64" s="186">
        <f t="shared" si="20"/>
        <v>41586.431620998599</v>
      </c>
      <c r="AC64" s="186">
        <f t="shared" si="20"/>
        <v>46378.541950848761</v>
      </c>
      <c r="AD64" s="186">
        <f t="shared" si="21"/>
        <v>482097.80729721347</v>
      </c>
      <c r="AE64" s="824">
        <f t="shared" si="22"/>
        <v>1.0595780459974852E-2</v>
      </c>
      <c r="AF64" s="1"/>
      <c r="AG64" s="198"/>
    </row>
    <row r="65" spans="15:33" x14ac:dyDescent="0.25">
      <c r="O65" s="181" t="s">
        <v>426</v>
      </c>
      <c r="P65" s="181" t="s">
        <v>427</v>
      </c>
      <c r="Q65" s="186">
        <v>0</v>
      </c>
      <c r="R65" s="186">
        <f t="shared" ref="R65:AC70" si="23">R$75*$AE65</f>
        <v>25124.579690679886</v>
      </c>
      <c r="S65" s="186">
        <f t="shared" si="23"/>
        <v>23380.836232292193</v>
      </c>
      <c r="T65" s="186">
        <f t="shared" si="23"/>
        <v>21067.431803791598</v>
      </c>
      <c r="U65" s="186">
        <f t="shared" si="23"/>
        <v>19365.394737481729</v>
      </c>
      <c r="V65" s="186">
        <f t="shared" si="23"/>
        <v>20684.513005561672</v>
      </c>
      <c r="W65" s="186">
        <f t="shared" si="23"/>
        <v>22877.524072263244</v>
      </c>
      <c r="X65" s="186">
        <f t="shared" si="23"/>
        <v>23421.523516439342</v>
      </c>
      <c r="Y65" s="186">
        <f t="shared" si="23"/>
        <v>23432.535778449917</v>
      </c>
      <c r="Z65" s="186">
        <f t="shared" si="23"/>
        <v>20250.93776851747</v>
      </c>
      <c r="AA65" s="186">
        <f t="shared" si="23"/>
        <v>20653.801197605306</v>
      </c>
      <c r="AB65" s="186">
        <f t="shared" si="23"/>
        <v>23240.360340911575</v>
      </c>
      <c r="AC65" s="186">
        <f t="shared" si="23"/>
        <v>25918.406196687458</v>
      </c>
      <c r="AD65" s="186">
        <f t="shared" si="21"/>
        <v>269417.84434068139</v>
      </c>
      <c r="AE65" s="824">
        <f t="shared" si="22"/>
        <v>5.9213966282854703E-3</v>
      </c>
      <c r="AF65" s="1"/>
      <c r="AG65" s="198"/>
    </row>
    <row r="66" spans="15:33" x14ac:dyDescent="0.25">
      <c r="O66" s="181" t="s">
        <v>428</v>
      </c>
      <c r="P66" s="181" t="s">
        <v>429</v>
      </c>
      <c r="Q66" s="186">
        <v>0</v>
      </c>
      <c r="R66" s="186">
        <f t="shared" si="23"/>
        <v>11857.807951015582</v>
      </c>
      <c r="S66" s="186">
        <f t="shared" si="23"/>
        <v>11034.830002728899</v>
      </c>
      <c r="T66" s="186">
        <f t="shared" si="23"/>
        <v>9942.9946063196585</v>
      </c>
      <c r="U66" s="186">
        <f t="shared" si="23"/>
        <v>9139.7004256293767</v>
      </c>
      <c r="V66" s="186">
        <f t="shared" si="23"/>
        <v>9762.2720777780778</v>
      </c>
      <c r="W66" s="186">
        <f t="shared" si="23"/>
        <v>10797.286568907874</v>
      </c>
      <c r="X66" s="186">
        <f t="shared" si="23"/>
        <v>11054.032791687167</v>
      </c>
      <c r="Y66" s="186">
        <f t="shared" si="23"/>
        <v>11059.230143827393</v>
      </c>
      <c r="Z66" s="186">
        <f t="shared" si="23"/>
        <v>9557.6417135497995</v>
      </c>
      <c r="AA66" s="186">
        <f t="shared" si="23"/>
        <v>9747.7773190573898</v>
      </c>
      <c r="AB66" s="186">
        <f t="shared" si="23"/>
        <v>10968.530937739684</v>
      </c>
      <c r="AC66" s="186">
        <f t="shared" si="23"/>
        <v>12232.462666459651</v>
      </c>
      <c r="AD66" s="186">
        <f t="shared" si="21"/>
        <v>127154.56720470055</v>
      </c>
      <c r="AE66" s="824">
        <f t="shared" si="22"/>
        <v>2.7946650206469685E-3</v>
      </c>
      <c r="AF66" s="1"/>
      <c r="AG66" s="198"/>
    </row>
    <row r="67" spans="15:33" x14ac:dyDescent="0.25">
      <c r="O67" s="181" t="s">
        <v>431</v>
      </c>
      <c r="P67" s="181" t="s">
        <v>432</v>
      </c>
      <c r="Q67" s="186">
        <v>0</v>
      </c>
      <c r="R67" s="186">
        <f t="shared" si="23"/>
        <v>71268.904980461986</v>
      </c>
      <c r="S67" s="186">
        <f t="shared" si="23"/>
        <v>66322.566041616563</v>
      </c>
      <c r="T67" s="186">
        <f t="shared" si="23"/>
        <v>59760.3149541944</v>
      </c>
      <c r="U67" s="186">
        <f t="shared" si="23"/>
        <v>54932.281234010014</v>
      </c>
      <c r="V67" s="186">
        <f t="shared" si="23"/>
        <v>58674.119531932083</v>
      </c>
      <c r="W67" s="186">
        <f t="shared" si="23"/>
        <v>64894.860306824885</v>
      </c>
      <c r="X67" s="186">
        <f t="shared" si="23"/>
        <v>66437.980437538645</v>
      </c>
      <c r="Y67" s="186">
        <f t="shared" si="23"/>
        <v>66469.218048854513</v>
      </c>
      <c r="Z67" s="186">
        <f t="shared" si="23"/>
        <v>57444.231002403882</v>
      </c>
      <c r="AA67" s="186">
        <f t="shared" si="23"/>
        <v>58587.001779119193</v>
      </c>
      <c r="AB67" s="186">
        <f t="shared" si="23"/>
        <v>65924.08920824829</v>
      </c>
      <c r="AC67" s="186">
        <f t="shared" si="23"/>
        <v>73520.689747576427</v>
      </c>
      <c r="AD67" s="186">
        <f t="shared" si="21"/>
        <v>764236.25727278087</v>
      </c>
      <c r="AE67" s="824">
        <f t="shared" si="22"/>
        <v>1.6796756755674318E-2</v>
      </c>
      <c r="AF67" s="1"/>
      <c r="AG67" s="198"/>
    </row>
    <row r="68" spans="15:33" x14ac:dyDescent="0.25">
      <c r="O68" s="181" t="s">
        <v>434</v>
      </c>
      <c r="P68" s="181" t="s">
        <v>435</v>
      </c>
      <c r="Q68" s="186">
        <v>0</v>
      </c>
      <c r="R68" s="186">
        <f t="shared" si="23"/>
        <v>53224.129127588974</v>
      </c>
      <c r="S68" s="186">
        <f t="shared" si="23"/>
        <v>49530.167750434339</v>
      </c>
      <c r="T68" s="186">
        <f t="shared" si="23"/>
        <v>44629.431597123599</v>
      </c>
      <c r="U68" s="186">
        <f t="shared" si="23"/>
        <v>41023.821405331058</v>
      </c>
      <c r="V68" s="186">
        <f t="shared" si="23"/>
        <v>43818.253069431412</v>
      </c>
      <c r="W68" s="186">
        <f t="shared" si="23"/>
        <v>48463.946873242763</v>
      </c>
      <c r="X68" s="186">
        <f t="shared" si="23"/>
        <v>49616.360048652256</v>
      </c>
      <c r="Y68" s="186">
        <f t="shared" si="23"/>
        <v>49639.688520708456</v>
      </c>
      <c r="Z68" s="186">
        <f t="shared" si="23"/>
        <v>42899.763499174995</v>
      </c>
      <c r="AA68" s="186">
        <f t="shared" si="23"/>
        <v>43753.192907130753</v>
      </c>
      <c r="AB68" s="186">
        <f t="shared" si="23"/>
        <v>49232.582394810313</v>
      </c>
      <c r="AC68" s="186">
        <f t="shared" si="23"/>
        <v>54905.778133495449</v>
      </c>
      <c r="AD68" s="186">
        <f t="shared" si="21"/>
        <v>570737.11532712437</v>
      </c>
      <c r="AE68" s="824">
        <f t="shared" si="22"/>
        <v>1.2543938351989498E-2</v>
      </c>
      <c r="AF68" s="1"/>
      <c r="AG68" s="198"/>
    </row>
    <row r="69" spans="15:33" x14ac:dyDescent="0.25">
      <c r="O69" s="181" t="s">
        <v>436</v>
      </c>
      <c r="P69" s="181" t="s">
        <v>437</v>
      </c>
      <c r="Q69" s="186">
        <v>0</v>
      </c>
      <c r="R69" s="186">
        <f t="shared" si="23"/>
        <v>430182.17521601077</v>
      </c>
      <c r="S69" s="186">
        <f t="shared" si="23"/>
        <v>400325.86067530734</v>
      </c>
      <c r="T69" s="186">
        <f t="shared" si="23"/>
        <v>360715.83091724105</v>
      </c>
      <c r="U69" s="186">
        <f t="shared" si="23"/>
        <v>331573.61176381714</v>
      </c>
      <c r="V69" s="186">
        <f t="shared" si="23"/>
        <v>354159.50863915111</v>
      </c>
      <c r="W69" s="186">
        <f t="shared" si="23"/>
        <v>391708.16746493138</v>
      </c>
      <c r="X69" s="186">
        <f t="shared" si="23"/>
        <v>401022.50693222147</v>
      </c>
      <c r="Y69" s="186">
        <f t="shared" si="23"/>
        <v>401211.05849742499</v>
      </c>
      <c r="Z69" s="186">
        <f t="shared" si="23"/>
        <v>346735.84858641552</v>
      </c>
      <c r="AA69" s="186">
        <f t="shared" si="23"/>
        <v>353633.66213687562</v>
      </c>
      <c r="AB69" s="186">
        <f t="shared" si="23"/>
        <v>397920.63737352449</v>
      </c>
      <c r="AC69" s="186">
        <f t="shared" si="23"/>
        <v>443774.04490309418</v>
      </c>
      <c r="AD69" s="186">
        <f t="shared" si="21"/>
        <v>4612962.913106015</v>
      </c>
      <c r="AE69" s="824">
        <f t="shared" si="22"/>
        <v>0.10138594608281244</v>
      </c>
      <c r="AF69" s="1"/>
      <c r="AG69" s="198"/>
    </row>
    <row r="70" spans="15:33" x14ac:dyDescent="0.25">
      <c r="O70" s="181" t="s">
        <v>438</v>
      </c>
      <c r="P70" s="181" t="s">
        <v>439</v>
      </c>
      <c r="Q70" s="186">
        <v>0</v>
      </c>
      <c r="R70" s="186">
        <f t="shared" si="23"/>
        <v>78340.938998199024</v>
      </c>
      <c r="S70" s="186">
        <f t="shared" si="23"/>
        <v>72903.773418361132</v>
      </c>
      <c r="T70" s="186">
        <f t="shared" si="23"/>
        <v>65690.348260902334</v>
      </c>
      <c r="U70" s="186">
        <f t="shared" si="23"/>
        <v>60383.227360729899</v>
      </c>
      <c r="V70" s="186">
        <f t="shared" si="23"/>
        <v>64496.369353286129</v>
      </c>
      <c r="W70" s="186">
        <f t="shared" si="23"/>
        <v>71334.396031303535</v>
      </c>
      <c r="X70" s="186">
        <f t="shared" si="23"/>
        <v>73030.640418112642</v>
      </c>
      <c r="Y70" s="186">
        <f t="shared" si="23"/>
        <v>73064.977746618184</v>
      </c>
      <c r="Z70" s="186">
        <f t="shared" si="23"/>
        <v>63144.438629883436</v>
      </c>
      <c r="AA70" s="186">
        <f t="shared" si="23"/>
        <v>64400.60688070926</v>
      </c>
      <c r="AB70" s="186">
        <f t="shared" si="23"/>
        <v>72465.755613770787</v>
      </c>
      <c r="AC70" s="186">
        <f t="shared" si="23"/>
        <v>80816.169017882188</v>
      </c>
      <c r="AD70" s="186">
        <f t="shared" si="21"/>
        <v>840071.64172975859</v>
      </c>
      <c r="AE70" s="824">
        <f t="shared" si="22"/>
        <v>1.8463503778044708E-2</v>
      </c>
      <c r="AF70" s="1"/>
      <c r="AG70" s="198"/>
    </row>
    <row r="71" spans="15:33" x14ac:dyDescent="0.25">
      <c r="O71" s="187" t="s">
        <v>467</v>
      </c>
      <c r="P71" s="188"/>
      <c r="Q71" s="188"/>
      <c r="R71" s="958">
        <f>SUM(R55:R70)</f>
        <v>4243015.8403279716</v>
      </c>
      <c r="S71" s="958">
        <f t="shared" ref="S71:AC71" si="24">SUM(S55:S70)</f>
        <v>3948534.0537072034</v>
      </c>
      <c r="T71" s="958">
        <f t="shared" si="24"/>
        <v>3557848.4479752942</v>
      </c>
      <c r="U71" s="958">
        <f t="shared" si="24"/>
        <v>3270409.9983738037</v>
      </c>
      <c r="V71" s="958">
        <f t="shared" si="24"/>
        <v>3493181.4745790535</v>
      </c>
      <c r="W71" s="958">
        <f t="shared" si="24"/>
        <v>3863535.1604351816</v>
      </c>
      <c r="X71" s="958">
        <f t="shared" si="24"/>
        <v>3955405.2847192921</v>
      </c>
      <c r="Y71" s="958">
        <f t="shared" si="24"/>
        <v>3957265.0253686472</v>
      </c>
      <c r="Z71" s="958">
        <f t="shared" si="24"/>
        <v>3419959.6885272483</v>
      </c>
      <c r="AA71" s="958">
        <f t="shared" si="24"/>
        <v>3487994.8927835249</v>
      </c>
      <c r="AB71" s="958">
        <f t="shared" si="24"/>
        <v>3924810.6147621428</v>
      </c>
      <c r="AC71" s="958">
        <f t="shared" si="24"/>
        <v>4377076.528344647</v>
      </c>
      <c r="AD71" s="958">
        <f>SUM(AD55:AD70)</f>
        <v>45499037.00990402</v>
      </c>
      <c r="AE71" s="374">
        <f>'EEC Calculation'!B48</f>
        <v>45499037.009903997</v>
      </c>
      <c r="AF71" s="236" t="s">
        <v>765</v>
      </c>
      <c r="AG71" s="700"/>
    </row>
    <row r="72" spans="15:33" x14ac:dyDescent="0.25">
      <c r="O72" s="8"/>
      <c r="R72" s="10"/>
      <c r="S72" s="10"/>
      <c r="T72" s="10"/>
      <c r="U72" s="10"/>
      <c r="V72" s="10"/>
      <c r="W72" s="10"/>
      <c r="X72" s="10"/>
      <c r="Y72" s="10"/>
      <c r="Z72" s="10"/>
      <c r="AA72" s="10"/>
      <c r="AB72" s="10"/>
      <c r="AC72" s="10"/>
      <c r="AD72" s="10"/>
      <c r="AE72" s="2"/>
      <c r="AF72" s="1"/>
      <c r="AG72" s="1"/>
    </row>
    <row r="73" spans="15:33" x14ac:dyDescent="0.25">
      <c r="R73" s="10"/>
      <c r="S73" s="10"/>
      <c r="T73" s="10"/>
      <c r="U73" s="10"/>
      <c r="V73" s="10"/>
      <c r="W73" s="10"/>
      <c r="X73" s="10"/>
      <c r="Y73" s="10"/>
      <c r="Z73" s="10"/>
      <c r="AA73" s="10"/>
      <c r="AB73" s="10"/>
      <c r="AC73" s="10"/>
      <c r="AD73" s="498"/>
    </row>
    <row r="74" spans="15:33" x14ac:dyDescent="0.25">
      <c r="P74" s="5" t="s">
        <v>767</v>
      </c>
      <c r="R74" s="409">
        <f>R49</f>
        <v>9.325506909969046E-2</v>
      </c>
      <c r="S74" s="409">
        <f t="shared" ref="S74:AC74" si="25">S49</f>
        <v>8.6782804938216745E-2</v>
      </c>
      <c r="T74" s="409">
        <f t="shared" si="25"/>
        <v>7.8196126375176672E-2</v>
      </c>
      <c r="U74" s="409">
        <f t="shared" si="25"/>
        <v>7.1878664105834086E-2</v>
      </c>
      <c r="V74" s="409">
        <f t="shared" si="25"/>
        <v>7.6774844131726902E-2</v>
      </c>
      <c r="W74" s="409">
        <f t="shared" si="25"/>
        <v>8.4914657855158268E-2</v>
      </c>
      <c r="X74" s="409">
        <f t="shared" si="25"/>
        <v>8.6933824200681409E-2</v>
      </c>
      <c r="Y74" s="409">
        <f t="shared" si="25"/>
        <v>8.6974698486634985E-2</v>
      </c>
      <c r="Z74" s="409">
        <f t="shared" si="25"/>
        <v>7.5165540048304932E-2</v>
      </c>
      <c r="AA74" s="409">
        <f t="shared" si="25"/>
        <v>7.6660850910411055E-2</v>
      </c>
      <c r="AB74" s="409">
        <f t="shared" si="25"/>
        <v>8.6261399640344252E-2</v>
      </c>
      <c r="AC74" s="409">
        <f t="shared" si="25"/>
        <v>9.6201520207820371E-2</v>
      </c>
      <c r="AD74" s="410">
        <f>SUM(R74:AC74)</f>
        <v>1.0000000000000002</v>
      </c>
    </row>
    <row r="75" spans="15:33" x14ac:dyDescent="0.25">
      <c r="P75" s="5" t="s">
        <v>766</v>
      </c>
      <c r="R75" s="2">
        <f t="shared" ref="R75:AC75" si="26">$AE71*R74</f>
        <v>4243015.8403279707</v>
      </c>
      <c r="S75" s="2">
        <f t="shared" si="26"/>
        <v>3948534.0537072029</v>
      </c>
      <c r="T75" s="2">
        <f t="shared" si="26"/>
        <v>3557848.4479752937</v>
      </c>
      <c r="U75" s="2">
        <f t="shared" si="26"/>
        <v>3270409.9983738032</v>
      </c>
      <c r="V75" s="2">
        <f t="shared" si="26"/>
        <v>3493181.474579053</v>
      </c>
      <c r="W75" s="2">
        <f t="shared" si="26"/>
        <v>3863535.1604351811</v>
      </c>
      <c r="X75" s="2">
        <f t="shared" si="26"/>
        <v>3955405.2847192911</v>
      </c>
      <c r="Y75" s="2">
        <f t="shared" si="26"/>
        <v>3957265.0253686463</v>
      </c>
      <c r="Z75" s="2">
        <f t="shared" si="26"/>
        <v>3419959.6885272474</v>
      </c>
      <c r="AA75" s="2">
        <f t="shared" si="26"/>
        <v>3487994.8927835249</v>
      </c>
      <c r="AB75" s="2">
        <f t="shared" si="26"/>
        <v>3924810.6147621423</v>
      </c>
      <c r="AC75" s="2">
        <f t="shared" si="26"/>
        <v>4377076.5283446461</v>
      </c>
      <c r="AD75" s="2">
        <f>SUM(AD55:AD70)</f>
        <v>45499037.00990402</v>
      </c>
    </row>
    <row r="76" spans="15:33" x14ac:dyDescent="0.25">
      <c r="R76" s="176"/>
      <c r="S76" s="176"/>
      <c r="T76" s="176"/>
      <c r="U76" s="176"/>
      <c r="V76" s="176"/>
      <c r="W76" s="176"/>
      <c r="X76" s="176"/>
      <c r="Y76" s="409"/>
    </row>
    <row r="77" spans="15:33" x14ac:dyDescent="0.25">
      <c r="R77" s="176"/>
      <c r="S77" s="176"/>
      <c r="T77" s="176"/>
      <c r="U77" s="176"/>
      <c r="V77" s="176"/>
      <c r="W77" s="176"/>
      <c r="X77" s="176"/>
      <c r="Y77" s="410"/>
    </row>
    <row r="79" spans="15:33" x14ac:dyDescent="0.25">
      <c r="R79" s="407"/>
      <c r="S79" s="407"/>
      <c r="T79" s="407"/>
      <c r="U79" s="407"/>
      <c r="V79" s="407"/>
      <c r="W79" s="407"/>
      <c r="X79" s="407"/>
    </row>
    <row r="80" spans="15:33" x14ac:dyDescent="0.25">
      <c r="R80" s="176"/>
      <c r="S80" s="176"/>
      <c r="T80" s="176"/>
      <c r="U80" s="176"/>
      <c r="V80" s="176"/>
      <c r="W80" s="176"/>
    </row>
    <row r="86" spans="18:24" x14ac:dyDescent="0.25">
      <c r="R86" s="172"/>
      <c r="S86" s="172"/>
      <c r="T86" s="172"/>
      <c r="U86" s="172"/>
      <c r="V86" s="172"/>
      <c r="W86" s="172"/>
      <c r="X86" s="172"/>
    </row>
  </sheetData>
  <mergeCells count="10">
    <mergeCell ref="C25:D25"/>
    <mergeCell ref="C9:D9"/>
    <mergeCell ref="F25:J25"/>
    <mergeCell ref="E9:H9"/>
    <mergeCell ref="R5:V5"/>
    <mergeCell ref="W5:AC5"/>
    <mergeCell ref="AF48:AG48"/>
    <mergeCell ref="AF49:AG49"/>
    <mergeCell ref="AF24:AG24"/>
    <mergeCell ref="AF25:AG25"/>
  </mergeCells>
  <pageMargins left="0.7" right="0.7" top="0.75" bottom="0.75" header="0.3" footer="0.3"/>
  <pageSetup orientation="portrait"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16D79-FC12-4C28-BBA4-3DFE0EA9325B}">
  <dimension ref="A3:D48"/>
  <sheetViews>
    <sheetView workbookViewId="0">
      <selection activeCell="C15" sqref="C15"/>
    </sheetView>
  </sheetViews>
  <sheetFormatPr defaultRowHeight="12.75" x14ac:dyDescent="0.2"/>
  <cols>
    <col min="1" max="1" width="26.5703125" customWidth="1"/>
    <col min="2" max="2" width="12.5703125" customWidth="1"/>
    <col min="3" max="3" width="96.42578125" style="551" customWidth="1"/>
    <col min="4" max="4" width="44.140625" style="551" customWidth="1"/>
  </cols>
  <sheetData>
    <row r="3" spans="1:4" x14ac:dyDescent="0.2">
      <c r="A3" s="405" t="s">
        <v>468</v>
      </c>
    </row>
    <row r="4" spans="1:4" x14ac:dyDescent="0.2">
      <c r="A4" s="349" t="s">
        <v>469</v>
      </c>
      <c r="B4" s="349" t="s">
        <v>470</v>
      </c>
      <c r="C4" s="349" t="s">
        <v>200</v>
      </c>
      <c r="D4" s="349" t="s">
        <v>471</v>
      </c>
    </row>
    <row r="5" spans="1:4" x14ac:dyDescent="0.2">
      <c r="A5" s="405" t="s">
        <v>472</v>
      </c>
      <c r="B5" s="739" t="s">
        <v>473</v>
      </c>
      <c r="C5" s="633" t="s">
        <v>474</v>
      </c>
      <c r="D5" s="477" t="s">
        <v>475</v>
      </c>
    </row>
    <row r="6" spans="1:4" x14ac:dyDescent="0.2">
      <c r="A6" s="405" t="s">
        <v>472</v>
      </c>
      <c r="B6" s="739" t="s">
        <v>476</v>
      </c>
      <c r="C6" s="633" t="s">
        <v>474</v>
      </c>
      <c r="D6" s="477" t="s">
        <v>475</v>
      </c>
    </row>
    <row r="7" spans="1:4" x14ac:dyDescent="0.2">
      <c r="A7" s="405" t="s">
        <v>472</v>
      </c>
      <c r="B7" s="739" t="s">
        <v>477</v>
      </c>
      <c r="C7" s="633" t="s">
        <v>478</v>
      </c>
      <c r="D7" s="477" t="s">
        <v>479</v>
      </c>
    </row>
    <row r="8" spans="1:4" x14ac:dyDescent="0.2">
      <c r="A8" s="405" t="s">
        <v>480</v>
      </c>
      <c r="B8" s="740" t="s">
        <v>481</v>
      </c>
      <c r="C8" s="634" t="s">
        <v>482</v>
      </c>
      <c r="D8" s="477" t="s">
        <v>479</v>
      </c>
    </row>
    <row r="9" spans="1:4" x14ac:dyDescent="0.2">
      <c r="A9" s="405" t="s">
        <v>483</v>
      </c>
      <c r="B9" s="739" t="s">
        <v>484</v>
      </c>
      <c r="C9" s="633" t="s">
        <v>485</v>
      </c>
      <c r="D9" s="477" t="s">
        <v>479</v>
      </c>
    </row>
    <row r="10" spans="1:4" x14ac:dyDescent="0.2">
      <c r="A10" s="405" t="s">
        <v>472</v>
      </c>
      <c r="B10" s="739" t="s">
        <v>486</v>
      </c>
      <c r="C10" s="633" t="s">
        <v>487</v>
      </c>
    </row>
    <row r="11" spans="1:4" x14ac:dyDescent="0.2">
      <c r="A11" s="405" t="s">
        <v>472</v>
      </c>
      <c r="B11" s="739" t="s">
        <v>488</v>
      </c>
      <c r="C11" s="633" t="s">
        <v>489</v>
      </c>
    </row>
    <row r="12" spans="1:4" x14ac:dyDescent="0.2">
      <c r="A12" s="405" t="s">
        <v>483</v>
      </c>
      <c r="B12" s="740" t="s">
        <v>490</v>
      </c>
      <c r="C12" s="634" t="s">
        <v>491</v>
      </c>
    </row>
    <row r="13" spans="1:4" x14ac:dyDescent="0.2">
      <c r="B13" s="551"/>
      <c r="C13" s="634"/>
    </row>
    <row r="14" spans="1:4" x14ac:dyDescent="0.2">
      <c r="B14" s="551"/>
      <c r="C14" s="634"/>
    </row>
    <row r="15" spans="1:4" x14ac:dyDescent="0.2">
      <c r="B15" s="551"/>
      <c r="C15" s="634"/>
    </row>
    <row r="16" spans="1:4" x14ac:dyDescent="0.2">
      <c r="B16" s="551"/>
      <c r="C16" s="634"/>
    </row>
    <row r="17" spans="2:3" x14ac:dyDescent="0.2">
      <c r="B17" s="551"/>
      <c r="C17" s="634"/>
    </row>
    <row r="18" spans="2:3" x14ac:dyDescent="0.2">
      <c r="B18" s="551"/>
      <c r="C18" s="634"/>
    </row>
    <row r="19" spans="2:3" x14ac:dyDescent="0.2">
      <c r="B19" s="551"/>
      <c r="C19" s="634"/>
    </row>
    <row r="20" spans="2:3" x14ac:dyDescent="0.2">
      <c r="B20" s="551"/>
      <c r="C20" s="634"/>
    </row>
    <row r="21" spans="2:3" x14ac:dyDescent="0.2">
      <c r="B21" s="551"/>
      <c r="C21" s="634"/>
    </row>
    <row r="22" spans="2:3" x14ac:dyDescent="0.2">
      <c r="B22" s="551"/>
      <c r="C22" s="634"/>
    </row>
    <row r="23" spans="2:3" x14ac:dyDescent="0.2">
      <c r="B23" s="551"/>
      <c r="C23" s="634"/>
    </row>
    <row r="24" spans="2:3" x14ac:dyDescent="0.2">
      <c r="B24" s="551"/>
      <c r="C24" s="634"/>
    </row>
    <row r="25" spans="2:3" x14ac:dyDescent="0.2">
      <c r="B25" s="551"/>
      <c r="C25" s="634"/>
    </row>
    <row r="26" spans="2:3" x14ac:dyDescent="0.2">
      <c r="B26" s="551"/>
      <c r="C26" s="634"/>
    </row>
    <row r="27" spans="2:3" x14ac:dyDescent="0.2">
      <c r="B27" s="551"/>
      <c r="C27" s="634"/>
    </row>
    <row r="28" spans="2:3" x14ac:dyDescent="0.2">
      <c r="B28" s="551"/>
      <c r="C28" s="634"/>
    </row>
    <row r="29" spans="2:3" x14ac:dyDescent="0.2">
      <c r="B29" s="551"/>
      <c r="C29" s="634"/>
    </row>
    <row r="30" spans="2:3" x14ac:dyDescent="0.2">
      <c r="B30" s="551"/>
      <c r="C30" s="634"/>
    </row>
    <row r="31" spans="2:3" x14ac:dyDescent="0.2">
      <c r="B31" s="551"/>
      <c r="C31" s="634"/>
    </row>
    <row r="32" spans="2:3" x14ac:dyDescent="0.2">
      <c r="B32" s="551"/>
      <c r="C32" s="634"/>
    </row>
    <row r="33" spans="2:3" x14ac:dyDescent="0.2">
      <c r="B33" s="551"/>
      <c r="C33" s="634"/>
    </row>
    <row r="34" spans="2:3" x14ac:dyDescent="0.2">
      <c r="B34" s="551"/>
      <c r="C34" s="634"/>
    </row>
    <row r="35" spans="2:3" x14ac:dyDescent="0.2">
      <c r="B35" s="551"/>
      <c r="C35" s="634"/>
    </row>
    <row r="36" spans="2:3" x14ac:dyDescent="0.2">
      <c r="B36" s="551"/>
    </row>
    <row r="37" spans="2:3" x14ac:dyDescent="0.2">
      <c r="B37" s="551"/>
    </row>
    <row r="38" spans="2:3" x14ac:dyDescent="0.2">
      <c r="B38" s="551"/>
    </row>
    <row r="39" spans="2:3" x14ac:dyDescent="0.2">
      <c r="B39" s="551"/>
    </row>
    <row r="40" spans="2:3" x14ac:dyDescent="0.2">
      <c r="B40" s="551"/>
    </row>
    <row r="41" spans="2:3" x14ac:dyDescent="0.2">
      <c r="B41" s="551"/>
    </row>
    <row r="42" spans="2:3" x14ac:dyDescent="0.2">
      <c r="B42" s="551"/>
    </row>
    <row r="43" spans="2:3" x14ac:dyDescent="0.2">
      <c r="B43" s="551"/>
    </row>
    <row r="44" spans="2:3" x14ac:dyDescent="0.2">
      <c r="B44" s="551"/>
    </row>
    <row r="45" spans="2:3" x14ac:dyDescent="0.2">
      <c r="B45" s="551"/>
    </row>
    <row r="46" spans="2:3" x14ac:dyDescent="0.2">
      <c r="B46" s="551"/>
    </row>
    <row r="47" spans="2:3" x14ac:dyDescent="0.2">
      <c r="B47" s="551"/>
    </row>
    <row r="48" spans="2:3" x14ac:dyDescent="0.2">
      <c r="B48" s="551"/>
    </row>
  </sheetData>
  <phoneticPr fontId="6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44C9E-C45D-4CA4-8E5F-E5E36078D7E3}">
  <dimension ref="A1:N84"/>
  <sheetViews>
    <sheetView topLeftCell="A49" workbookViewId="0">
      <selection activeCell="F78" sqref="F78"/>
    </sheetView>
  </sheetViews>
  <sheetFormatPr defaultColWidth="9.140625" defaultRowHeight="12.75" x14ac:dyDescent="0.2"/>
  <cols>
    <col min="1" max="1" width="53" style="612" customWidth="1"/>
    <col min="2" max="6" width="13.85546875" style="612" customWidth="1"/>
    <col min="7" max="7" width="14.28515625" style="612" bestFit="1" customWidth="1"/>
    <col min="8" max="8" width="14.85546875" style="612" bestFit="1" customWidth="1"/>
    <col min="9" max="9" width="11.5703125" style="612" bestFit="1" customWidth="1"/>
    <col min="10" max="11" width="10" style="612" bestFit="1" customWidth="1"/>
    <col min="12" max="13" width="10.7109375" style="612" bestFit="1" customWidth="1"/>
    <col min="14" max="16384" width="9.140625" style="612"/>
  </cols>
  <sheetData>
    <row r="1" spans="1:9" ht="18.75" x14ac:dyDescent="0.3">
      <c r="A1" s="611" t="s">
        <v>492</v>
      </c>
    </row>
    <row r="2" spans="1:9" ht="18.75" x14ac:dyDescent="0.3">
      <c r="A2" s="611"/>
    </row>
    <row r="3" spans="1:9" s="613" customFormat="1" ht="30" x14ac:dyDescent="0.25">
      <c r="A3" s="613" t="s">
        <v>493</v>
      </c>
      <c r="B3" s="613" t="s">
        <v>16</v>
      </c>
      <c r="C3" s="613" t="s">
        <v>17</v>
      </c>
      <c r="D3" s="613" t="s">
        <v>236</v>
      </c>
      <c r="E3" s="613" t="s">
        <v>237</v>
      </c>
      <c r="F3" s="613" t="s">
        <v>238</v>
      </c>
    </row>
    <row r="4" spans="1:9" s="1" customFormat="1" ht="15" x14ac:dyDescent="0.25">
      <c r="A4" s="181" t="s">
        <v>91</v>
      </c>
      <c r="B4" s="543">
        <f>'Util Rev and Load Data'!B70</f>
        <v>1978</v>
      </c>
      <c r="C4" s="543">
        <f>'Util Rev and Load Data'!F70</f>
        <v>187</v>
      </c>
      <c r="D4" s="543">
        <f>'Util Rev and Load Data'!J70</f>
        <v>26</v>
      </c>
      <c r="E4" s="543">
        <f>'Util Rev and Load Data'!R70</f>
        <v>0</v>
      </c>
      <c r="F4" s="543">
        <f>'Util Rev and Load Data'!U70</f>
        <v>0</v>
      </c>
    </row>
    <row r="5" spans="1:9" s="1" customFormat="1" ht="15" x14ac:dyDescent="0.25">
      <c r="A5" s="181" t="s">
        <v>92</v>
      </c>
      <c r="B5" s="543">
        <f>'Util Rev and Load Data'!B71</f>
        <v>1570</v>
      </c>
      <c r="C5" s="543">
        <f>'Util Rev and Load Data'!F71</f>
        <v>196</v>
      </c>
      <c r="D5" s="543">
        <f>'Util Rev and Load Data'!J71</f>
        <v>24</v>
      </c>
      <c r="E5" s="543">
        <f>'Util Rev and Load Data'!R71</f>
        <v>0</v>
      </c>
      <c r="F5" s="543">
        <f>'Util Rev and Load Data'!U71</f>
        <v>0</v>
      </c>
    </row>
    <row r="6" spans="1:9" s="1" customFormat="1" ht="15" x14ac:dyDescent="0.25">
      <c r="A6" s="181" t="s">
        <v>93</v>
      </c>
      <c r="B6" s="543">
        <f>'Util Rev and Load Data'!B72</f>
        <v>224519</v>
      </c>
      <c r="C6" s="543">
        <f>'Util Rev and Load Data'!F72</f>
        <v>36295</v>
      </c>
      <c r="D6" s="543">
        <f>'Util Rev and Load Data'!J72</f>
        <v>8822</v>
      </c>
      <c r="E6" s="543">
        <f>'Util Rev and Load Data'!R72</f>
        <v>0</v>
      </c>
      <c r="F6" s="543">
        <f>'Util Rev and Load Data'!U72</f>
        <v>70</v>
      </c>
    </row>
    <row r="7" spans="1:9" s="1" customFormat="1" ht="15" x14ac:dyDescent="0.25">
      <c r="A7" s="181" t="s">
        <v>94</v>
      </c>
      <c r="B7" s="543">
        <f>'Util Rev and Load Data'!B73</f>
        <v>4309</v>
      </c>
      <c r="C7" s="543">
        <f>'Util Rev and Load Data'!F73</f>
        <v>436</v>
      </c>
      <c r="D7" s="543">
        <f>'Util Rev and Load Data'!J73</f>
        <v>39</v>
      </c>
      <c r="E7" s="543">
        <f>'Util Rev and Load Data'!R73</f>
        <v>0</v>
      </c>
      <c r="F7" s="543">
        <f>'Util Rev and Load Data'!U73</f>
        <v>0</v>
      </c>
    </row>
    <row r="8" spans="1:9" s="1" customFormat="1" ht="15" x14ac:dyDescent="0.25">
      <c r="A8" s="181" t="s">
        <v>95</v>
      </c>
      <c r="B8" s="543">
        <f>'Util Rev and Load Data'!B74</f>
        <v>1393</v>
      </c>
      <c r="C8" s="543">
        <f>'Util Rev and Load Data'!F74</f>
        <v>162</v>
      </c>
      <c r="D8" s="543">
        <f>'Util Rev and Load Data'!J74</f>
        <v>3</v>
      </c>
      <c r="E8" s="543">
        <f>'Util Rev and Load Data'!R74</f>
        <v>0</v>
      </c>
      <c r="F8" s="543">
        <f>'Util Rev and Load Data'!U74</f>
        <v>0</v>
      </c>
      <c r="H8" s="2">
        <f>'Util Rev and Load Data'!D42</f>
        <v>400600666.46504444</v>
      </c>
      <c r="I8" s="1" t="s">
        <v>494</v>
      </c>
    </row>
    <row r="9" spans="1:9" s="1" customFormat="1" ht="15" x14ac:dyDescent="0.25">
      <c r="A9" s="181" t="s">
        <v>96</v>
      </c>
      <c r="B9" s="543">
        <f>'Util Rev and Load Data'!B75</f>
        <v>670</v>
      </c>
      <c r="C9" s="543">
        <f>'Util Rev and Load Data'!F75</f>
        <v>54</v>
      </c>
      <c r="D9" s="543">
        <f>'Util Rev and Load Data'!J75</f>
        <v>4</v>
      </c>
      <c r="E9" s="543">
        <f>'Util Rev and Load Data'!R75</f>
        <v>0</v>
      </c>
      <c r="F9" s="543">
        <f>'Util Rev and Load Data'!U75</f>
        <v>0</v>
      </c>
      <c r="H9" s="22">
        <f>B20</f>
        <v>301441</v>
      </c>
      <c r="I9" s="1" t="s">
        <v>495</v>
      </c>
    </row>
    <row r="10" spans="1:9" s="1" customFormat="1" ht="15" x14ac:dyDescent="0.25">
      <c r="A10" s="181" t="s">
        <v>97</v>
      </c>
      <c r="B10" s="543">
        <f>'Util Rev and Load Data'!B76</f>
        <v>821</v>
      </c>
      <c r="C10" s="543">
        <f>'Util Rev and Load Data'!F76</f>
        <v>157</v>
      </c>
      <c r="D10" s="543">
        <f>'Util Rev and Load Data'!J76</f>
        <v>18</v>
      </c>
      <c r="E10" s="543">
        <f>'Util Rev and Load Data'!R76</f>
        <v>0</v>
      </c>
      <c r="F10" s="543">
        <f>'Util Rev and Load Data'!U76</f>
        <v>0</v>
      </c>
      <c r="H10" s="826">
        <f>H8/H9/12</f>
        <v>110.74601289170032</v>
      </c>
      <c r="I10" s="1" t="s">
        <v>496</v>
      </c>
    </row>
    <row r="11" spans="1:9" s="1" customFormat="1" ht="15" x14ac:dyDescent="0.25">
      <c r="A11" s="181" t="s">
        <v>98</v>
      </c>
      <c r="B11" s="543">
        <f>'Util Rev and Load Data'!B77</f>
        <v>2975</v>
      </c>
      <c r="C11" s="543">
        <f>'Util Rev and Load Data'!F77</f>
        <v>581</v>
      </c>
      <c r="D11" s="543">
        <f>'Util Rev and Load Data'!J77</f>
        <v>120</v>
      </c>
      <c r="E11" s="543">
        <f>'Util Rev and Load Data'!R77</f>
        <v>0</v>
      </c>
      <c r="F11" s="543">
        <f>'Util Rev and Load Data'!U77</f>
        <v>0</v>
      </c>
      <c r="H11" s="866">
        <v>23516373.370288257</v>
      </c>
      <c r="I11" s="1" t="s">
        <v>497</v>
      </c>
    </row>
    <row r="12" spans="1:9" s="1" customFormat="1" ht="15" x14ac:dyDescent="0.25">
      <c r="A12" s="181" t="s">
        <v>99</v>
      </c>
      <c r="B12" s="543">
        <f>'Util Rev and Load Data'!B78</f>
        <v>4906</v>
      </c>
      <c r="C12" s="543">
        <f>'Util Rev and Load Data'!F78</f>
        <v>938</v>
      </c>
      <c r="D12" s="543">
        <f>'Util Rev and Load Data'!J78</f>
        <v>40</v>
      </c>
      <c r="E12" s="543">
        <f>'Util Rev and Load Data'!R78</f>
        <v>0</v>
      </c>
      <c r="F12" s="543">
        <f>'Util Rev and Load Data'!U78</f>
        <v>0</v>
      </c>
      <c r="H12" s="22">
        <f>H9</f>
        <v>301441</v>
      </c>
      <c r="I12" s="1" t="s">
        <v>498</v>
      </c>
    </row>
    <row r="13" spans="1:9" s="1" customFormat="1" ht="15" x14ac:dyDescent="0.25">
      <c r="A13" s="181" t="s">
        <v>100</v>
      </c>
      <c r="B13" s="543">
        <f>'Util Rev and Load Data'!B79</f>
        <v>3644</v>
      </c>
      <c r="C13" s="543">
        <f>'Util Rev and Load Data'!F79</f>
        <v>571</v>
      </c>
      <c r="D13" s="543">
        <f>'Util Rev and Load Data'!J79</f>
        <v>98</v>
      </c>
      <c r="E13" s="543">
        <f>'Util Rev and Load Data'!R79</f>
        <v>0</v>
      </c>
      <c r="F13" s="543">
        <f>'Util Rev and Load Data'!U79</f>
        <v>0</v>
      </c>
      <c r="H13" s="69">
        <f>H11/H12/12</f>
        <v>6.5010989907058248</v>
      </c>
      <c r="I13" s="1" t="s">
        <v>499</v>
      </c>
    </row>
    <row r="14" spans="1:9" s="1" customFormat="1" ht="15" x14ac:dyDescent="0.25">
      <c r="A14" s="181" t="s">
        <v>101</v>
      </c>
      <c r="B14" s="543">
        <f>'Util Rev and Load Data'!B80</f>
        <v>1622</v>
      </c>
      <c r="C14" s="543">
        <f>'Util Rev and Load Data'!F80</f>
        <v>225</v>
      </c>
      <c r="D14" s="543">
        <f>'Util Rev and Load Data'!J80</f>
        <v>17</v>
      </c>
      <c r="E14" s="543">
        <f>'Util Rev and Load Data'!R80</f>
        <v>0</v>
      </c>
      <c r="F14" s="543">
        <f>'Util Rev and Load Data'!U80</f>
        <v>1</v>
      </c>
      <c r="H14" s="69">
        <f>H13+H10</f>
        <v>117.24711188240614</v>
      </c>
      <c r="I14" s="1" t="s">
        <v>500</v>
      </c>
    </row>
    <row r="15" spans="1:9" s="1" customFormat="1" ht="15" x14ac:dyDescent="0.25">
      <c r="A15" s="181" t="s">
        <v>102</v>
      </c>
      <c r="B15" s="543">
        <f>'Util Rev and Load Data'!B81</f>
        <v>580</v>
      </c>
      <c r="C15" s="543">
        <f>'Util Rev and Load Data'!F81</f>
        <v>92</v>
      </c>
      <c r="D15" s="543">
        <f>'Util Rev and Load Data'!J81</f>
        <v>0</v>
      </c>
      <c r="E15" s="543">
        <f>'Util Rev and Load Data'!R81</f>
        <v>0</v>
      </c>
      <c r="F15" s="543">
        <f>'Util Rev and Load Data'!U81</f>
        <v>1</v>
      </c>
      <c r="H15" s="16">
        <f>H13/H14</f>
        <v>5.5447839066826224E-2</v>
      </c>
      <c r="I15" s="1" t="s">
        <v>501</v>
      </c>
    </row>
    <row r="16" spans="1:9" s="1" customFormat="1" ht="15" x14ac:dyDescent="0.25">
      <c r="A16" s="181" t="s">
        <v>103</v>
      </c>
      <c r="B16" s="543">
        <f>'Util Rev and Load Data'!B82</f>
        <v>3537</v>
      </c>
      <c r="C16" s="543">
        <f>'Util Rev and Load Data'!F82</f>
        <v>714</v>
      </c>
      <c r="D16" s="543">
        <f>'Util Rev and Load Data'!J82</f>
        <v>98</v>
      </c>
      <c r="E16" s="543">
        <f>'Util Rev and Load Data'!R82</f>
        <v>0</v>
      </c>
      <c r="F16" s="543">
        <f>'Util Rev and Load Data'!U82</f>
        <v>1</v>
      </c>
    </row>
    <row r="17" spans="1:14" s="1" customFormat="1" ht="15" x14ac:dyDescent="0.25">
      <c r="A17" s="181" t="s">
        <v>104</v>
      </c>
      <c r="B17" s="543">
        <f>'Util Rev and Load Data'!B83</f>
        <v>3340</v>
      </c>
      <c r="C17" s="543">
        <f>'Util Rev and Load Data'!F83</f>
        <v>340</v>
      </c>
      <c r="D17" s="543">
        <f>'Util Rev and Load Data'!J83</f>
        <v>89</v>
      </c>
      <c r="E17" s="543">
        <f>'Util Rev and Load Data'!R83</f>
        <v>0</v>
      </c>
      <c r="F17" s="543">
        <f>'Util Rev and Load Data'!U83</f>
        <v>0</v>
      </c>
    </row>
    <row r="18" spans="1:14" s="1" customFormat="1" ht="15" x14ac:dyDescent="0.25">
      <c r="A18" s="181" t="s">
        <v>258</v>
      </c>
      <c r="B18" s="543">
        <f>'Util Rev and Load Data'!B84</f>
        <v>35371</v>
      </c>
      <c r="C18" s="543">
        <f>'Util Rev and Load Data'!F84</f>
        <v>4715</v>
      </c>
      <c r="D18" s="543">
        <f>'Util Rev and Load Data'!J84</f>
        <v>152</v>
      </c>
      <c r="E18" s="543">
        <v>1</v>
      </c>
      <c r="F18" s="543">
        <f>'Util Rev and Load Data'!U84</f>
        <v>10</v>
      </c>
    </row>
    <row r="19" spans="1:14" s="1" customFormat="1" ht="15" x14ac:dyDescent="0.25">
      <c r="A19" s="626" t="s">
        <v>106</v>
      </c>
      <c r="B19" s="627">
        <f>'Util Rev and Load Data'!B85</f>
        <v>10206</v>
      </c>
      <c r="C19" s="627">
        <f>'Util Rev and Load Data'!F85</f>
        <v>658</v>
      </c>
      <c r="D19" s="627">
        <f>'Util Rev and Load Data'!J85</f>
        <v>13</v>
      </c>
      <c r="E19" s="627">
        <f>'Util Rev and Load Data'!R85</f>
        <v>0</v>
      </c>
      <c r="F19" s="627">
        <f>'Util Rev and Load Data'!U85</f>
        <v>0</v>
      </c>
    </row>
    <row r="20" spans="1:14" s="1" customFormat="1" ht="15" x14ac:dyDescent="0.25">
      <c r="A20" s="614" t="s">
        <v>502</v>
      </c>
      <c r="B20" s="615">
        <f>SUM(B4:B19)</f>
        <v>301441</v>
      </c>
      <c r="C20" s="615">
        <f>SUM(C4:C19)</f>
        <v>46321</v>
      </c>
      <c r="D20" s="615">
        <f>SUM(D4:D19)</f>
        <v>9563</v>
      </c>
      <c r="E20" s="615">
        <f>SUM(E4:E19)</f>
        <v>1</v>
      </c>
      <c r="F20" s="615">
        <f>SUM(F4:F19)</f>
        <v>83</v>
      </c>
    </row>
    <row r="21" spans="1:14" s="1" customFormat="1" ht="15" x14ac:dyDescent="0.25">
      <c r="A21" s="614"/>
      <c r="B21" s="615"/>
      <c r="C21" s="615"/>
      <c r="D21" s="615"/>
      <c r="E21" s="615"/>
      <c r="F21" s="615"/>
    </row>
    <row r="22" spans="1:14" s="1" customFormat="1" ht="15" x14ac:dyDescent="0.25">
      <c r="A22" s="616" t="s">
        <v>503</v>
      </c>
      <c r="H22" s="164"/>
      <c r="I22" s="796" t="s">
        <v>504</v>
      </c>
      <c r="J22" s="164"/>
      <c r="K22" s="164"/>
      <c r="L22" s="164"/>
    </row>
    <row r="23" spans="1:14" s="1" customFormat="1" ht="15" x14ac:dyDescent="0.25">
      <c r="A23" s="1" t="s">
        <v>505</v>
      </c>
      <c r="B23" s="26">
        <f>'Util Rev and Load Data'!C86</f>
        <v>2163164825</v>
      </c>
      <c r="C23" s="26">
        <f>'Util Rev and Load Data'!I86</f>
        <v>436959017</v>
      </c>
      <c r="D23" s="26">
        <f>'Util Rev and Load Data'!K86</f>
        <v>1328761214.1200054</v>
      </c>
      <c r="E23" s="26">
        <f>'Util Rev and Load Data'!S86</f>
        <v>5557123</v>
      </c>
      <c r="F23" s="26">
        <f>'Util Rev and Load Data'!V86</f>
        <v>699115184</v>
      </c>
      <c r="G23" s="22"/>
      <c r="H23" s="22"/>
      <c r="N23" s="22"/>
    </row>
    <row r="24" spans="1:14" s="1" customFormat="1" ht="15" x14ac:dyDescent="0.25">
      <c r="A24" s="614" t="s">
        <v>506</v>
      </c>
      <c r="B24" s="615">
        <f>B23/B20</f>
        <v>7176.0803109066119</v>
      </c>
      <c r="C24" s="615">
        <f>C23/C20</f>
        <v>9433.2811683685577</v>
      </c>
      <c r="D24" s="615">
        <f>D23/D20</f>
        <v>138948.15582139551</v>
      </c>
      <c r="E24" s="615">
        <f>E23/E20</f>
        <v>5557123</v>
      </c>
      <c r="F24" s="615">
        <f>F23/F20</f>
        <v>8423074.5060240962</v>
      </c>
      <c r="H24" s="617"/>
      <c r="I24" s="22">
        <f>B24</f>
        <v>7176.0803109066119</v>
      </c>
      <c r="J24" s="22">
        <f>C24</f>
        <v>9433.2811683685577</v>
      </c>
      <c r="K24" s="22">
        <f>D24</f>
        <v>138948.15582139551</v>
      </c>
      <c r="L24" s="22">
        <f>E24</f>
        <v>5557123</v>
      </c>
      <c r="M24" s="22">
        <f>F24</f>
        <v>8423074.5060240962</v>
      </c>
    </row>
    <row r="25" spans="1:14" s="1" customFormat="1" ht="15" x14ac:dyDescent="0.25"/>
    <row r="26" spans="1:14" s="1" customFormat="1" ht="15" x14ac:dyDescent="0.25">
      <c r="A26" s="1" t="s">
        <v>507</v>
      </c>
      <c r="B26" s="619" t="s">
        <v>508</v>
      </c>
      <c r="C26" s="619" t="s">
        <v>508</v>
      </c>
      <c r="D26" s="18">
        <f>'Util Rev and Load Data'!L86</f>
        <v>4003586.9160000002</v>
      </c>
      <c r="E26" s="619" t="s">
        <v>508</v>
      </c>
      <c r="F26" s="18">
        <f>'Util Rev and Load Data'!W86</f>
        <v>1527046.4739999999</v>
      </c>
    </row>
    <row r="27" spans="1:14" s="1" customFormat="1" ht="15" x14ac:dyDescent="0.25">
      <c r="A27" s="1" t="s">
        <v>509</v>
      </c>
      <c r="B27" s="619" t="s">
        <v>508</v>
      </c>
      <c r="C27" s="619" t="s">
        <v>508</v>
      </c>
      <c r="D27" s="618">
        <f>D26/D20</f>
        <v>418.65386552337134</v>
      </c>
      <c r="E27" s="619" t="s">
        <v>508</v>
      </c>
      <c r="F27" s="618">
        <f>F26/F20</f>
        <v>18398.150289156627</v>
      </c>
    </row>
    <row r="28" spans="1:14" s="1" customFormat="1" ht="15" x14ac:dyDescent="0.25"/>
    <row r="29" spans="1:14" s="1" customFormat="1" ht="15" x14ac:dyDescent="0.25">
      <c r="A29" s="1" t="s">
        <v>510</v>
      </c>
      <c r="B29" s="41">
        <f>'EEC Rates Report'!C8</f>
        <v>1.087464646988274E-2</v>
      </c>
      <c r="C29" s="41">
        <f>'EEC Rates Report'!C9</f>
        <v>9.7371259117171906E-3</v>
      </c>
      <c r="D29" s="41">
        <f>'EEC Rates Report'!C13</f>
        <v>6.2050954098569547E-3</v>
      </c>
      <c r="E29" s="41">
        <f>'EEC Rates Report'!C10</f>
        <v>7.2798137388989659E-3</v>
      </c>
      <c r="F29" s="41">
        <f>'EEC Rates Report'!C16</f>
        <v>4.8941202329454321E-3</v>
      </c>
      <c r="I29" s="763">
        <f>'EEC Rates Report'!J8</f>
        <v>1.087464646988274E-2</v>
      </c>
      <c r="J29" s="763">
        <f>'EEC Rates Report'!E9</f>
        <v>1.0236807822923627E-2</v>
      </c>
      <c r="K29" s="763">
        <f>'EEC Rates Report'!E13</f>
        <v>6.6197719734247661E-3</v>
      </c>
      <c r="L29" s="763">
        <f>'EEC Rates Report'!E10</f>
        <v>7.5702523544102568E-3</v>
      </c>
      <c r="M29" s="763">
        <f>'EEC Rates Report'!E16</f>
        <v>5.2086163716222877E-3</v>
      </c>
    </row>
    <row r="30" spans="1:14" s="1" customFormat="1" ht="15" x14ac:dyDescent="0.25">
      <c r="A30" s="1" t="s">
        <v>511</v>
      </c>
      <c r="B30" s="69">
        <f>B29*B24</f>
        <v>78.037336420595622</v>
      </c>
      <c r="C30" s="69">
        <f>C29*C24</f>
        <v>91.853046497035294</v>
      </c>
      <c r="D30" s="69">
        <f>D29*D24</f>
        <v>862.18656389543025</v>
      </c>
      <c r="E30" s="69">
        <f>E29*E24</f>
        <v>40454.820364151441</v>
      </c>
      <c r="F30" s="69">
        <f>F29*F24</f>
        <v>41223.539363539378</v>
      </c>
      <c r="I30" s="69">
        <f>I29*I24</f>
        <v>78.037336420595622</v>
      </c>
      <c r="J30" s="69">
        <f t="shared" ref="J30:M30" si="0">J29*J24</f>
        <v>96.566686460193381</v>
      </c>
      <c r="K30" s="69">
        <f t="shared" si="0"/>
        <v>919.8051076655313</v>
      </c>
      <c r="L30" s="69">
        <f t="shared" si="0"/>
        <v>42068.823474497389</v>
      </c>
      <c r="M30" s="69">
        <f t="shared" si="0"/>
        <v>43872.563771471425</v>
      </c>
    </row>
    <row r="31" spans="1:14" s="1" customFormat="1" ht="15" x14ac:dyDescent="0.25">
      <c r="B31" s="69"/>
      <c r="C31" s="69"/>
      <c r="D31" s="69"/>
      <c r="E31" s="69"/>
      <c r="F31" s="69"/>
      <c r="I31" s="69"/>
      <c r="J31" s="69"/>
      <c r="K31" s="69"/>
      <c r="L31" s="69"/>
      <c r="M31" s="69"/>
    </row>
    <row r="32" spans="1:14" s="1" customFormat="1" ht="15" x14ac:dyDescent="0.25">
      <c r="A32" s="1" t="s">
        <v>512</v>
      </c>
      <c r="B32" s="619" t="s">
        <v>508</v>
      </c>
      <c r="C32" s="619" t="s">
        <v>508</v>
      </c>
      <c r="D32" s="41">
        <f>'EEC Rates Report'!C14</f>
        <v>1.1722550893561516</v>
      </c>
      <c r="E32" s="619" t="s">
        <v>508</v>
      </c>
      <c r="F32" s="620">
        <f>'EEC Rates Report'!C17</f>
        <v>1.0922225241864583</v>
      </c>
      <c r="I32" s="619" t="s">
        <v>508</v>
      </c>
      <c r="J32" s="619" t="s">
        <v>508</v>
      </c>
      <c r="K32" s="41">
        <f>'EEC Rates Report'!J14</f>
        <v>1.1722550893561516</v>
      </c>
      <c r="L32" s="619" t="s">
        <v>508</v>
      </c>
      <c r="M32" s="620">
        <f>'EEC Rates Report'!J17</f>
        <v>1.0922225241864583</v>
      </c>
    </row>
    <row r="33" spans="1:13" s="1" customFormat="1" ht="15" x14ac:dyDescent="0.25">
      <c r="A33" s="1" t="s">
        <v>513</v>
      </c>
      <c r="B33" s="619" t="s">
        <v>508</v>
      </c>
      <c r="C33" s="619" t="s">
        <v>508</v>
      </c>
      <c r="D33" s="643">
        <f>D32*D27</f>
        <v>490.76912453839793</v>
      </c>
      <c r="E33" s="619" t="s">
        <v>508</v>
      </c>
      <c r="F33" s="643">
        <f>F32*F27</f>
        <v>20094.874149184467</v>
      </c>
      <c r="I33" s="619" t="s">
        <v>508</v>
      </c>
      <c r="J33" s="619" t="s">
        <v>508</v>
      </c>
      <c r="K33" s="643">
        <f>K32*K27</f>
        <v>0</v>
      </c>
      <c r="L33" s="619" t="s">
        <v>508</v>
      </c>
      <c r="M33" s="643">
        <f>M32*M27</f>
        <v>0</v>
      </c>
    </row>
    <row r="34" spans="1:13" s="1" customFormat="1" ht="15" x14ac:dyDescent="0.25">
      <c r="B34" s="69"/>
      <c r="C34" s="69"/>
      <c r="D34" s="69"/>
      <c r="E34" s="69"/>
      <c r="F34" s="69"/>
      <c r="I34" s="69"/>
      <c r="J34" s="69"/>
      <c r="K34" s="69"/>
      <c r="L34" s="69"/>
      <c r="M34" s="69"/>
    </row>
    <row r="35" spans="1:13" s="1" customFormat="1" ht="15" x14ac:dyDescent="0.25">
      <c r="A35" s="1" t="s">
        <v>514</v>
      </c>
      <c r="B35" s="69">
        <f>B30</f>
        <v>78.037336420595622</v>
      </c>
      <c r="C35" s="69">
        <f>C30</f>
        <v>91.853046497035294</v>
      </c>
      <c r="D35" s="69">
        <f>D30</f>
        <v>862.18656389543025</v>
      </c>
      <c r="E35" s="69">
        <f>E30</f>
        <v>40454.820364151441</v>
      </c>
      <c r="F35" s="69">
        <f>F30</f>
        <v>41223.539363539378</v>
      </c>
      <c r="I35" s="69">
        <f>I30</f>
        <v>78.037336420595622</v>
      </c>
      <c r="J35" s="69">
        <f>J30</f>
        <v>96.566686460193381</v>
      </c>
      <c r="K35" s="69">
        <f>K30</f>
        <v>919.8051076655313</v>
      </c>
      <c r="L35" s="69">
        <f>L30</f>
        <v>42068.823474497389</v>
      </c>
      <c r="M35" s="69">
        <f>M30</f>
        <v>43872.563771471425</v>
      </c>
    </row>
    <row r="36" spans="1:13" s="1" customFormat="1" ht="15" x14ac:dyDescent="0.25"/>
    <row r="37" spans="1:13" s="1" customFormat="1" ht="30" x14ac:dyDescent="0.25">
      <c r="A37" s="621" t="s">
        <v>515</v>
      </c>
      <c r="B37" s="622">
        <f>B35/12</f>
        <v>6.5031113683829682</v>
      </c>
      <c r="C37" s="622">
        <f>C35/12</f>
        <v>7.6544205414196078</v>
      </c>
      <c r="D37" s="622">
        <f>D35/12</f>
        <v>71.848880324619188</v>
      </c>
      <c r="E37" s="622">
        <f>E35/12</f>
        <v>3371.2350303459534</v>
      </c>
      <c r="F37" s="623">
        <f>F35/12</f>
        <v>3435.2949469616146</v>
      </c>
      <c r="I37" s="622">
        <f>I35/12</f>
        <v>6.5031113683829682</v>
      </c>
      <c r="J37" s="622">
        <f>J35/12</f>
        <v>8.0472238716827817</v>
      </c>
      <c r="K37" s="622">
        <f>K35/12</f>
        <v>76.650425638794275</v>
      </c>
      <c r="L37" s="622">
        <f>L35/12</f>
        <v>3505.7352895414492</v>
      </c>
      <c r="M37" s="623">
        <f>M35/12</f>
        <v>3656.0469809559522</v>
      </c>
    </row>
    <row r="38" spans="1:13" s="1" customFormat="1" ht="15" x14ac:dyDescent="0.25">
      <c r="A38" s="614"/>
      <c r="B38" s="624"/>
      <c r="C38" s="624"/>
      <c r="D38" s="624"/>
      <c r="E38" s="624"/>
      <c r="F38" s="624"/>
      <c r="G38" s="624"/>
      <c r="H38" s="624"/>
    </row>
    <row r="39" spans="1:13" s="1" customFormat="1" ht="15" x14ac:dyDescent="0.25">
      <c r="A39" s="614"/>
      <c r="B39" s="625"/>
      <c r="C39" s="625"/>
      <c r="D39" s="625"/>
      <c r="E39" s="625"/>
      <c r="F39" s="625"/>
      <c r="G39" s="624"/>
      <c r="H39" s="624"/>
    </row>
    <row r="40" spans="1:13" ht="30" x14ac:dyDescent="0.25">
      <c r="A40" s="616" t="s">
        <v>516</v>
      </c>
      <c r="B40" s="613" t="s">
        <v>16</v>
      </c>
      <c r="C40" s="613" t="s">
        <v>17</v>
      </c>
      <c r="D40" s="613" t="s">
        <v>236</v>
      </c>
      <c r="E40" s="613" t="s">
        <v>237</v>
      </c>
      <c r="F40" s="613" t="s">
        <v>238</v>
      </c>
    </row>
    <row r="41" spans="1:13" ht="15" x14ac:dyDescent="0.25">
      <c r="A41" s="181" t="s">
        <v>91</v>
      </c>
      <c r="B41" s="543">
        <f>'Util Rev and Load Data'!B107</f>
        <v>0</v>
      </c>
      <c r="C41" s="543">
        <f>'Util Rev and Load Data'!F108</f>
        <v>0</v>
      </c>
      <c r="D41" s="543">
        <f>'Util Rev and Load Data'!J108</f>
        <v>0</v>
      </c>
      <c r="E41" s="543">
        <f>'Util Rev and Load Data'!R107</f>
        <v>0</v>
      </c>
      <c r="F41" s="543">
        <f>'Util Rev and Load Data'!U107</f>
        <v>0</v>
      </c>
    </row>
    <row r="42" spans="1:13" ht="15" x14ac:dyDescent="0.25">
      <c r="A42" s="181" t="s">
        <v>92</v>
      </c>
      <c r="B42" s="543">
        <f>'Util Rev and Load Data'!B108</f>
        <v>0</v>
      </c>
      <c r="C42" s="543">
        <f>'Util Rev and Load Data'!F109</f>
        <v>0</v>
      </c>
      <c r="D42" s="543">
        <f>'Util Rev and Load Data'!J109</f>
        <v>0</v>
      </c>
      <c r="E42" s="543">
        <f>'Util Rev and Load Data'!R108</f>
        <v>0</v>
      </c>
      <c r="F42" s="543">
        <f>'Util Rev and Load Data'!U108</f>
        <v>0</v>
      </c>
    </row>
    <row r="43" spans="1:13" ht="15" x14ac:dyDescent="0.25">
      <c r="A43" s="181" t="s">
        <v>93</v>
      </c>
      <c r="B43" s="543">
        <v>310</v>
      </c>
      <c r="C43" s="543">
        <v>49</v>
      </c>
      <c r="D43" s="543">
        <v>30</v>
      </c>
      <c r="E43" s="543">
        <f>'Util Rev and Load Data'!R109</f>
        <v>0</v>
      </c>
      <c r="F43" s="543">
        <v>1</v>
      </c>
    </row>
    <row r="44" spans="1:13" ht="15" x14ac:dyDescent="0.25">
      <c r="A44" s="181" t="s">
        <v>94</v>
      </c>
      <c r="B44" s="543">
        <v>16</v>
      </c>
      <c r="C44" s="543">
        <f>'Util Rev and Load Data'!F111</f>
        <v>0</v>
      </c>
      <c r="D44" s="543">
        <f>'Util Rev and Load Data'!J111</f>
        <v>0</v>
      </c>
      <c r="E44" s="543">
        <f>'Util Rev and Load Data'!R110</f>
        <v>0</v>
      </c>
      <c r="F44" s="543">
        <f>'Util Rev and Load Data'!U110</f>
        <v>0</v>
      </c>
    </row>
    <row r="45" spans="1:13" ht="15" x14ac:dyDescent="0.25">
      <c r="A45" s="181" t="s">
        <v>95</v>
      </c>
      <c r="B45" s="543">
        <f>'Util Rev and Load Data'!B111</f>
        <v>0</v>
      </c>
      <c r="C45" s="543">
        <f>'Util Rev and Load Data'!F112</f>
        <v>0</v>
      </c>
      <c r="D45" s="543">
        <f>'Util Rev and Load Data'!J112</f>
        <v>0</v>
      </c>
      <c r="E45" s="543">
        <f>'Util Rev and Load Data'!R111</f>
        <v>0</v>
      </c>
      <c r="F45" s="543">
        <f>'Util Rev and Load Data'!U111</f>
        <v>0</v>
      </c>
    </row>
    <row r="46" spans="1:13" ht="15" x14ac:dyDescent="0.25">
      <c r="A46" s="181" t="s">
        <v>96</v>
      </c>
      <c r="B46" s="543">
        <v>1</v>
      </c>
      <c r="C46" s="543">
        <f>'Util Rev and Load Data'!F113</f>
        <v>0</v>
      </c>
      <c r="D46" s="543">
        <f>'Util Rev and Load Data'!J113</f>
        <v>0</v>
      </c>
      <c r="E46" s="543">
        <f>'Util Rev and Load Data'!R112</f>
        <v>0</v>
      </c>
      <c r="F46" s="543">
        <f>'Util Rev and Load Data'!U112</f>
        <v>0</v>
      </c>
    </row>
    <row r="47" spans="1:13" ht="15" x14ac:dyDescent="0.25">
      <c r="A47" s="181" t="s">
        <v>97</v>
      </c>
      <c r="B47" s="543">
        <f>'Util Rev and Load Data'!B113</f>
        <v>0</v>
      </c>
      <c r="C47" s="543">
        <f>'Util Rev and Load Data'!F114</f>
        <v>0</v>
      </c>
      <c r="D47" s="543">
        <f>'Util Rev and Load Data'!J114</f>
        <v>0</v>
      </c>
      <c r="E47" s="543">
        <f>'Util Rev and Load Data'!R113</f>
        <v>0</v>
      </c>
      <c r="F47" s="543">
        <f>'Util Rev and Load Data'!U113</f>
        <v>0</v>
      </c>
    </row>
    <row r="48" spans="1:13" ht="15" x14ac:dyDescent="0.25">
      <c r="A48" s="181" t="s">
        <v>98</v>
      </c>
      <c r="B48" s="543">
        <f>'Util Rev and Load Data'!B114</f>
        <v>0</v>
      </c>
      <c r="C48" s="543">
        <f>'Util Rev and Load Data'!F115</f>
        <v>0</v>
      </c>
      <c r="D48" s="543">
        <f>'Util Rev and Load Data'!J115</f>
        <v>0</v>
      </c>
      <c r="E48" s="543">
        <f>'Util Rev and Load Data'!R114</f>
        <v>0</v>
      </c>
      <c r="F48" s="543">
        <f>'Util Rev and Load Data'!U114</f>
        <v>0</v>
      </c>
    </row>
    <row r="49" spans="1:13" ht="15" x14ac:dyDescent="0.25">
      <c r="A49" s="181" t="s">
        <v>99</v>
      </c>
      <c r="B49" s="543">
        <v>6</v>
      </c>
      <c r="C49" s="543">
        <f>'Util Rev and Load Data'!F116</f>
        <v>0</v>
      </c>
      <c r="D49" s="543">
        <f>'Util Rev and Load Data'!J116</f>
        <v>0</v>
      </c>
      <c r="E49" s="543">
        <f>'Util Rev and Load Data'!R115</f>
        <v>0</v>
      </c>
      <c r="F49" s="543">
        <f>'Util Rev and Load Data'!U115</f>
        <v>0</v>
      </c>
    </row>
    <row r="50" spans="1:13" ht="15" x14ac:dyDescent="0.25">
      <c r="A50" s="181" t="s">
        <v>100</v>
      </c>
      <c r="B50" s="543">
        <v>8</v>
      </c>
      <c r="C50" s="543">
        <f>'Util Rev and Load Data'!F117</f>
        <v>0</v>
      </c>
      <c r="D50" s="543">
        <f>'Util Rev and Load Data'!J117</f>
        <v>0</v>
      </c>
      <c r="E50" s="543">
        <f>'Util Rev and Load Data'!R116</f>
        <v>0</v>
      </c>
      <c r="F50" s="543">
        <f>'Util Rev and Load Data'!U116</f>
        <v>0</v>
      </c>
    </row>
    <row r="51" spans="1:13" ht="15" x14ac:dyDescent="0.25">
      <c r="A51" s="181" t="s">
        <v>101</v>
      </c>
      <c r="B51" s="543">
        <f>'Util Rev and Load Data'!B117</f>
        <v>0</v>
      </c>
      <c r="C51" s="543">
        <f>'Util Rev and Load Data'!F118</f>
        <v>0</v>
      </c>
      <c r="D51" s="543">
        <f>'Util Rev and Load Data'!J118</f>
        <v>0</v>
      </c>
      <c r="E51" s="543">
        <f>'Util Rev and Load Data'!R117</f>
        <v>0</v>
      </c>
      <c r="F51" s="543">
        <f>'Util Rev and Load Data'!U117</f>
        <v>0</v>
      </c>
    </row>
    <row r="52" spans="1:13" ht="15" x14ac:dyDescent="0.25">
      <c r="A52" s="181" t="s">
        <v>102</v>
      </c>
      <c r="B52" s="543">
        <f>'Util Rev and Load Data'!B118</f>
        <v>0</v>
      </c>
      <c r="C52" s="543">
        <f>'Util Rev and Load Data'!F119</f>
        <v>0</v>
      </c>
      <c r="D52" s="543">
        <f>'Util Rev and Load Data'!J119</f>
        <v>0</v>
      </c>
      <c r="E52" s="543">
        <f>'Util Rev and Load Data'!R118</f>
        <v>0</v>
      </c>
      <c r="F52" s="543">
        <f>'Util Rev and Load Data'!U118</f>
        <v>0</v>
      </c>
    </row>
    <row r="53" spans="1:13" ht="15" x14ac:dyDescent="0.25">
      <c r="A53" s="181" t="s">
        <v>103</v>
      </c>
      <c r="B53" s="543">
        <f>'Util Rev and Load Data'!B119</f>
        <v>0</v>
      </c>
      <c r="C53" s="543">
        <f>'Util Rev and Load Data'!F120</f>
        <v>0</v>
      </c>
      <c r="D53" s="543">
        <f>'Util Rev and Load Data'!J120</f>
        <v>0</v>
      </c>
      <c r="E53" s="543">
        <f>'Util Rev and Load Data'!R119</f>
        <v>0</v>
      </c>
      <c r="F53" s="543">
        <f>'Util Rev and Load Data'!U119</f>
        <v>0</v>
      </c>
    </row>
    <row r="54" spans="1:13" ht="15" x14ac:dyDescent="0.25">
      <c r="A54" s="181" t="s">
        <v>104</v>
      </c>
      <c r="B54" s="543">
        <f>'Util Rev and Load Data'!B120</f>
        <v>0</v>
      </c>
      <c r="C54" s="543">
        <f>'Util Rev and Load Data'!F121</f>
        <v>0</v>
      </c>
      <c r="D54" s="543">
        <f>'Util Rev and Load Data'!J121</f>
        <v>0</v>
      </c>
      <c r="E54" s="543">
        <f>'Util Rev and Load Data'!R120</f>
        <v>0</v>
      </c>
      <c r="F54" s="543">
        <f>'Util Rev and Load Data'!U120</f>
        <v>0</v>
      </c>
    </row>
    <row r="55" spans="1:13" ht="15" x14ac:dyDescent="0.25">
      <c r="A55" s="181" t="s">
        <v>258</v>
      </c>
      <c r="B55" s="543">
        <v>55</v>
      </c>
      <c r="C55" s="543">
        <v>7</v>
      </c>
      <c r="D55" s="543">
        <f>'Util Rev and Load Data'!J122</f>
        <v>0</v>
      </c>
      <c r="E55" s="543">
        <f>'Util Rev and Load Data'!R121</f>
        <v>0</v>
      </c>
      <c r="F55" s="543">
        <f>'Util Rev and Load Data'!U121</f>
        <v>0</v>
      </c>
    </row>
    <row r="56" spans="1:13" ht="15" x14ac:dyDescent="0.25">
      <c r="A56" s="626" t="s">
        <v>106</v>
      </c>
      <c r="B56" s="627">
        <v>194</v>
      </c>
      <c r="C56" s="627">
        <v>6</v>
      </c>
      <c r="D56" s="627">
        <f>'Util Rev and Load Data'!J123</f>
        <v>0</v>
      </c>
      <c r="E56" s="627">
        <f>'Util Rev and Load Data'!R122</f>
        <v>0</v>
      </c>
      <c r="F56" s="627">
        <f>'Util Rev and Load Data'!U122</f>
        <v>0</v>
      </c>
    </row>
    <row r="57" spans="1:13" ht="15" x14ac:dyDescent="0.25">
      <c r="A57" s="614" t="s">
        <v>502</v>
      </c>
      <c r="B57" s="615">
        <f>SUM(B41:B56)</f>
        <v>590</v>
      </c>
      <c r="C57" s="615">
        <f>SUM(C41:C56)</f>
        <v>62</v>
      </c>
      <c r="D57" s="615">
        <f>SUM(D41:D56)</f>
        <v>30</v>
      </c>
      <c r="E57" s="615">
        <f>SUM(E41:E56)</f>
        <v>0</v>
      </c>
      <c r="F57" s="615">
        <f>SUM(F41:F56)</f>
        <v>1</v>
      </c>
    </row>
    <row r="59" spans="1:13" s="1" customFormat="1" ht="15" x14ac:dyDescent="0.25">
      <c r="A59" s="6" t="s">
        <v>517</v>
      </c>
      <c r="B59" s="265">
        <f>B57*B35</f>
        <v>46042.028488151416</v>
      </c>
      <c r="C59" s="265">
        <f>C57*C35</f>
        <v>5694.888882816188</v>
      </c>
      <c r="D59" s="265">
        <f>D57*D35</f>
        <v>25865.596916862909</v>
      </c>
      <c r="E59" s="265">
        <f>E57*E35</f>
        <v>0</v>
      </c>
      <c r="F59" s="265">
        <f>F57*F35</f>
        <v>41223.539363539378</v>
      </c>
      <c r="G59" s="265">
        <f>SUM(B59:F59)</f>
        <v>118826.05365136988</v>
      </c>
      <c r="I59" s="25">
        <f>I35*B57</f>
        <v>46042.028488151416</v>
      </c>
      <c r="J59" s="25">
        <f t="shared" ref="J59:M59" si="1">J35*C57</f>
        <v>5987.1345605319893</v>
      </c>
      <c r="K59" s="25">
        <f t="shared" si="1"/>
        <v>27594.153229965937</v>
      </c>
      <c r="L59" s="25">
        <f t="shared" si="1"/>
        <v>0</v>
      </c>
      <c r="M59" s="25">
        <f t="shared" si="1"/>
        <v>43872.563771471425</v>
      </c>
    </row>
    <row r="60" spans="1:13" x14ac:dyDescent="0.2">
      <c r="G60" s="937">
        <f>'EEC Calculation'!C65</f>
        <v>-117620.44453616481</v>
      </c>
    </row>
    <row r="61" spans="1:13" x14ac:dyDescent="0.2">
      <c r="A61" s="865" t="s">
        <v>518</v>
      </c>
      <c r="B61" s="895">
        <v>46042.028494808452</v>
      </c>
      <c r="C61" s="895">
        <v>5694.888883521081</v>
      </c>
      <c r="D61" s="895">
        <v>25865.596920064454</v>
      </c>
      <c r="E61" s="895">
        <v>0</v>
      </c>
      <c r="F61" s="895">
        <v>41223.539794266522</v>
      </c>
      <c r="G61" s="937">
        <f>G60+G59</f>
        <v>1205.6091152050649</v>
      </c>
    </row>
    <row r="62" spans="1:13" x14ac:dyDescent="0.2">
      <c r="B62" s="895"/>
      <c r="C62" s="895"/>
      <c r="D62" s="895">
        <f>SUM(C61:D61)</f>
        <v>31560.485803585536</v>
      </c>
      <c r="E62" s="895"/>
      <c r="F62" s="895">
        <f>SUM(E61:F61)</f>
        <v>41223.539794266522</v>
      </c>
    </row>
    <row r="65" spans="1:7" ht="30" x14ac:dyDescent="0.25">
      <c r="B65" s="613" t="s">
        <v>16</v>
      </c>
      <c r="C65" s="613" t="s">
        <v>17</v>
      </c>
      <c r="D65" s="613" t="s">
        <v>236</v>
      </c>
      <c r="E65" s="613" t="s">
        <v>237</v>
      </c>
      <c r="F65" s="613" t="s">
        <v>238</v>
      </c>
    </row>
    <row r="66" spans="1:7" x14ac:dyDescent="0.2">
      <c r="A66" s="942" t="s">
        <v>519</v>
      </c>
      <c r="B66" s="938">
        <v>6.2560000000000002</v>
      </c>
      <c r="C66" s="938">
        <v>6.33</v>
      </c>
      <c r="D66" s="938">
        <v>85.53</v>
      </c>
      <c r="E66" s="938">
        <v>586.49</v>
      </c>
      <c r="F66" s="938">
        <v>1915.71</v>
      </c>
    </row>
    <row r="67" spans="1:7" s="940" customFormat="1" x14ac:dyDescent="0.2">
      <c r="A67" s="943" t="s">
        <v>748</v>
      </c>
      <c r="B67" s="941">
        <f>B37</f>
        <v>6.5031113683829682</v>
      </c>
      <c r="C67" s="941">
        <f t="shared" ref="C67:F67" si="2">C37</f>
        <v>7.6544205414196078</v>
      </c>
      <c r="D67" s="941">
        <f t="shared" si="2"/>
        <v>71.848880324619188</v>
      </c>
      <c r="E67" s="941">
        <f t="shared" si="2"/>
        <v>3371.2350303459534</v>
      </c>
      <c r="F67" s="941">
        <f t="shared" si="2"/>
        <v>3435.2949469616146</v>
      </c>
    </row>
    <row r="68" spans="1:7" x14ac:dyDescent="0.2">
      <c r="A68" s="942" t="s">
        <v>200</v>
      </c>
      <c r="B68" s="938">
        <f>B67-B66</f>
        <v>0.24711136838296799</v>
      </c>
      <c r="C68" s="938">
        <f t="shared" ref="C68:F68" si="3">C67-C66</f>
        <v>1.3244205414196077</v>
      </c>
      <c r="D68" s="938">
        <f t="shared" si="3"/>
        <v>-13.681119675380813</v>
      </c>
      <c r="E68" s="938">
        <f t="shared" si="3"/>
        <v>2784.7450303459536</v>
      </c>
      <c r="F68" s="938">
        <f t="shared" si="3"/>
        <v>1519.5849469616146</v>
      </c>
    </row>
    <row r="69" spans="1:7" x14ac:dyDescent="0.2">
      <c r="A69" s="942" t="s">
        <v>520</v>
      </c>
      <c r="B69" s="938">
        <f>B68*12</f>
        <v>2.9653364205956159</v>
      </c>
      <c r="C69" s="938">
        <f t="shared" ref="C69:F69" si="4">C68*12</f>
        <v>15.893046497035293</v>
      </c>
      <c r="D69" s="938">
        <f t="shared" si="4"/>
        <v>-164.17343610456976</v>
      </c>
      <c r="E69" s="938">
        <f t="shared" si="4"/>
        <v>33416.940364151444</v>
      </c>
      <c r="F69" s="938">
        <f t="shared" si="4"/>
        <v>18235.019363539373</v>
      </c>
    </row>
    <row r="70" spans="1:7" x14ac:dyDescent="0.2">
      <c r="A70" s="942" t="s">
        <v>46</v>
      </c>
      <c r="B70" s="951">
        <f>B68/B66</f>
        <v>3.9499899038198207E-2</v>
      </c>
      <c r="C70" s="951">
        <f t="shared" ref="C70:F70" si="5">C68/C66</f>
        <v>0.20922915346281323</v>
      </c>
      <c r="D70" s="951">
        <f t="shared" si="5"/>
        <v>-0.15995697036572915</v>
      </c>
      <c r="E70" s="951">
        <f t="shared" si="5"/>
        <v>4.7481543254717957</v>
      </c>
      <c r="F70" s="951">
        <f t="shared" si="5"/>
        <v>0.79322285051579544</v>
      </c>
    </row>
    <row r="71" spans="1:7" x14ac:dyDescent="0.2">
      <c r="A71" s="942" t="s">
        <v>173</v>
      </c>
      <c r="B71" s="944">
        <f>B57</f>
        <v>590</v>
      </c>
      <c r="C71" s="944">
        <f t="shared" ref="C71:F71" si="6">C57</f>
        <v>62</v>
      </c>
      <c r="D71" s="944">
        <f t="shared" si="6"/>
        <v>30</v>
      </c>
      <c r="E71" s="944">
        <f t="shared" si="6"/>
        <v>0</v>
      </c>
      <c r="F71" s="944">
        <f t="shared" si="6"/>
        <v>1</v>
      </c>
    </row>
    <row r="72" spans="1:7" x14ac:dyDescent="0.2">
      <c r="A72" s="942" t="s">
        <v>521</v>
      </c>
      <c r="B72" s="939">
        <f>B71*B69</f>
        <v>1749.5484881514133</v>
      </c>
      <c r="C72" s="939">
        <f t="shared" ref="C72:F72" si="7">C71*C69</f>
        <v>985.36888281618815</v>
      </c>
      <c r="D72" s="939">
        <f t="shared" si="7"/>
        <v>-4925.203083137093</v>
      </c>
      <c r="E72" s="939">
        <f t="shared" si="7"/>
        <v>0</v>
      </c>
      <c r="F72" s="939">
        <f t="shared" si="7"/>
        <v>18235.019363539373</v>
      </c>
      <c r="G72" s="939">
        <f>SUM(B72:F72)</f>
        <v>16044.733651369883</v>
      </c>
    </row>
    <row r="73" spans="1:7" x14ac:dyDescent="0.2">
      <c r="A73" s="942"/>
      <c r="G73" s="945">
        <f>G72/'EEC Rates Report'!I82</f>
        <v>3.4906109605905834E-4</v>
      </c>
    </row>
    <row r="74" spans="1:7" x14ac:dyDescent="0.2">
      <c r="A74" s="942"/>
    </row>
    <row r="75" spans="1:7" x14ac:dyDescent="0.2">
      <c r="A75" s="942"/>
    </row>
    <row r="76" spans="1:7" ht="30" x14ac:dyDescent="0.25">
      <c r="B76" s="613" t="s">
        <v>16</v>
      </c>
      <c r="C76" s="613" t="s">
        <v>17</v>
      </c>
      <c r="D76" s="613" t="s">
        <v>236</v>
      </c>
      <c r="E76" s="613" t="s">
        <v>237</v>
      </c>
      <c r="F76" s="613" t="s">
        <v>238</v>
      </c>
    </row>
    <row r="77" spans="1:7" x14ac:dyDescent="0.2">
      <c r="A77" s="942" t="s">
        <v>519</v>
      </c>
      <c r="B77" s="938">
        <v>6.2560000000000002</v>
      </c>
      <c r="C77" s="938">
        <v>6.33</v>
      </c>
      <c r="D77" s="938">
        <v>85.53</v>
      </c>
      <c r="E77" s="938">
        <v>586.49</v>
      </c>
      <c r="F77" s="938">
        <v>1915.71</v>
      </c>
    </row>
    <row r="78" spans="1:7" x14ac:dyDescent="0.2">
      <c r="A78" s="943" t="s">
        <v>749</v>
      </c>
      <c r="B78" s="941">
        <v>6.38</v>
      </c>
      <c r="C78" s="941">
        <v>7.5</v>
      </c>
      <c r="D78" s="941">
        <v>70.41</v>
      </c>
      <c r="E78" s="941">
        <v>3303.9</v>
      </c>
      <c r="F78" s="941">
        <v>3366.68</v>
      </c>
      <c r="G78" s="940"/>
    </row>
    <row r="79" spans="1:7" x14ac:dyDescent="0.2">
      <c r="A79" s="942" t="s">
        <v>200</v>
      </c>
      <c r="B79" s="938">
        <f>B78-B77</f>
        <v>0.12399999999999967</v>
      </c>
      <c r="C79" s="938">
        <f t="shared" ref="C79:F79" si="8">C78-C77</f>
        <v>1.17</v>
      </c>
      <c r="D79" s="938">
        <f t="shared" si="8"/>
        <v>-15.120000000000005</v>
      </c>
      <c r="E79" s="938">
        <f t="shared" si="8"/>
        <v>2717.41</v>
      </c>
      <c r="F79" s="938">
        <f t="shared" si="8"/>
        <v>1450.9699999999998</v>
      </c>
    </row>
    <row r="80" spans="1:7" x14ac:dyDescent="0.2">
      <c r="A80" s="942" t="s">
        <v>520</v>
      </c>
      <c r="B80" s="938">
        <f>B79*12</f>
        <v>1.487999999999996</v>
      </c>
      <c r="C80" s="938">
        <f t="shared" ref="C80:F80" si="9">C79*12</f>
        <v>14.04</v>
      </c>
      <c r="D80" s="938">
        <f t="shared" si="9"/>
        <v>-181.44000000000005</v>
      </c>
      <c r="E80" s="938">
        <f t="shared" si="9"/>
        <v>32608.92</v>
      </c>
      <c r="F80" s="938">
        <f t="shared" si="9"/>
        <v>17411.64</v>
      </c>
    </row>
    <row r="81" spans="1:7" x14ac:dyDescent="0.2">
      <c r="A81" s="942" t="s">
        <v>46</v>
      </c>
      <c r="B81" s="951">
        <f>B79/B77</f>
        <v>1.9820971867007618E-2</v>
      </c>
      <c r="C81" s="951">
        <f t="shared" ref="C81:F81" si="10">C79/C77</f>
        <v>0.18483412322274881</v>
      </c>
      <c r="D81" s="951">
        <f t="shared" si="10"/>
        <v>-0.17678007716590674</v>
      </c>
      <c r="E81" s="951">
        <f t="shared" si="10"/>
        <v>4.6333441320397615</v>
      </c>
      <c r="F81" s="951">
        <f t="shared" si="10"/>
        <v>0.75740587040836027</v>
      </c>
    </row>
    <row r="82" spans="1:7" x14ac:dyDescent="0.2">
      <c r="A82" s="942" t="s">
        <v>173</v>
      </c>
      <c r="B82" s="944">
        <f>B57</f>
        <v>590</v>
      </c>
      <c r="C82" s="944">
        <f t="shared" ref="C82:F82" si="11">C57</f>
        <v>62</v>
      </c>
      <c r="D82" s="944">
        <f t="shared" si="11"/>
        <v>30</v>
      </c>
      <c r="E82" s="944">
        <f t="shared" si="11"/>
        <v>0</v>
      </c>
      <c r="F82" s="944">
        <f t="shared" si="11"/>
        <v>1</v>
      </c>
    </row>
    <row r="83" spans="1:7" x14ac:dyDescent="0.2">
      <c r="A83" s="942" t="s">
        <v>521</v>
      </c>
      <c r="B83" s="939">
        <f>B82*B80</f>
        <v>877.91999999999769</v>
      </c>
      <c r="C83" s="939">
        <f t="shared" ref="C83:F83" si="12">C82*C80</f>
        <v>870.4799999999999</v>
      </c>
      <c r="D83" s="939">
        <f t="shared" si="12"/>
        <v>-5443.2000000000016</v>
      </c>
      <c r="E83" s="939">
        <f t="shared" si="12"/>
        <v>0</v>
      </c>
      <c r="F83" s="939">
        <f t="shared" si="12"/>
        <v>17411.64</v>
      </c>
      <c r="G83" s="939">
        <f>SUM(B83:F83)</f>
        <v>13716.839999999997</v>
      </c>
    </row>
    <row r="84" spans="1:7" x14ac:dyDescent="0.2">
      <c r="A84" s="942"/>
      <c r="G84" s="945">
        <f>G83/'EEC Rates Report'!I82</f>
        <v>2.9841662123558757E-4</v>
      </c>
    </row>
  </sheetData>
  <pageMargins left="0.7" right="0.7" top="0.75" bottom="0.75" header="0.3" footer="0.3"/>
  <pageSetup orientation="portrait" horizontalDpi="0" verticalDpi="0"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A1:U94"/>
  <sheetViews>
    <sheetView zoomScale="110" zoomScaleNormal="110" workbookViewId="0">
      <selection activeCell="E28" sqref="E28"/>
    </sheetView>
  </sheetViews>
  <sheetFormatPr defaultColWidth="9.140625" defaultRowHeight="15" x14ac:dyDescent="0.25"/>
  <cols>
    <col min="1" max="1" width="29.28515625" style="212" customWidth="1"/>
    <col min="2" max="2" width="17.140625" style="212" customWidth="1"/>
    <col min="3" max="3" width="17.5703125" style="212" customWidth="1"/>
    <col min="4" max="4" width="14.140625" style="212" customWidth="1"/>
    <col min="5" max="5" width="14.28515625" style="212" customWidth="1"/>
    <col min="6" max="6" width="13.7109375" style="212" customWidth="1"/>
    <col min="7" max="7" width="23.7109375" style="212" customWidth="1"/>
    <col min="8" max="8" width="14.28515625" style="212" customWidth="1"/>
    <col min="9" max="9" width="13.28515625" style="212" customWidth="1"/>
    <col min="10" max="10" width="12.7109375" style="212" customWidth="1"/>
    <col min="11" max="11" width="13" style="212" customWidth="1"/>
    <col min="12" max="12" width="14.42578125" style="212" customWidth="1"/>
    <col min="13" max="13" width="12" style="212" customWidth="1"/>
    <col min="14" max="16" width="10.42578125" style="212" customWidth="1"/>
    <col min="17" max="16384" width="9.140625" style="212"/>
  </cols>
  <sheetData>
    <row r="1" spans="1:21" ht="12.75" customHeight="1" x14ac:dyDescent="0.25">
      <c r="A1" s="271" t="s">
        <v>110</v>
      </c>
      <c r="B1" s="271"/>
      <c r="C1" s="271"/>
      <c r="D1" s="271"/>
      <c r="E1" s="271"/>
    </row>
    <row r="2" spans="1:21" ht="12.75" customHeight="1" x14ac:dyDescent="0.25">
      <c r="A2" s="271" t="s">
        <v>522</v>
      </c>
      <c r="B2" s="271"/>
      <c r="C2" s="271"/>
      <c r="D2" s="271"/>
      <c r="E2" s="271"/>
    </row>
    <row r="3" spans="1:21" x14ac:dyDescent="0.25">
      <c r="I3" s="909" t="s">
        <v>523</v>
      </c>
      <c r="J3" s="916"/>
      <c r="K3" s="917"/>
    </row>
    <row r="4" spans="1:21" x14ac:dyDescent="0.25">
      <c r="A4" s="605"/>
      <c r="B4" s="207"/>
      <c r="C4" s="1015" t="s">
        <v>524</v>
      </c>
      <c r="D4" s="1015"/>
      <c r="E4" s="606" t="s">
        <v>525</v>
      </c>
      <c r="F4" s="600"/>
      <c r="G4" s="271"/>
      <c r="H4" s="568"/>
      <c r="I4" s="769">
        <v>5.3</v>
      </c>
      <c r="J4" s="568" t="s">
        <v>526</v>
      </c>
      <c r="K4" s="924"/>
      <c r="M4" s="395"/>
    </row>
    <row r="5" spans="1:21" ht="14.25" customHeight="1" x14ac:dyDescent="0.25">
      <c r="A5" s="208" t="s">
        <v>527</v>
      </c>
      <c r="B5" s="272"/>
      <c r="C5" s="1017" t="s">
        <v>528</v>
      </c>
      <c r="D5" s="1017"/>
      <c r="E5" s="569" t="s">
        <v>529</v>
      </c>
      <c r="F5" s="601"/>
      <c r="G5" s="778"/>
      <c r="H5" s="569"/>
      <c r="I5" s="770" t="s">
        <v>530</v>
      </c>
      <c r="J5" s="569" t="s">
        <v>531</v>
      </c>
      <c r="K5" s="925"/>
      <c r="M5" s="271"/>
    </row>
    <row r="6" spans="1:21" x14ac:dyDescent="0.25">
      <c r="A6" s="211"/>
      <c r="C6" s="570" t="s">
        <v>9</v>
      </c>
      <c r="D6" s="570" t="s">
        <v>532</v>
      </c>
      <c r="E6" s="570" t="s">
        <v>9</v>
      </c>
      <c r="F6" s="273" t="s">
        <v>533</v>
      </c>
      <c r="G6" s="570"/>
      <c r="H6" s="570"/>
      <c r="I6" s="771"/>
      <c r="J6" s="570"/>
      <c r="K6" s="924"/>
      <c r="M6" s="271"/>
      <c r="N6" s="271"/>
    </row>
    <row r="7" spans="1:21" x14ac:dyDescent="0.25">
      <c r="A7" s="208" t="s">
        <v>341</v>
      </c>
      <c r="C7" s="470"/>
      <c r="E7" s="602"/>
      <c r="F7" s="213"/>
      <c r="G7" s="959" t="s">
        <v>770</v>
      </c>
      <c r="H7" s="960">
        <v>0.5</v>
      </c>
      <c r="I7" s="211"/>
      <c r="K7" s="213"/>
      <c r="M7" s="271"/>
      <c r="N7" s="568"/>
      <c r="O7" s="568"/>
      <c r="P7" s="779"/>
    </row>
    <row r="8" spans="1:21" x14ac:dyDescent="0.25">
      <c r="A8" s="214" t="s">
        <v>16</v>
      </c>
      <c r="B8" s="212" t="s">
        <v>47</v>
      </c>
      <c r="C8" s="469">
        <f>'EEC Calculation'!D95</f>
        <v>1.087464646988274E-2</v>
      </c>
      <c r="D8" s="212" t="s">
        <v>417</v>
      </c>
      <c r="E8" s="603">
        <v>1.0930598354536811E-2</v>
      </c>
      <c r="F8" s="274">
        <f>(C8-E8)/E8</f>
        <v>-5.118830903785572E-3</v>
      </c>
      <c r="G8" s="571"/>
      <c r="H8" s="571"/>
      <c r="I8" s="772">
        <v>1.0665358736463246E-2</v>
      </c>
      <c r="J8" s="663">
        <v>1.087464646988274E-2</v>
      </c>
      <c r="K8" s="926"/>
      <c r="M8" s="727"/>
      <c r="N8" s="224"/>
      <c r="O8" s="568"/>
      <c r="P8" s="568"/>
      <c r="Q8" s="568"/>
      <c r="R8" s="568"/>
      <c r="S8" s="568"/>
      <c r="T8" s="568"/>
      <c r="U8" s="568"/>
    </row>
    <row r="9" spans="1:21" x14ac:dyDescent="0.25">
      <c r="A9" s="214" t="s">
        <v>76</v>
      </c>
      <c r="B9" s="212" t="s">
        <v>47</v>
      </c>
      <c r="C9" s="469">
        <f>'EEC Calculation'!D96</f>
        <v>9.7371259117171906E-3</v>
      </c>
      <c r="D9" s="212" t="s">
        <v>417</v>
      </c>
      <c r="E9" s="603">
        <v>1.0236807822923627E-2</v>
      </c>
      <c r="F9" s="274">
        <f>(+C9-E9)/E9</f>
        <v>-4.8812278187686818E-2</v>
      </c>
      <c r="G9" s="571"/>
      <c r="H9" s="571"/>
      <c r="I9" s="772">
        <v>9.5426354458194203E-3</v>
      </c>
      <c r="J9" s="663">
        <v>9.7371259117171906E-3</v>
      </c>
      <c r="K9" s="926"/>
      <c r="M9" s="727"/>
      <c r="N9" s="224"/>
      <c r="O9" s="780"/>
      <c r="P9" s="781"/>
      <c r="Q9" s="782"/>
      <c r="R9" s="781"/>
      <c r="S9" s="781"/>
      <c r="T9" s="782"/>
      <c r="U9" s="782"/>
    </row>
    <row r="10" spans="1:21" x14ac:dyDescent="0.25">
      <c r="A10" s="214" t="s">
        <v>52</v>
      </c>
      <c r="B10" s="212" t="s">
        <v>47</v>
      </c>
      <c r="C10" s="469">
        <f>'EEC Calculation'!D97</f>
        <v>7.2798137388989659E-3</v>
      </c>
      <c r="D10" s="212" t="s">
        <v>417</v>
      </c>
      <c r="E10" s="603">
        <v>7.5702523544102568E-3</v>
      </c>
      <c r="F10" s="274">
        <f>(+C10-E10)/E10</f>
        <v>-3.8365777244148004E-2</v>
      </c>
      <c r="G10" s="571"/>
      <c r="H10" s="571"/>
      <c r="I10" s="772">
        <v>7.134405907822587E-3</v>
      </c>
      <c r="J10" s="663">
        <v>7.2798137388989659E-3</v>
      </c>
      <c r="K10" s="926"/>
      <c r="M10" s="727"/>
      <c r="N10" s="224"/>
      <c r="O10" s="780"/>
      <c r="P10" s="781"/>
      <c r="Q10" s="781"/>
      <c r="R10" s="782"/>
      <c r="S10" s="781"/>
      <c r="T10" s="782"/>
      <c r="U10" s="782"/>
    </row>
    <row r="11" spans="1:21" x14ac:dyDescent="0.25">
      <c r="A11" s="211"/>
      <c r="C11" s="470"/>
      <c r="E11" s="602"/>
      <c r="F11" s="275"/>
      <c r="G11" s="572"/>
      <c r="H11" s="572"/>
      <c r="I11" s="772"/>
      <c r="J11" s="663"/>
      <c r="K11" s="926"/>
      <c r="M11" s="727"/>
      <c r="N11" s="224"/>
      <c r="O11" s="780"/>
      <c r="P11" s="781"/>
      <c r="Q11" s="781"/>
      <c r="R11" s="781"/>
      <c r="S11" s="782"/>
      <c r="T11" s="782"/>
      <c r="U11" s="782"/>
    </row>
    <row r="12" spans="1:21" x14ac:dyDescent="0.25">
      <c r="A12" s="208" t="s">
        <v>343</v>
      </c>
      <c r="C12" s="471"/>
      <c r="E12" s="471"/>
      <c r="F12" s="275"/>
      <c r="G12" s="572"/>
      <c r="H12" s="572"/>
      <c r="I12" s="772"/>
      <c r="J12" s="663"/>
      <c r="K12" s="926"/>
      <c r="M12" s="727"/>
      <c r="N12" s="224"/>
      <c r="O12" s="780"/>
      <c r="P12" s="783"/>
      <c r="Q12" s="783"/>
      <c r="R12" s="783"/>
      <c r="S12" s="783"/>
      <c r="T12" s="783"/>
      <c r="U12" s="783"/>
    </row>
    <row r="13" spans="1:21" x14ac:dyDescent="0.25">
      <c r="A13" s="219" t="s">
        <v>344</v>
      </c>
      <c r="B13" s="212" t="s">
        <v>47</v>
      </c>
      <c r="C13" s="469">
        <f>'EEC Calculation'!E113</f>
        <v>6.2050954098569547E-3</v>
      </c>
      <c r="D13" s="212" t="s">
        <v>417</v>
      </c>
      <c r="E13" s="603">
        <v>6.6197719734247661E-3</v>
      </c>
      <c r="F13" s="274">
        <f>(+C13-E13)/E13</f>
        <v>-6.2642121999449601E-2</v>
      </c>
      <c r="G13" s="571"/>
      <c r="H13" s="571"/>
      <c r="I13" s="772">
        <v>6.0811541249084916E-3</v>
      </c>
      <c r="J13" s="663">
        <v>6.2050954098569547E-3</v>
      </c>
      <c r="K13" s="926"/>
      <c r="M13" s="727"/>
      <c r="N13" s="224"/>
      <c r="O13" s="224"/>
      <c r="P13" s="224"/>
      <c r="Q13" s="224"/>
      <c r="R13" s="224"/>
      <c r="S13" s="224"/>
    </row>
    <row r="14" spans="1:21" x14ac:dyDescent="0.25">
      <c r="A14" s="211"/>
      <c r="B14" s="212" t="s">
        <v>51</v>
      </c>
      <c r="C14" s="469">
        <f>'EEC Calculation'!E116</f>
        <v>1.1722550893561516</v>
      </c>
      <c r="D14" s="212" t="s">
        <v>534</v>
      </c>
      <c r="E14" s="603">
        <v>1.13825</v>
      </c>
      <c r="F14" s="952">
        <f>(+C14-E14)/E14</f>
        <v>2.9874886322118738E-2</v>
      </c>
      <c r="G14" s="571"/>
      <c r="H14" s="571"/>
      <c r="I14" s="772">
        <v>1.1488403322145646</v>
      </c>
      <c r="J14" s="663">
        <v>1.1722550893561516</v>
      </c>
      <c r="K14" s="926"/>
      <c r="M14" s="727"/>
      <c r="N14" s="224"/>
      <c r="O14" s="224"/>
      <c r="P14" s="224"/>
      <c r="Q14" s="224"/>
      <c r="R14" s="224"/>
      <c r="S14" s="224"/>
    </row>
    <row r="15" spans="1:21" x14ac:dyDescent="0.25">
      <c r="A15" s="219"/>
      <c r="C15" s="471"/>
      <c r="E15" s="471"/>
      <c r="F15" s="274"/>
      <c r="G15" s="571"/>
      <c r="H15" s="571"/>
      <c r="I15" s="772"/>
      <c r="J15" s="663"/>
      <c r="K15" s="926"/>
      <c r="M15" s="727"/>
      <c r="N15" s="224"/>
      <c r="O15" s="224"/>
      <c r="P15" s="224"/>
      <c r="Q15" s="224"/>
      <c r="R15" s="224"/>
      <c r="S15" s="224"/>
    </row>
    <row r="16" spans="1:21" x14ac:dyDescent="0.25">
      <c r="A16" s="219" t="s">
        <v>345</v>
      </c>
      <c r="B16" s="212" t="s">
        <v>47</v>
      </c>
      <c r="C16" s="469">
        <f>'EEC Calculation'!E130</f>
        <v>4.8941202329454321E-3</v>
      </c>
      <c r="D16" s="212" t="s">
        <v>417</v>
      </c>
      <c r="E16" s="603">
        <v>5.2086163716222877E-3</v>
      </c>
      <c r="F16" s="274">
        <f>(+C16-E16)/E16</f>
        <v>-6.037997737562345E-2</v>
      </c>
      <c r="G16" s="571"/>
      <c r="H16" s="571"/>
      <c r="I16" s="772">
        <v>4.7963645164362263E-3</v>
      </c>
      <c r="J16" s="663">
        <v>4.8941202329454321E-3</v>
      </c>
      <c r="K16" s="926"/>
      <c r="M16" s="727"/>
      <c r="N16" s="224"/>
      <c r="O16" s="224"/>
      <c r="P16" s="224"/>
      <c r="Q16" s="224"/>
      <c r="R16" s="224"/>
      <c r="S16" s="224"/>
    </row>
    <row r="17" spans="1:19" x14ac:dyDescent="0.25">
      <c r="A17" s="211"/>
      <c r="B17" s="212" t="s">
        <v>51</v>
      </c>
      <c r="C17" s="469">
        <f>'EEC Calculation'!E133</f>
        <v>1.0922225241864583</v>
      </c>
      <c r="D17" s="212" t="s">
        <v>534</v>
      </c>
      <c r="E17" s="603">
        <v>1.21316</v>
      </c>
      <c r="F17" s="274">
        <f>(+C17-E17)/E17</f>
        <v>-9.9687984943075722E-2</v>
      </c>
      <c r="G17" s="571"/>
      <c r="H17" s="571"/>
      <c r="I17" s="772">
        <v>1.0704063467414096</v>
      </c>
      <c r="J17" s="663">
        <v>1.0922225241864583</v>
      </c>
      <c r="K17" s="926"/>
      <c r="M17" s="727"/>
      <c r="N17" s="224"/>
      <c r="O17" s="224"/>
      <c r="P17" s="224"/>
      <c r="Q17" s="224"/>
      <c r="R17" s="224"/>
      <c r="S17" s="224"/>
    </row>
    <row r="18" spans="1:19" x14ac:dyDescent="0.25">
      <c r="A18" s="211"/>
      <c r="C18" s="472"/>
      <c r="E18" s="604"/>
      <c r="F18" s="274"/>
      <c r="G18" s="571"/>
      <c r="H18" s="571"/>
      <c r="I18" s="772"/>
      <c r="J18" s="663"/>
      <c r="K18" s="926"/>
      <c r="M18" s="727"/>
      <c r="N18" s="224"/>
      <c r="O18" s="224"/>
      <c r="P18" s="224"/>
      <c r="Q18" s="224"/>
      <c r="R18" s="224"/>
      <c r="S18" s="224"/>
    </row>
    <row r="19" spans="1:19" x14ac:dyDescent="0.25">
      <c r="A19" s="208" t="s">
        <v>535</v>
      </c>
      <c r="C19" s="469">
        <f>+C9</f>
        <v>9.7371259117171906E-3</v>
      </c>
      <c r="D19" s="212" t="s">
        <v>417</v>
      </c>
      <c r="E19" s="603">
        <v>1.0236807822923627E-2</v>
      </c>
      <c r="F19" s="274">
        <f>(+C19-E19)/E19</f>
        <v>-4.8812278187686818E-2</v>
      </c>
      <c r="G19" s="571"/>
      <c r="H19" s="571"/>
      <c r="I19" s="772">
        <v>9.5426354458194203E-3</v>
      </c>
      <c r="J19" s="663">
        <v>9.7371259117171906E-3</v>
      </c>
      <c r="K19" s="926"/>
      <c r="M19" s="727"/>
      <c r="O19" s="468"/>
      <c r="P19" s="468"/>
      <c r="Q19" s="468"/>
      <c r="R19" s="468"/>
      <c r="S19" s="468"/>
    </row>
    <row r="20" spans="1:19" x14ac:dyDescent="0.25">
      <c r="A20" s="219"/>
      <c r="C20" s="469"/>
      <c r="E20" s="603"/>
      <c r="F20" s="274"/>
      <c r="G20" s="571"/>
      <c r="H20" s="571"/>
      <c r="I20" s="773"/>
      <c r="J20" s="571"/>
      <c r="K20" s="274"/>
      <c r="M20" s="727"/>
      <c r="O20" s="468"/>
      <c r="P20" s="468"/>
      <c r="Q20" s="468"/>
      <c r="R20" s="468"/>
      <c r="S20" s="468"/>
    </row>
    <row r="21" spans="1:19" x14ac:dyDescent="0.25">
      <c r="A21" s="208" t="s">
        <v>347</v>
      </c>
      <c r="C21" s="469"/>
      <c r="E21" s="603"/>
      <c r="F21" s="274"/>
      <c r="G21" s="571"/>
      <c r="H21" s="571"/>
      <c r="I21" s="773"/>
      <c r="J21" s="571"/>
      <c r="K21" s="274"/>
      <c r="M21" s="727"/>
      <c r="O21" s="468"/>
      <c r="P21" s="468"/>
      <c r="Q21" s="468"/>
      <c r="R21" s="468"/>
      <c r="S21" s="468"/>
    </row>
    <row r="22" spans="1:19" x14ac:dyDescent="0.25">
      <c r="A22" s="563" t="s">
        <v>16</v>
      </c>
      <c r="C22" s="565">
        <f>'Fixed Fee'!$B$37</f>
        <v>6.5031113683829682</v>
      </c>
      <c r="D22" s="212" t="s">
        <v>536</v>
      </c>
      <c r="E22" s="565">
        <v>6.2560000000000002</v>
      </c>
      <c r="F22" s="274">
        <f>(+C22-E22)/E22</f>
        <v>3.9499899038198207E-2</v>
      </c>
      <c r="G22" s="571"/>
      <c r="H22" s="571"/>
      <c r="I22" s="774">
        <v>6.3779559031241435</v>
      </c>
      <c r="J22" s="664">
        <v>6.5031113683829682</v>
      </c>
      <c r="K22" s="927"/>
      <c r="M22" s="727"/>
      <c r="O22" s="468"/>
      <c r="P22" s="468"/>
      <c r="Q22" s="468"/>
      <c r="R22" s="468"/>
      <c r="S22" s="468"/>
    </row>
    <row r="23" spans="1:19" x14ac:dyDescent="0.25">
      <c r="A23" s="563" t="s">
        <v>348</v>
      </c>
      <c r="C23" s="565">
        <f>'Fixed Fee'!$C$37</f>
        <v>7.6544205414196078</v>
      </c>
      <c r="D23" s="212" t="s">
        <v>536</v>
      </c>
      <c r="E23" s="565">
        <v>6.33</v>
      </c>
      <c r="F23" s="274">
        <f>(+C23-E23)/E23</f>
        <v>0.20922915346281323</v>
      </c>
      <c r="G23" s="571"/>
      <c r="H23" s="571"/>
      <c r="I23" s="774">
        <v>7.5015302706378861</v>
      </c>
      <c r="J23" s="664">
        <v>7.6544205414196078</v>
      </c>
      <c r="K23" s="927"/>
      <c r="M23" s="727"/>
      <c r="O23" s="468"/>
      <c r="P23" s="468"/>
      <c r="Q23" s="468"/>
      <c r="R23" s="468"/>
      <c r="S23" s="468"/>
    </row>
    <row r="24" spans="1:19" x14ac:dyDescent="0.25">
      <c r="A24" s="563" t="s">
        <v>349</v>
      </c>
      <c r="C24" s="565">
        <f>'Fixed Fee'!$D$37</f>
        <v>71.848880324619188</v>
      </c>
      <c r="D24" s="212" t="s">
        <v>536</v>
      </c>
      <c r="E24" s="565">
        <v>85.53</v>
      </c>
      <c r="F24" s="274">
        <f>(+C24-E24)/E24</f>
        <v>-0.15995697036572915</v>
      </c>
      <c r="G24" s="571"/>
      <c r="H24" s="571"/>
      <c r="I24" s="775">
        <v>70.413762576808935</v>
      </c>
      <c r="J24" s="664">
        <v>71.848880324619188</v>
      </c>
      <c r="K24" s="927"/>
      <c r="M24" s="727"/>
      <c r="O24" s="468"/>
      <c r="P24" s="468"/>
      <c r="Q24" s="468"/>
      <c r="R24" s="468"/>
      <c r="S24" s="468"/>
    </row>
    <row r="25" spans="1:19" x14ac:dyDescent="0.25">
      <c r="A25" s="563" t="s">
        <v>350</v>
      </c>
      <c r="C25" s="565">
        <f>'Fixed Fee'!$E$37</f>
        <v>3371.2350303459534</v>
      </c>
      <c r="D25" s="212" t="s">
        <v>536</v>
      </c>
      <c r="E25" s="565">
        <v>586.49</v>
      </c>
      <c r="F25" s="274">
        <f>(+C25-E25)/E25</f>
        <v>4.7481543254717957</v>
      </c>
      <c r="G25" s="571"/>
      <c r="H25" s="571"/>
      <c r="I25" s="774">
        <v>3303.8975968080649</v>
      </c>
      <c r="J25" s="664">
        <v>3371.2350303459534</v>
      </c>
      <c r="K25" s="927"/>
      <c r="M25" s="727"/>
      <c r="O25" s="468"/>
      <c r="P25" s="468"/>
      <c r="Q25" s="468"/>
      <c r="R25" s="468"/>
      <c r="S25" s="468"/>
    </row>
    <row r="26" spans="1:19" x14ac:dyDescent="0.25">
      <c r="A26" s="563" t="s">
        <v>351</v>
      </c>
      <c r="C26" s="565">
        <f>'Fixed Fee'!$F$37</f>
        <v>3435.2949469616146</v>
      </c>
      <c r="D26" s="212" t="s">
        <v>536</v>
      </c>
      <c r="E26" s="565">
        <v>1915.71</v>
      </c>
      <c r="F26" s="274">
        <f>(+C26-E26)/E26</f>
        <v>0.79322285051579544</v>
      </c>
      <c r="G26" s="571"/>
      <c r="H26" s="571"/>
      <c r="I26" s="774">
        <v>3366.6779733327144</v>
      </c>
      <c r="J26" s="664">
        <v>3435.2949469616146</v>
      </c>
      <c r="K26" s="927"/>
      <c r="M26" s="727"/>
      <c r="O26" s="468"/>
      <c r="P26" s="468"/>
      <c r="Q26" s="468"/>
      <c r="R26" s="468"/>
      <c r="S26" s="468"/>
    </row>
    <row r="27" spans="1:19" x14ac:dyDescent="0.25">
      <c r="A27" s="211"/>
      <c r="F27" s="213"/>
      <c r="I27" s="211"/>
      <c r="K27" s="213"/>
    </row>
    <row r="28" spans="1:19" x14ac:dyDescent="0.25">
      <c r="A28" s="607" t="s">
        <v>537</v>
      </c>
      <c r="B28" s="608"/>
      <c r="C28" s="609">
        <f>+'EEC Calculation'!B50</f>
        <v>45965402.139255516</v>
      </c>
      <c r="D28" s="609"/>
      <c r="E28" s="609">
        <v>47153132</v>
      </c>
      <c r="F28" s="276">
        <f>(+C28-E28)/E28</f>
        <v>-2.5188779840636753E-2</v>
      </c>
      <c r="G28" s="573"/>
      <c r="H28" s="573"/>
      <c r="I28" s="776"/>
      <c r="J28" s="777"/>
      <c r="K28" s="276"/>
      <c r="L28" s="564"/>
    </row>
    <row r="29" spans="1:19" x14ac:dyDescent="0.25">
      <c r="L29" s="564"/>
    </row>
    <row r="30" spans="1:19" x14ac:dyDescent="0.25">
      <c r="C30" s="277"/>
    </row>
    <row r="31" spans="1:19" ht="60.75" customHeight="1" thickBot="1" x14ac:dyDescent="0.3">
      <c r="A31" s="206" t="s">
        <v>538</v>
      </c>
      <c r="B31" s="207"/>
      <c r="C31" s="207"/>
      <c r="D31" s="1012" t="s">
        <v>539</v>
      </c>
      <c r="E31" s="1016"/>
      <c r="F31" s="209"/>
      <c r="G31" s="209"/>
      <c r="H31" s="209"/>
      <c r="I31" s="209"/>
      <c r="J31" s="209"/>
      <c r="K31" s="209"/>
      <c r="L31" s="209"/>
    </row>
    <row r="32" spans="1:19" ht="60" customHeight="1" x14ac:dyDescent="0.25">
      <c r="A32" s="278" t="s">
        <v>337</v>
      </c>
      <c r="B32" s="209" t="s">
        <v>540</v>
      </c>
      <c r="C32" s="209" t="s">
        <v>541</v>
      </c>
      <c r="D32" s="267" t="s">
        <v>542</v>
      </c>
      <c r="E32" s="210" t="s">
        <v>543</v>
      </c>
      <c r="F32" s="209"/>
      <c r="G32" s="579" t="s">
        <v>337</v>
      </c>
      <c r="H32" s="767"/>
      <c r="I32" s="580" t="s">
        <v>544</v>
      </c>
      <c r="J32" s="580" t="s">
        <v>545</v>
      </c>
      <c r="K32" s="581" t="s">
        <v>546</v>
      </c>
    </row>
    <row r="33" spans="1:11" x14ac:dyDescent="0.25">
      <c r="A33" s="211"/>
      <c r="D33" s="211"/>
      <c r="E33" s="213"/>
      <c r="G33" s="586" t="s">
        <v>547</v>
      </c>
      <c r="I33" s="932">
        <f>1-J33</f>
        <v>0.5</v>
      </c>
      <c r="J33" s="919">
        <f>H7</f>
        <v>0.5</v>
      </c>
      <c r="K33" s="931">
        <f>J33</f>
        <v>0.5</v>
      </c>
    </row>
    <row r="34" spans="1:11" x14ac:dyDescent="0.25">
      <c r="A34" s="208" t="s">
        <v>341</v>
      </c>
      <c r="D34" s="211"/>
      <c r="E34" s="213"/>
      <c r="G34" s="583" t="s">
        <v>341</v>
      </c>
      <c r="K34" s="584"/>
    </row>
    <row r="35" spans="1:11" x14ac:dyDescent="0.25">
      <c r="A35" s="208"/>
      <c r="D35" s="211"/>
      <c r="E35" s="213"/>
      <c r="G35" s="583"/>
      <c r="K35" s="458"/>
    </row>
    <row r="36" spans="1:11" x14ac:dyDescent="0.25">
      <c r="A36" s="214" t="s">
        <v>16</v>
      </c>
      <c r="B36" s="215">
        <f>'EEC Calculation'!C78</f>
        <v>2163164825</v>
      </c>
      <c r="C36" s="216">
        <f>E8</f>
        <v>1.0930598354536811E-2</v>
      </c>
      <c r="D36" s="269">
        <f>C8</f>
        <v>1.087464646988274E-2</v>
      </c>
      <c r="E36" s="217">
        <f>D36/C36-1</f>
        <v>-5.1188309037856206E-3</v>
      </c>
      <c r="F36" s="466"/>
      <c r="G36" s="585" t="s">
        <v>16</v>
      </c>
      <c r="I36" s="764">
        <f t="shared" ref="I36:K38" si="0">$B36*I8</f>
        <v>23070928.864723738</v>
      </c>
      <c r="J36" s="575">
        <f t="shared" si="0"/>
        <v>23523652.727960765</v>
      </c>
      <c r="K36" s="921">
        <f t="shared" si="0"/>
        <v>0</v>
      </c>
    </row>
    <row r="37" spans="1:11" x14ac:dyDescent="0.25">
      <c r="A37" s="214" t="s">
        <v>76</v>
      </c>
      <c r="B37" s="215">
        <f>'EEC Calculation'!C81</f>
        <v>424798161</v>
      </c>
      <c r="C37" s="216">
        <f>E9</f>
        <v>1.0236807822923627E-2</v>
      </c>
      <c r="D37" s="269">
        <f>C9</f>
        <v>9.7371259117171906E-3</v>
      </c>
      <c r="E37" s="217">
        <f>D37/C37-1</f>
        <v>-4.8812278187686853E-2</v>
      </c>
      <c r="F37" s="466"/>
      <c r="G37" s="585" t="s">
        <v>76</v>
      </c>
      <c r="I37" s="575">
        <f t="shared" si="0"/>
        <v>4053693.9884775048</v>
      </c>
      <c r="J37" s="575">
        <f t="shared" si="0"/>
        <v>4136313.1807229109</v>
      </c>
      <c r="K37" s="921">
        <f t="shared" si="0"/>
        <v>0</v>
      </c>
    </row>
    <row r="38" spans="1:11" x14ac:dyDescent="0.25">
      <c r="A38" s="214" t="s">
        <v>52</v>
      </c>
      <c r="B38" s="215">
        <f>'EEC Calculation'!C87</f>
        <v>5557123</v>
      </c>
      <c r="C38" s="216">
        <f>E10</f>
        <v>7.5702523544102568E-3</v>
      </c>
      <c r="D38" s="269">
        <f>C10</f>
        <v>7.2798137388989659E-3</v>
      </c>
      <c r="E38" s="217">
        <f>D38/C38-1</f>
        <v>-3.8365777244148025E-2</v>
      </c>
      <c r="F38" s="466"/>
      <c r="G38" s="585" t="s">
        <v>52</v>
      </c>
      <c r="I38" s="575">
        <f t="shared" si="0"/>
        <v>39646.771161696779</v>
      </c>
      <c r="J38" s="575">
        <f t="shared" si="0"/>
        <v>40454.820364151441</v>
      </c>
      <c r="K38" s="921">
        <f t="shared" si="0"/>
        <v>0</v>
      </c>
    </row>
    <row r="39" spans="1:11" x14ac:dyDescent="0.25">
      <c r="A39" s="211"/>
      <c r="B39" s="215"/>
      <c r="C39" s="216"/>
      <c r="D39" s="270"/>
      <c r="E39" s="218"/>
      <c r="F39" s="567"/>
      <c r="G39" s="582"/>
      <c r="I39" s="575"/>
      <c r="J39" s="575"/>
      <c r="K39" s="921"/>
    </row>
    <row r="40" spans="1:11" x14ac:dyDescent="0.25">
      <c r="A40" s="208" t="s">
        <v>343</v>
      </c>
      <c r="B40" s="215"/>
      <c r="C40" s="216"/>
      <c r="D40" s="270"/>
      <c r="E40" s="218"/>
      <c r="F40" s="567"/>
      <c r="G40" s="583" t="s">
        <v>343</v>
      </c>
      <c r="I40" s="575"/>
      <c r="J40" s="575"/>
      <c r="K40" s="921"/>
    </row>
    <row r="41" spans="1:11" x14ac:dyDescent="0.25">
      <c r="A41" s="219" t="s">
        <v>344</v>
      </c>
      <c r="B41" s="215"/>
      <c r="C41" s="216"/>
      <c r="D41" s="270"/>
      <c r="E41" s="218"/>
      <c r="F41" s="567"/>
      <c r="G41" s="586" t="s">
        <v>344</v>
      </c>
      <c r="I41" s="575"/>
      <c r="J41" s="575"/>
      <c r="K41" s="921"/>
    </row>
    <row r="42" spans="1:11" x14ac:dyDescent="0.25">
      <c r="A42" s="266" t="s">
        <v>47</v>
      </c>
      <c r="B42" s="215">
        <f>'EEC Calculation'!C82</f>
        <v>1328761214.1200054</v>
      </c>
      <c r="C42" s="216">
        <f>E13</f>
        <v>6.6197719734247661E-3</v>
      </c>
      <c r="D42" s="269">
        <f>C13</f>
        <v>6.2050954098569547E-3</v>
      </c>
      <c r="E42" s="217">
        <f t="shared" ref="E42:E49" si="1">D42/C42-1</f>
        <v>-6.2642121999449629E-2</v>
      </c>
      <c r="F42" s="466"/>
      <c r="G42" s="587" t="s">
        <v>47</v>
      </c>
      <c r="I42" s="575">
        <f t="shared" ref="I42:I45" si="2">$B42*I13</f>
        <v>8080401.738264286</v>
      </c>
      <c r="J42" s="575">
        <f t="shared" ref="J42:J46" si="3">$B42*J13</f>
        <v>8245090.1105319997</v>
      </c>
      <c r="K42" s="921">
        <f>$B42*K13</f>
        <v>0</v>
      </c>
    </row>
    <row r="43" spans="1:11" x14ac:dyDescent="0.25">
      <c r="A43" s="266" t="s">
        <v>51</v>
      </c>
      <c r="B43" s="215">
        <f>'EEC Calculation'!B116</f>
        <v>4003586.9160000002</v>
      </c>
      <c r="C43" s="216">
        <f>E14</f>
        <v>1.13825</v>
      </c>
      <c r="D43" s="269">
        <f>C14</f>
        <v>1.1722550893561516</v>
      </c>
      <c r="E43" s="217">
        <f t="shared" si="1"/>
        <v>2.9874886322118765E-2</v>
      </c>
      <c r="F43" s="466"/>
      <c r="G43" s="587" t="s">
        <v>51</v>
      </c>
      <c r="I43" s="575">
        <f t="shared" si="2"/>
        <v>4599482.1226273244</v>
      </c>
      <c r="J43" s="575">
        <f t="shared" si="3"/>
        <v>4693225.1379606994</v>
      </c>
      <c r="K43" s="921">
        <f>$B43*K14</f>
        <v>0</v>
      </c>
    </row>
    <row r="44" spans="1:11" x14ac:dyDescent="0.25">
      <c r="A44" s="219" t="s">
        <v>345</v>
      </c>
      <c r="B44" s="215"/>
      <c r="C44" s="216"/>
      <c r="D44" s="269"/>
      <c r="E44" s="217"/>
      <c r="F44" s="466"/>
      <c r="G44" s="586" t="s">
        <v>345</v>
      </c>
      <c r="I44" s="575"/>
      <c r="J44" s="575"/>
      <c r="K44" s="921"/>
    </row>
    <row r="45" spans="1:11" x14ac:dyDescent="0.25">
      <c r="A45" s="266" t="s">
        <v>47</v>
      </c>
      <c r="B45" s="215">
        <f>'EEC Calculation'!C88</f>
        <v>699115184</v>
      </c>
      <c r="C45" s="216">
        <f>E16</f>
        <v>5.2086163716222877E-3</v>
      </c>
      <c r="D45" s="269">
        <f>C16</f>
        <v>4.8941202329454321E-3</v>
      </c>
      <c r="E45" s="217">
        <f t="shared" si="1"/>
        <v>-6.0379977375623395E-2</v>
      </c>
      <c r="F45" s="466"/>
      <c r="G45" s="587" t="s">
        <v>47</v>
      </c>
      <c r="I45" s="575">
        <f t="shared" si="2"/>
        <v>3353211.2614393835</v>
      </c>
      <c r="J45" s="575">
        <f t="shared" si="3"/>
        <v>3421553.7671737685</v>
      </c>
      <c r="K45" s="921">
        <f>$B45*K16</f>
        <v>0</v>
      </c>
    </row>
    <row r="46" spans="1:11" x14ac:dyDescent="0.25">
      <c r="A46" s="266" t="s">
        <v>51</v>
      </c>
      <c r="B46" s="215">
        <f>'EEC Calculation'!B133</f>
        <v>1527046.4739999999</v>
      </c>
      <c r="C46" s="216">
        <f>E17</f>
        <v>1.21316</v>
      </c>
      <c r="D46" s="269">
        <f>C17</f>
        <v>1.0922225241864583</v>
      </c>
      <c r="E46" s="217">
        <f t="shared" si="1"/>
        <v>-9.9687984943075736E-2</v>
      </c>
      <c r="F46" s="466"/>
      <c r="G46" s="587" t="s">
        <v>51</v>
      </c>
      <c r="I46" s="575">
        <f>$B46*I17</f>
        <v>1634560.2375386907</v>
      </c>
      <c r="J46" s="575">
        <f t="shared" si="3"/>
        <v>1667874.5543823107</v>
      </c>
      <c r="K46" s="921">
        <f>$B46*K17</f>
        <v>0</v>
      </c>
    </row>
    <row r="47" spans="1:11" x14ac:dyDescent="0.25">
      <c r="A47" s="211"/>
      <c r="B47" s="215"/>
      <c r="C47" s="216"/>
      <c r="D47" s="211"/>
      <c r="E47" s="217"/>
      <c r="F47" s="466"/>
      <c r="G47" s="582"/>
      <c r="I47" s="575"/>
      <c r="J47" s="575"/>
      <c r="K47" s="920"/>
    </row>
    <row r="48" spans="1:11" x14ac:dyDescent="0.25">
      <c r="A48" s="208" t="s">
        <v>346</v>
      </c>
      <c r="B48" s="215"/>
      <c r="C48" s="216"/>
      <c r="D48" s="211"/>
      <c r="E48" s="217"/>
      <c r="F48" s="466"/>
      <c r="G48" s="583" t="s">
        <v>346</v>
      </c>
      <c r="I48" s="575"/>
      <c r="J48" s="575"/>
      <c r="K48" s="920"/>
    </row>
    <row r="49" spans="1:12" x14ac:dyDescent="0.25">
      <c r="A49" s="211"/>
      <c r="B49" s="215">
        <f>'EEC Calculation'!C83</f>
        <v>12160856</v>
      </c>
      <c r="C49" s="216">
        <f>E19</f>
        <v>1.0236807822923627E-2</v>
      </c>
      <c r="D49" s="269">
        <f>C19</f>
        <v>9.7371259117171906E-3</v>
      </c>
      <c r="E49" s="217">
        <f t="shared" si="1"/>
        <v>-4.8812278187686853E-2</v>
      </c>
      <c r="F49" s="466"/>
      <c r="G49" s="582"/>
      <c r="I49" s="575">
        <f>$B49*I19</f>
        <v>116046.61551710578</v>
      </c>
      <c r="J49" s="575">
        <f>$B49*J19</f>
        <v>118411.78606626147</v>
      </c>
      <c r="K49" s="921">
        <f>$B49*K19</f>
        <v>0</v>
      </c>
    </row>
    <row r="50" spans="1:12" x14ac:dyDescent="0.25">
      <c r="A50" s="211"/>
      <c r="B50" s="215"/>
      <c r="C50" s="216"/>
      <c r="D50" s="269"/>
      <c r="E50" s="217"/>
      <c r="F50" s="466"/>
      <c r="G50" s="582"/>
      <c r="I50" s="466"/>
      <c r="J50" s="575"/>
      <c r="K50" s="920"/>
    </row>
    <row r="51" spans="1:12" x14ac:dyDescent="0.25">
      <c r="A51" s="208" t="s">
        <v>347</v>
      </c>
      <c r="B51" s="215"/>
      <c r="C51" s="216"/>
      <c r="D51" s="269"/>
      <c r="E51" s="217"/>
      <c r="F51" s="574" t="s">
        <v>173</v>
      </c>
      <c r="G51" s="583" t="s">
        <v>548</v>
      </c>
      <c r="I51" s="466"/>
      <c r="J51" s="575"/>
      <c r="K51" s="920"/>
    </row>
    <row r="52" spans="1:12" x14ac:dyDescent="0.25">
      <c r="A52" s="563" t="s">
        <v>16</v>
      </c>
      <c r="B52" s="215">
        <f>'Fixed Fee'!B24</f>
        <v>7176.0803109066119</v>
      </c>
      <c r="C52" s="565">
        <f>E22</f>
        <v>6.2560000000000002</v>
      </c>
      <c r="D52" s="566">
        <f t="shared" ref="D52:D56" si="4">C22</f>
        <v>6.5031113683829682</v>
      </c>
      <c r="E52" s="217">
        <f>D52/C52-1</f>
        <v>3.9499899038198283E-2</v>
      </c>
      <c r="F52" s="215">
        <f>'Fixed Fee'!B57</f>
        <v>590</v>
      </c>
      <c r="G52" s="588" t="s">
        <v>16</v>
      </c>
      <c r="I52" s="575">
        <f>'Fixed Fee'!$B57*'EEC Rates Report'!I22*12</f>
        <v>45155.927794118936</v>
      </c>
      <c r="J52" s="575">
        <f>'Fixed Fee'!B57*'EEC Rates Report'!J22*12</f>
        <v>46042.028488151409</v>
      </c>
      <c r="K52" s="921">
        <f>$F52*K22*12</f>
        <v>0</v>
      </c>
    </row>
    <row r="53" spans="1:12" x14ac:dyDescent="0.25">
      <c r="A53" s="563" t="s">
        <v>348</v>
      </c>
      <c r="B53" s="215">
        <f>'Fixed Fee'!C24</f>
        <v>9433.2811683685577</v>
      </c>
      <c r="C53" s="565">
        <f t="shared" ref="C53:C56" si="5">E23</f>
        <v>6.33</v>
      </c>
      <c r="D53" s="566">
        <f t="shared" si="4"/>
        <v>7.6544205414196078</v>
      </c>
      <c r="E53" s="217">
        <f>D53/C53-1</f>
        <v>0.20922915346281323</v>
      </c>
      <c r="F53" s="215">
        <f>'Fixed Fee'!C57</f>
        <v>62</v>
      </c>
      <c r="G53" s="588" t="s">
        <v>348</v>
      </c>
      <c r="I53" s="575">
        <f>'Fixed Fee'!$C57*'EEC Rates Report'!I23*12</f>
        <v>5581.1385213545873</v>
      </c>
      <c r="J53" s="575">
        <f>'Fixed Fee'!C57*'EEC Rates Report'!J23*12</f>
        <v>5694.8888828161889</v>
      </c>
      <c r="K53" s="921">
        <f>$F53*K23*12</f>
        <v>0</v>
      </c>
    </row>
    <row r="54" spans="1:12" x14ac:dyDescent="0.25">
      <c r="A54" s="563" t="s">
        <v>349</v>
      </c>
      <c r="B54" s="215">
        <f>'Fixed Fee'!D24</f>
        <v>138948.15582139551</v>
      </c>
      <c r="C54" s="565">
        <f t="shared" si="5"/>
        <v>85.53</v>
      </c>
      <c r="D54" s="566">
        <f t="shared" si="4"/>
        <v>71.848880324619188</v>
      </c>
      <c r="E54" s="217">
        <f>D54/C54-1</f>
        <v>-0.15995697036572909</v>
      </c>
      <c r="F54" s="215">
        <f>'Fixed Fee'!D57</f>
        <v>30</v>
      </c>
      <c r="G54" s="588" t="s">
        <v>349</v>
      </c>
      <c r="I54" s="575">
        <f>'Fixed Fee'!$D57*'EEC Rates Report'!I24*12</f>
        <v>25348.954527651214</v>
      </c>
      <c r="J54" s="575">
        <f>'Fixed Fee'!D57*'EEC Rates Report'!J24*12</f>
        <v>25865.596916862909</v>
      </c>
      <c r="K54" s="921">
        <f>$F54*K24*12</f>
        <v>0</v>
      </c>
    </row>
    <row r="55" spans="1:12" x14ac:dyDescent="0.25">
      <c r="A55" s="563" t="s">
        <v>350</v>
      </c>
      <c r="B55" s="215">
        <f>'Fixed Fee'!E24</f>
        <v>5557123</v>
      </c>
      <c r="C55" s="565">
        <f t="shared" si="5"/>
        <v>586.49</v>
      </c>
      <c r="D55" s="566">
        <f t="shared" si="4"/>
        <v>3371.2350303459534</v>
      </c>
      <c r="E55" s="217">
        <f>D55/C55-1</f>
        <v>4.7481543254717957</v>
      </c>
      <c r="F55" s="215">
        <f>'Fixed Fee'!E57</f>
        <v>0</v>
      </c>
      <c r="G55" s="588" t="s">
        <v>350</v>
      </c>
      <c r="I55" s="575">
        <f>'Fixed Fee'!$E57*'EEC Rates Report'!I25*12</f>
        <v>0</v>
      </c>
      <c r="J55" s="575">
        <f>'Fixed Fee'!E57*'EEC Rates Report'!J25*12</f>
        <v>0</v>
      </c>
      <c r="K55" s="921">
        <f>$F55*K25*12</f>
        <v>0</v>
      </c>
    </row>
    <row r="56" spans="1:12" x14ac:dyDescent="0.25">
      <c r="A56" s="563" t="s">
        <v>351</v>
      </c>
      <c r="B56" s="215">
        <f>'Fixed Fee'!F24</f>
        <v>8423074.5060240962</v>
      </c>
      <c r="C56" s="565">
        <f t="shared" si="5"/>
        <v>1915.71</v>
      </c>
      <c r="D56" s="566">
        <f t="shared" si="4"/>
        <v>3435.2949469616146</v>
      </c>
      <c r="E56" s="217">
        <f>D56/C56-1</f>
        <v>0.79322285051579544</v>
      </c>
      <c r="F56" s="215">
        <f>'Fixed Fee'!F57</f>
        <v>1</v>
      </c>
      <c r="G56" s="588" t="s">
        <v>351</v>
      </c>
      <c r="I56" s="575">
        <f>'Fixed Fee'!$F57*'EEC Rates Report'!I26*12</f>
        <v>40400.135679992571</v>
      </c>
      <c r="J56" s="575">
        <f>'Fixed Fee'!F57*'EEC Rates Report'!J26*12</f>
        <v>41223.539363539378</v>
      </c>
      <c r="K56" s="921">
        <f>$F56*K26*12</f>
        <v>0</v>
      </c>
    </row>
    <row r="57" spans="1:12" x14ac:dyDescent="0.25">
      <c r="A57" s="220"/>
      <c r="B57" s="221"/>
      <c r="C57" s="222"/>
      <c r="D57" s="268"/>
      <c r="E57" s="223"/>
      <c r="F57" s="222"/>
      <c r="G57" s="582"/>
      <c r="I57" s="760"/>
      <c r="J57" s="578"/>
      <c r="K57" s="922"/>
    </row>
    <row r="58" spans="1:12" x14ac:dyDescent="0.25">
      <c r="G58" s="582"/>
      <c r="I58" s="468">
        <f t="shared" ref="I58" si="6">SUM(I35:I57)</f>
        <v>45064457.756272845</v>
      </c>
      <c r="J58" s="468">
        <f>SUM(J35:J57)</f>
        <v>45965402.138814241</v>
      </c>
      <c r="K58" s="923">
        <f>SUM(K35:K57)</f>
        <v>0</v>
      </c>
    </row>
    <row r="59" spans="1:12" x14ac:dyDescent="0.25">
      <c r="B59" s="272" t="s">
        <v>549</v>
      </c>
      <c r="C59" s="577" t="s">
        <v>550</v>
      </c>
      <c r="G59" s="582"/>
      <c r="I59" s="224"/>
      <c r="J59" s="224"/>
      <c r="K59" s="458"/>
    </row>
    <row r="60" spans="1:12" x14ac:dyDescent="0.25">
      <c r="A60" s="212" t="s">
        <v>551</v>
      </c>
      <c r="B60" s="428">
        <v>2072836254.5200002</v>
      </c>
      <c r="C60" s="576">
        <f>B36/B60</f>
        <v>1.0435772822300993</v>
      </c>
      <c r="G60" s="589" t="s">
        <v>552</v>
      </c>
      <c r="I60" s="224">
        <v>45064457.757296689</v>
      </c>
      <c r="J60" s="224">
        <v>45965402.139255524</v>
      </c>
      <c r="K60" s="458">
        <f>J60</f>
        <v>45965402.139255524</v>
      </c>
    </row>
    <row r="61" spans="1:12" ht="15.75" thickBot="1" x14ac:dyDescent="0.3">
      <c r="A61" s="212" t="s">
        <v>76</v>
      </c>
      <c r="B61" s="428">
        <v>1688880286.9100001</v>
      </c>
      <c r="C61" s="576">
        <f>SUM(B37,B42,B49)/B61</f>
        <v>1.0454975671192142</v>
      </c>
      <c r="G61" s="590" t="s">
        <v>553</v>
      </c>
      <c r="H61" s="768"/>
      <c r="I61" s="591">
        <f t="shared" ref="I61" si="7">I58-I60</f>
        <v>-1.0238438844680786E-3</v>
      </c>
      <c r="J61" s="591">
        <f>J58-J60</f>
        <v>-4.4128298759460449E-4</v>
      </c>
      <c r="K61" s="592">
        <f>K58-K60</f>
        <v>-45965402.139255524</v>
      </c>
    </row>
    <row r="62" spans="1:12" x14ac:dyDescent="0.25">
      <c r="A62" s="212" t="s">
        <v>52</v>
      </c>
      <c r="B62" s="428">
        <v>688439894.44000006</v>
      </c>
      <c r="C62" s="576">
        <f>SUM(B38,B45)/B62</f>
        <v>1.0235785472211831</v>
      </c>
      <c r="G62" s="582"/>
      <c r="K62" s="458">
        <f>K61-J61</f>
        <v>-45965402.138814241</v>
      </c>
    </row>
    <row r="63" spans="1:12" ht="15.75" thickBot="1" x14ac:dyDescent="0.3">
      <c r="B63" s="428"/>
      <c r="G63" s="582"/>
      <c r="K63" s="584"/>
    </row>
    <row r="64" spans="1:12" ht="43.5" x14ac:dyDescent="0.25">
      <c r="B64" s="428"/>
      <c r="G64" s="593"/>
      <c r="H64" s="767"/>
      <c r="I64" s="580" t="s">
        <v>554</v>
      </c>
      <c r="J64" s="580" t="s">
        <v>555</v>
      </c>
      <c r="K64" s="581" t="s">
        <v>556</v>
      </c>
      <c r="L64" s="209"/>
    </row>
    <row r="65" spans="2:13" x14ac:dyDescent="0.25">
      <c r="B65" s="428"/>
      <c r="G65" s="582" t="s">
        <v>557</v>
      </c>
      <c r="I65" s="224">
        <f>I58</f>
        <v>45064457.756272845</v>
      </c>
      <c r="J65" s="224">
        <f>J58</f>
        <v>45965402.138814241</v>
      </c>
      <c r="K65" s="458">
        <f>K58</f>
        <v>0</v>
      </c>
      <c r="L65" s="224"/>
    </row>
    <row r="66" spans="2:13" x14ac:dyDescent="0.25">
      <c r="G66" s="595" t="s">
        <v>558</v>
      </c>
      <c r="H66" s="272"/>
      <c r="I66" s="596">
        <f>I60</f>
        <v>45064457.757296689</v>
      </c>
      <c r="J66" s="596">
        <f>J60</f>
        <v>45965402.139255524</v>
      </c>
      <c r="K66" s="597">
        <f>K60</f>
        <v>45965402.139255524</v>
      </c>
      <c r="L66" s="596"/>
    </row>
    <row r="67" spans="2:13" ht="15.75" thickBot="1" x14ac:dyDescent="0.3">
      <c r="G67" s="594" t="s">
        <v>559</v>
      </c>
      <c r="H67" s="768"/>
      <c r="I67" s="591">
        <f>I65-I66</f>
        <v>-1.0238438844680786E-3</v>
      </c>
      <c r="J67" s="591">
        <f>J65-J66</f>
        <v>-4.4128298759460449E-4</v>
      </c>
      <c r="K67" s="592">
        <f t="shared" ref="K67" si="8">K65-K66</f>
        <v>-45965402.139255524</v>
      </c>
      <c r="L67" s="224"/>
      <c r="M67" s="428"/>
    </row>
    <row r="68" spans="2:13" x14ac:dyDescent="0.25">
      <c r="G68" s="212" t="s">
        <v>560</v>
      </c>
      <c r="I68" s="466">
        <f>I67/I66</f>
        <v>-2.271954297069737E-11</v>
      </c>
      <c r="J68" s="466">
        <f>J67/J66</f>
        <v>-9.60032909660413E-12</v>
      </c>
      <c r="K68" s="466">
        <f t="shared" ref="K68" si="9">K67/K66</f>
        <v>-1</v>
      </c>
      <c r="L68" s="224"/>
    </row>
    <row r="70" spans="2:13" ht="43.5" customHeight="1" x14ac:dyDescent="0.25">
      <c r="G70" s="928" t="s">
        <v>561</v>
      </c>
      <c r="H70" s="756" t="s">
        <v>279</v>
      </c>
      <c r="I70" s="1012" t="s">
        <v>562</v>
      </c>
      <c r="J70" s="1013"/>
      <c r="K70" s="1014"/>
      <c r="L70" s="1014"/>
    </row>
    <row r="71" spans="2:13" ht="43.5" x14ac:dyDescent="0.25">
      <c r="G71" s="749" t="s">
        <v>563</v>
      </c>
      <c r="H71" s="748" t="s">
        <v>564</v>
      </c>
      <c r="I71" s="267" t="s">
        <v>11</v>
      </c>
      <c r="J71" s="741" t="s">
        <v>565</v>
      </c>
      <c r="K71" s="209"/>
      <c r="L71" s="934"/>
    </row>
    <row r="72" spans="2:13" x14ac:dyDescent="0.25">
      <c r="G72" s="750" t="s">
        <v>16</v>
      </c>
      <c r="H72" s="746">
        <f>(I36+I52)/1.01025</f>
        <v>22881548.916127548</v>
      </c>
      <c r="I72" s="742">
        <f>(J36+J52)/1.01025</f>
        <v>23330556.551793035</v>
      </c>
      <c r="J72" s="743">
        <f>I72-H72</f>
        <v>449007.6356654875</v>
      </c>
      <c r="K72" s="466">
        <f>H72/H$75</f>
        <v>0.51295601774549626</v>
      </c>
      <c r="L72" s="466">
        <f>I72/I$75</f>
        <v>0.51277033724776511</v>
      </c>
      <c r="M72" s="898">
        <v>0.51259179566043533</v>
      </c>
    </row>
    <row r="73" spans="2:13" x14ac:dyDescent="0.25">
      <c r="G73" s="750" t="s">
        <v>76</v>
      </c>
      <c r="H73" s="746">
        <f>SUM(I37,I42,I43,I49,I53,I54)/1.01025</f>
        <v>16709284.392907919</v>
      </c>
      <c r="I73" s="742">
        <f>SUM(J37,J42,J43,J49,J53,J54)/1.01025</f>
        <v>17049839.842693932</v>
      </c>
      <c r="J73" s="743">
        <f t="shared" ref="J73:J74" si="10">I73-H73</f>
        <v>340555.44978601299</v>
      </c>
      <c r="K73" s="466">
        <f t="shared" ref="K73:L74" si="11">H73/H$75</f>
        <v>0.37458687840497767</v>
      </c>
      <c r="L73" s="466">
        <f t="shared" si="11"/>
        <v>0.37472968579854332</v>
      </c>
      <c r="M73" s="898">
        <v>0.37486700262166317</v>
      </c>
    </row>
    <row r="74" spans="2:13" x14ac:dyDescent="0.25">
      <c r="G74" s="751" t="s">
        <v>52</v>
      </c>
      <c r="H74" s="747">
        <f>(I38+I45+I46+I55+I56)/1.01025</f>
        <v>5016400.3027169146</v>
      </c>
      <c r="I74" s="744">
        <f>SUM(J38,J45,J46,J55,J56)/1.01025</f>
        <v>5118640.6149802236</v>
      </c>
      <c r="J74" s="745">
        <f t="shared" si="10"/>
        <v>102240.31226330902</v>
      </c>
      <c r="K74" s="466">
        <f t="shared" si="11"/>
        <v>0.11245710384952624</v>
      </c>
      <c r="L74" s="466">
        <f t="shared" si="11"/>
        <v>0.1124999769536917</v>
      </c>
      <c r="M74" s="898">
        <v>0.11254120171790161</v>
      </c>
    </row>
    <row r="75" spans="2:13" x14ac:dyDescent="0.25">
      <c r="G75" s="752" t="s">
        <v>566</v>
      </c>
      <c r="H75" s="753">
        <f t="shared" ref="H75:J75" si="12">SUM(H72:H74)</f>
        <v>44607233.611752376</v>
      </c>
      <c r="I75" s="754">
        <f t="shared" si="12"/>
        <v>45499037.009467185</v>
      </c>
      <c r="J75" s="755">
        <f t="shared" si="12"/>
        <v>891803.39771480951</v>
      </c>
      <c r="K75" s="468"/>
      <c r="L75" s="468"/>
    </row>
    <row r="76" spans="2:13" x14ac:dyDescent="0.25">
      <c r="H76" s="224"/>
      <c r="I76" s="224"/>
      <c r="K76" s="224"/>
    </row>
    <row r="77" spans="2:13" ht="33.75" customHeight="1" x14ac:dyDescent="0.25">
      <c r="G77" s="928" t="s">
        <v>567</v>
      </c>
      <c r="H77" s="756" t="s">
        <v>279</v>
      </c>
      <c r="I77" s="1012" t="s">
        <v>562</v>
      </c>
      <c r="J77" s="1013"/>
      <c r="K77" s="1014"/>
      <c r="L77" s="1014"/>
    </row>
    <row r="78" spans="2:13" ht="43.5" x14ac:dyDescent="0.25">
      <c r="G78" s="749" t="s">
        <v>563</v>
      </c>
      <c r="H78" s="748" t="s">
        <v>564</v>
      </c>
      <c r="I78" s="267" t="s">
        <v>11</v>
      </c>
      <c r="J78" s="741" t="s">
        <v>565</v>
      </c>
      <c r="K78" s="209"/>
      <c r="L78" s="934"/>
    </row>
    <row r="79" spans="2:13" x14ac:dyDescent="0.25">
      <c r="G79" s="750" t="s">
        <v>16</v>
      </c>
      <c r="H79" s="746">
        <f>I36+I52</f>
        <v>23116084.792517856</v>
      </c>
      <c r="I79" s="742">
        <f>J36+J52</f>
        <v>23569694.756448917</v>
      </c>
      <c r="J79" s="743">
        <f>I79-H79</f>
        <v>453609.96393106133</v>
      </c>
      <c r="K79" s="224"/>
      <c r="L79" s="224"/>
    </row>
    <row r="80" spans="2:13" x14ac:dyDescent="0.25">
      <c r="G80" s="750" t="s">
        <v>76</v>
      </c>
      <c r="H80" s="746">
        <f>I37+I42+I43+I49+I53+I54</f>
        <v>16880554.557935227</v>
      </c>
      <c r="I80" s="742">
        <f>SUM(J37,J42,J43,J49)+J53+J54</f>
        <v>17224600.701081548</v>
      </c>
      <c r="J80" s="743">
        <f t="shared" ref="J80:J81" si="13">I80-H80</f>
        <v>344046.14314632118</v>
      </c>
      <c r="K80" s="224"/>
      <c r="L80" s="224"/>
    </row>
    <row r="81" spans="7:12" x14ac:dyDescent="0.25">
      <c r="G81" s="751" t="s">
        <v>52</v>
      </c>
      <c r="H81" s="747">
        <f>I38+I45+I46+I55+I56</f>
        <v>5067818.4058197634</v>
      </c>
      <c r="I81" s="744">
        <f>(J38+J45+J46)+J55+J56</f>
        <v>5171106.6812837711</v>
      </c>
      <c r="J81" s="745">
        <f t="shared" si="13"/>
        <v>103288.27546400763</v>
      </c>
      <c r="K81" s="596"/>
      <c r="L81" s="596"/>
    </row>
    <row r="82" spans="7:12" x14ac:dyDescent="0.25">
      <c r="G82" s="752" t="s">
        <v>568</v>
      </c>
      <c r="H82" s="753">
        <f t="shared" ref="H82:J82" si="14">SUM(H79:H81)</f>
        <v>45064457.756272845</v>
      </c>
      <c r="I82" s="754">
        <f t="shared" si="14"/>
        <v>45965402.138814241</v>
      </c>
      <c r="J82" s="755">
        <f t="shared" si="14"/>
        <v>900944.38254139014</v>
      </c>
      <c r="K82" s="468"/>
      <c r="L82" s="468"/>
    </row>
    <row r="83" spans="7:12" x14ac:dyDescent="0.25">
      <c r="H83" s="224"/>
    </row>
    <row r="84" spans="7:12" x14ac:dyDescent="0.25">
      <c r="G84" s="212" t="s">
        <v>569</v>
      </c>
      <c r="H84" s="224">
        <f>H82-I65</f>
        <v>0</v>
      </c>
      <c r="I84" s="224">
        <f>I82-J65</f>
        <v>0</v>
      </c>
      <c r="K84" s="224"/>
    </row>
    <row r="85" spans="7:12" x14ac:dyDescent="0.25">
      <c r="G85" s="212" t="s">
        <v>570</v>
      </c>
      <c r="H85" s="224">
        <f>H75-I65/1.01025</f>
        <v>0</v>
      </c>
      <c r="I85" s="224">
        <f>I75-J65/1.01025</f>
        <v>0</v>
      </c>
      <c r="K85" s="224"/>
    </row>
    <row r="87" spans="7:12" ht="28.5" x14ac:dyDescent="0.25">
      <c r="G87" s="929" t="s">
        <v>563</v>
      </c>
      <c r="H87" s="930" t="s">
        <v>571</v>
      </c>
      <c r="I87" s="930" t="s">
        <v>572</v>
      </c>
      <c r="J87" s="930" t="s">
        <v>573</v>
      </c>
      <c r="K87" s="935"/>
    </row>
    <row r="88" spans="7:12" x14ac:dyDescent="0.25">
      <c r="G88" s="211" t="s">
        <v>16</v>
      </c>
      <c r="H88" s="466">
        <f>'EEC Calculation'!H61</f>
        <v>0.51259179566043533</v>
      </c>
      <c r="I88" s="466">
        <f t="shared" ref="I88:J90" si="15">H79/H$82</f>
        <v>0.51295601774549615</v>
      </c>
      <c r="J88" s="466">
        <f t="shared" si="15"/>
        <v>0.512770337247765</v>
      </c>
      <c r="K88" s="466"/>
    </row>
    <row r="89" spans="7:12" x14ac:dyDescent="0.25">
      <c r="G89" s="211" t="s">
        <v>76</v>
      </c>
      <c r="H89" s="466">
        <f>'EEC Calculation'!H62</f>
        <v>0.37486700262166317</v>
      </c>
      <c r="I89" s="466">
        <f t="shared" si="15"/>
        <v>0.37458687840497762</v>
      </c>
      <c r="J89" s="466">
        <f t="shared" si="15"/>
        <v>0.37472968579854327</v>
      </c>
      <c r="K89" s="466"/>
    </row>
    <row r="90" spans="7:12" x14ac:dyDescent="0.25">
      <c r="G90" s="761" t="s">
        <v>52</v>
      </c>
      <c r="H90" s="762">
        <f>'EEC Calculation'!H63</f>
        <v>0.11254120171790161</v>
      </c>
      <c r="I90" s="762">
        <f t="shared" si="15"/>
        <v>0.11245710384952623</v>
      </c>
      <c r="J90" s="762">
        <f t="shared" si="15"/>
        <v>0.11249997695369165</v>
      </c>
      <c r="K90" s="466"/>
    </row>
    <row r="91" spans="7:12" x14ac:dyDescent="0.25">
      <c r="G91" s="271"/>
    </row>
    <row r="92" spans="7:12" x14ac:dyDescent="0.25">
      <c r="H92" s="898"/>
    </row>
    <row r="93" spans="7:12" x14ac:dyDescent="0.25">
      <c r="H93" s="898"/>
    </row>
    <row r="94" spans="7:12" x14ac:dyDescent="0.25">
      <c r="H94" s="898"/>
    </row>
  </sheetData>
  <mergeCells count="7">
    <mergeCell ref="I77:J77"/>
    <mergeCell ref="K77:L77"/>
    <mergeCell ref="K70:L70"/>
    <mergeCell ref="C4:D4"/>
    <mergeCell ref="D31:E31"/>
    <mergeCell ref="C5:D5"/>
    <mergeCell ref="I70:J70"/>
  </mergeCells>
  <phoneticPr fontId="0" type="noConversion"/>
  <conditionalFormatting sqref="K20:K21 F8:H10 F20:I21 F13:H14 F16:H17 F19:H19 F22:H26">
    <cfRule type="cellIs" dxfId="0" priority="6" operator="greaterThan">
      <formula>0</formula>
    </cfRule>
  </conditionalFormatting>
  <printOptions horizontalCentered="1"/>
  <pageMargins left="0.7" right="0.7" top="0.75" bottom="0.75" header="0.3" footer="0.3"/>
  <pageSetup scale="69" orientation="portrait" r:id="rId1"/>
  <headerFooter alignWithMargins="0">
    <oddFooter xml:space="preserve">&amp;L&amp;F&amp;R&amp;D    </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U150"/>
  <sheetViews>
    <sheetView topLeftCell="A37" zoomScaleNormal="100" workbookViewId="0">
      <selection activeCell="H61" sqref="H61:H63"/>
    </sheetView>
  </sheetViews>
  <sheetFormatPr defaultColWidth="9.140625" defaultRowHeight="15" x14ac:dyDescent="0.25"/>
  <cols>
    <col min="1" max="1" width="55.42578125" style="1" customWidth="1"/>
    <col min="2" max="2" width="19.28515625" style="1" customWidth="1"/>
    <col min="3" max="3" width="16.42578125" style="1" customWidth="1"/>
    <col min="4" max="4" width="14.5703125" style="1" customWidth="1"/>
    <col min="5" max="5" width="15.7109375" style="1" customWidth="1"/>
    <col min="6" max="6" width="17.5703125" style="1" customWidth="1"/>
    <col min="7" max="7" width="17.140625" style="1" customWidth="1"/>
    <col min="8" max="8" width="14.5703125" style="1" customWidth="1"/>
    <col min="9" max="9" width="14.28515625" style="1" customWidth="1"/>
    <col min="10" max="10" width="33.7109375" style="1" customWidth="1"/>
    <col min="11" max="11" width="15.28515625" style="1" customWidth="1"/>
    <col min="12" max="12" width="15.7109375" style="1" customWidth="1"/>
    <col min="13" max="13" width="14.140625" style="1" customWidth="1"/>
    <col min="14" max="14" width="16.42578125" style="1" customWidth="1"/>
    <col min="15" max="15" width="15.42578125" style="1" customWidth="1"/>
    <col min="16" max="16" width="8.5703125" style="1" customWidth="1"/>
    <col min="17" max="17" width="13.42578125" style="1" customWidth="1"/>
    <col min="18" max="18" width="8.7109375" style="1" customWidth="1"/>
    <col min="19" max="19" width="16.5703125" style="1" customWidth="1"/>
    <col min="20" max="20" width="16.140625" style="1" bestFit="1" customWidth="1"/>
    <col min="21" max="21" width="13.42578125" style="1" customWidth="1"/>
    <col min="22" max="24" width="13.28515625" style="1" customWidth="1"/>
    <col min="25" max="16384" width="9.140625" style="1"/>
  </cols>
  <sheetData>
    <row r="1" spans="1:16" x14ac:dyDescent="0.25">
      <c r="A1" s="6" t="s">
        <v>110</v>
      </c>
    </row>
    <row r="2" spans="1:16" x14ac:dyDescent="0.25">
      <c r="A2" s="6" t="s">
        <v>756</v>
      </c>
      <c r="B2" s="6"/>
      <c r="C2" s="6"/>
      <c r="D2" s="6"/>
      <c r="E2" s="6"/>
      <c r="F2" s="6"/>
      <c r="G2" s="6"/>
    </row>
    <row r="3" spans="1:16" x14ac:dyDescent="0.25">
      <c r="A3" s="28"/>
      <c r="B3" s="7"/>
      <c r="C3" s="7"/>
      <c r="D3" s="7"/>
      <c r="E3" s="7"/>
      <c r="I3" s="40"/>
      <c r="J3" s="1" t="s">
        <v>574</v>
      </c>
      <c r="K3" s="282">
        <v>1.35E-2</v>
      </c>
      <c r="L3" s="282">
        <v>0.01</v>
      </c>
      <c r="M3" s="282">
        <v>7.4999999999999997E-3</v>
      </c>
    </row>
    <row r="4" spans="1:16" x14ac:dyDescent="0.25">
      <c r="F4" s="21"/>
      <c r="J4" s="1" t="s">
        <v>575</v>
      </c>
      <c r="K4" s="283">
        <v>3.6499999999999998E-2</v>
      </c>
      <c r="L4" s="283">
        <v>0.04</v>
      </c>
      <c r="M4" s="283">
        <v>4.2500000000000003E-2</v>
      </c>
    </row>
    <row r="5" spans="1:16" ht="13.5" customHeight="1" x14ac:dyDescent="0.25">
      <c r="D5" s="6"/>
      <c r="E5" s="6"/>
      <c r="F5" s="21"/>
      <c r="G5" s="21"/>
      <c r="J5" s="442" t="s">
        <v>576</v>
      </c>
      <c r="K5" s="443"/>
      <c r="L5" s="443"/>
      <c r="M5" s="443"/>
      <c r="N5" s="444"/>
    </row>
    <row r="6" spans="1:16" x14ac:dyDescent="0.25">
      <c r="A6" s="6"/>
      <c r="B6" s="481" t="s">
        <v>577</v>
      </c>
      <c r="C6" s="6"/>
      <c r="F6" s="21"/>
      <c r="G6" s="29"/>
      <c r="J6" s="23"/>
      <c r="K6" s="59">
        <v>2021</v>
      </c>
      <c r="L6" s="59">
        <v>2022</v>
      </c>
      <c r="M6" s="59">
        <v>2023</v>
      </c>
      <c r="N6" s="445" t="s">
        <v>578</v>
      </c>
    </row>
    <row r="7" spans="1:16" ht="15.75" thickBot="1" x14ac:dyDescent="0.3">
      <c r="A7" s="30" t="s">
        <v>579</v>
      </c>
      <c r="C7" s="7"/>
      <c r="E7" s="59"/>
      <c r="F7" s="21"/>
      <c r="G7" s="29"/>
      <c r="J7" s="23" t="s">
        <v>580</v>
      </c>
      <c r="K7" s="2">
        <v>38528590.333333336</v>
      </c>
      <c r="L7" s="2">
        <v>38528590.333333336</v>
      </c>
      <c r="M7" s="2">
        <v>38528590.333333336</v>
      </c>
      <c r="N7" s="446">
        <f>SUM(K7:M7)</f>
        <v>115585771</v>
      </c>
    </row>
    <row r="8" spans="1:16" x14ac:dyDescent="0.25">
      <c r="A8" s="6"/>
      <c r="B8" s="59">
        <v>2023</v>
      </c>
      <c r="C8" s="59"/>
      <c r="D8" s="59"/>
      <c r="E8" s="59"/>
      <c r="F8" s="21"/>
      <c r="H8" s="59"/>
      <c r="I8" s="279"/>
      <c r="J8" s="447" t="s">
        <v>581</v>
      </c>
      <c r="K8" s="2">
        <v>2000000</v>
      </c>
      <c r="L8" s="2">
        <v>2000000</v>
      </c>
      <c r="M8" s="2">
        <v>2000000</v>
      </c>
      <c r="N8" s="446">
        <f>SUM(K8:M8)</f>
        <v>6000000</v>
      </c>
      <c r="O8" s="15"/>
    </row>
    <row r="9" spans="1:16" x14ac:dyDescent="0.25">
      <c r="A9" s="60" t="s">
        <v>582</v>
      </c>
      <c r="B9" s="186">
        <f>M21</f>
        <v>46453901.798950195</v>
      </c>
      <c r="C9" s="2"/>
      <c r="D9" s="2"/>
      <c r="E9" s="15"/>
      <c r="G9" s="6"/>
      <c r="J9" s="23" t="s">
        <v>583</v>
      </c>
      <c r="K9" s="2">
        <v>2979409.3842795976</v>
      </c>
      <c r="L9" s="2">
        <v>3108703.1148068728</v>
      </c>
      <c r="M9" s="2">
        <v>3157113.6876081205</v>
      </c>
      <c r="N9" s="446">
        <f>SUM(K9:M9)</f>
        <v>9245226.1866945904</v>
      </c>
    </row>
    <row r="10" spans="1:16" x14ac:dyDescent="0.25">
      <c r="C10" s="15"/>
      <c r="E10" s="21"/>
      <c r="F10" s="21"/>
      <c r="G10" s="6"/>
      <c r="J10" s="23" t="s">
        <v>584</v>
      </c>
      <c r="K10" s="2">
        <f>(K7+K9)*$K3</f>
        <v>560357.9961877747</v>
      </c>
      <c r="L10" s="2">
        <f>(L7+L9)*$L3</f>
        <v>416372.9344814021</v>
      </c>
      <c r="M10" s="2">
        <f>(M7+M9)*$M3</f>
        <v>312642.78015706094</v>
      </c>
      <c r="N10" s="446">
        <f>SUM(K10:M10)</f>
        <v>1289373.7108262377</v>
      </c>
    </row>
    <row r="11" spans="1:16" x14ac:dyDescent="0.25">
      <c r="A11" s="1" t="s">
        <v>585</v>
      </c>
      <c r="C11" s="15"/>
      <c r="E11" s="21"/>
      <c r="F11" s="21"/>
      <c r="G11" s="6"/>
      <c r="J11" s="448" t="s">
        <v>586</v>
      </c>
      <c r="K11" s="281">
        <f>SUM(K7,K9)*$K4</f>
        <v>1515041.9896928722</v>
      </c>
      <c r="L11" s="281">
        <f>SUM(L7,L9)*$L4</f>
        <v>1665491.7379256084</v>
      </c>
      <c r="M11" s="281">
        <f>SUM(M7,M9)*$M4</f>
        <v>1771642.4208900121</v>
      </c>
      <c r="N11" s="449">
        <f>SUM(K11:M11)</f>
        <v>4952176.1485084929</v>
      </c>
    </row>
    <row r="12" spans="1:16" x14ac:dyDescent="0.25">
      <c r="A12" s="1" t="s">
        <v>587</v>
      </c>
      <c r="F12" s="21"/>
      <c r="G12" s="21"/>
      <c r="J12" s="229" t="s">
        <v>588</v>
      </c>
      <c r="K12" s="265">
        <f>SUM(K7:K11)</f>
        <v>45583399.703493588</v>
      </c>
      <c r="L12" s="265">
        <f>SUM(L7:L11)</f>
        <v>45719158.120547228</v>
      </c>
      <c r="M12" s="265">
        <f>SUM(M7:M11)</f>
        <v>45769989.221988529</v>
      </c>
      <c r="N12" s="446">
        <f>SUM(N7:N11)</f>
        <v>137072547.04602933</v>
      </c>
      <c r="O12" s="2"/>
      <c r="P12" s="2"/>
    </row>
    <row r="13" spans="1:16" x14ac:dyDescent="0.25">
      <c r="A13" s="1" t="s">
        <v>589</v>
      </c>
      <c r="F13" s="21"/>
      <c r="G13" s="21"/>
      <c r="J13" s="23"/>
      <c r="K13" s="2"/>
      <c r="L13" s="2"/>
      <c r="M13" s="2"/>
      <c r="N13" s="446"/>
      <c r="O13" s="2"/>
      <c r="P13" s="2"/>
    </row>
    <row r="14" spans="1:16" x14ac:dyDescent="0.25">
      <c r="F14" s="21"/>
      <c r="G14" s="21"/>
      <c r="J14" s="23" t="s">
        <v>590</v>
      </c>
      <c r="K14" s="2">
        <v>1103248</v>
      </c>
      <c r="L14" s="2">
        <v>1018531</v>
      </c>
      <c r="M14" s="2">
        <v>605203</v>
      </c>
      <c r="N14" s="446">
        <f>SUM(K14:M14)</f>
        <v>2726982</v>
      </c>
    </row>
    <row r="15" spans="1:16" x14ac:dyDescent="0.25">
      <c r="A15" s="60" t="s">
        <v>591</v>
      </c>
      <c r="B15" s="307"/>
      <c r="C15" s="15"/>
      <c r="E15" s="15"/>
      <c r="F15" s="21"/>
      <c r="G15" s="15"/>
      <c r="J15" s="23" t="s">
        <v>592</v>
      </c>
      <c r="K15" s="2">
        <v>6000</v>
      </c>
      <c r="L15" s="2">
        <v>6120</v>
      </c>
      <c r="M15" s="2">
        <v>6242.4000000000005</v>
      </c>
      <c r="N15" s="446">
        <f>SUM(K15:M15)</f>
        <v>18362.400000000001</v>
      </c>
    </row>
    <row r="16" spans="1:16" x14ac:dyDescent="0.25">
      <c r="A16" s="488" t="s">
        <v>593</v>
      </c>
      <c r="B16" s="724">
        <f>-'EEC Uncollectibles'!E25</f>
        <v>-131221.91337702473</v>
      </c>
      <c r="C16" s="15"/>
      <c r="D16" s="15"/>
      <c r="E16" s="15"/>
      <c r="F16" s="21"/>
      <c r="G16" s="21"/>
      <c r="J16" s="23" t="s">
        <v>594</v>
      </c>
      <c r="K16" s="2">
        <v>21500</v>
      </c>
      <c r="L16" s="2">
        <v>21930</v>
      </c>
      <c r="M16" s="2">
        <v>22368.600000000002</v>
      </c>
      <c r="N16" s="446">
        <f>SUM(K16:M16)</f>
        <v>65798.600000000006</v>
      </c>
      <c r="O16" s="2"/>
      <c r="P16" s="15"/>
    </row>
    <row r="17" spans="1:19" x14ac:dyDescent="0.25">
      <c r="A17" s="488" t="s">
        <v>595</v>
      </c>
      <c r="B17" s="724">
        <f>-'EEC Uncollectibles'!F25</f>
        <v>68160.52146898878</v>
      </c>
      <c r="F17" s="1" t="s">
        <v>596</v>
      </c>
      <c r="J17" s="23" t="s">
        <v>597</v>
      </c>
      <c r="K17" s="2">
        <v>22638.908159999999</v>
      </c>
      <c r="L17" s="2">
        <v>23091.6863232</v>
      </c>
      <c r="M17" s="2">
        <v>23553.520049663999</v>
      </c>
      <c r="N17" s="446">
        <f>SUM(K17:M17)</f>
        <v>69284.114532863998</v>
      </c>
      <c r="O17" s="2"/>
    </row>
    <row r="18" spans="1:19" x14ac:dyDescent="0.25">
      <c r="A18" s="489" t="s">
        <v>63</v>
      </c>
      <c r="B18" s="888">
        <f>IF(F18=1,'2023 Rate Factors'!B18+'2023 Rate Factors'!B19+'2023 Rate Factors'!B21+'2023 Rate Factors'!B22,0)</f>
        <v>0</v>
      </c>
      <c r="C18" s="15"/>
      <c r="D18" s="15"/>
      <c r="F18" s="725">
        <v>0</v>
      </c>
      <c r="G18" s="21"/>
      <c r="J18" s="448" t="s">
        <v>598</v>
      </c>
      <c r="K18" s="281">
        <v>25514.28</v>
      </c>
      <c r="L18" s="281">
        <v>26024.565599999998</v>
      </c>
      <c r="M18" s="281">
        <v>26545.056912</v>
      </c>
      <c r="N18" s="449">
        <f>SUM(K18:M18)</f>
        <v>78083.902512000001</v>
      </c>
      <c r="O18" s="2"/>
      <c r="P18" s="2"/>
    </row>
    <row r="19" spans="1:19" x14ac:dyDescent="0.25">
      <c r="A19" s="279" t="s">
        <v>599</v>
      </c>
      <c r="B19" s="256">
        <f>B9+SUM(B16:B18)</f>
        <v>46390840.407042161</v>
      </c>
      <c r="C19" s="15"/>
      <c r="D19" s="15"/>
      <c r="E19" s="15"/>
      <c r="F19" s="21"/>
      <c r="G19" s="21"/>
      <c r="J19" s="229" t="s">
        <v>600</v>
      </c>
      <c r="K19" s="265">
        <f>SUM(K14:K18)</f>
        <v>1178901.1881600001</v>
      </c>
      <c r="L19" s="265">
        <f>SUM(L14:L18)</f>
        <v>1095697.2519232</v>
      </c>
      <c r="M19" s="265">
        <f>SUM(M14:M18)</f>
        <v>683912.57696166402</v>
      </c>
      <c r="N19" s="446">
        <f>SUM(N14:N18)</f>
        <v>2958511.0170448641</v>
      </c>
      <c r="O19" s="2"/>
      <c r="P19" s="2"/>
    </row>
    <row r="20" spans="1:19" x14ac:dyDescent="0.25">
      <c r="B20" s="15"/>
      <c r="C20" s="15"/>
      <c r="D20" s="15"/>
      <c r="E20" s="15"/>
      <c r="G20" s="21"/>
      <c r="I20" s="170"/>
      <c r="J20" s="23"/>
      <c r="K20" s="2"/>
      <c r="L20" s="2"/>
      <c r="M20" s="2"/>
      <c r="N20" s="450"/>
      <c r="O20" s="2"/>
    </row>
    <row r="21" spans="1:19" x14ac:dyDescent="0.25">
      <c r="A21" s="60" t="s">
        <v>601</v>
      </c>
      <c r="B21" s="15"/>
      <c r="C21" s="15"/>
      <c r="D21" s="15"/>
      <c r="E21" s="15"/>
      <c r="G21" s="21"/>
      <c r="I21" s="170"/>
      <c r="J21" s="229" t="s">
        <v>602</v>
      </c>
      <c r="K21" s="265">
        <f>K19+K12</f>
        <v>46762300.89165359</v>
      </c>
      <c r="L21" s="265">
        <f>L19+L12</f>
        <v>46814855.372470431</v>
      </c>
      <c r="M21" s="265">
        <f>M19+M12</f>
        <v>46453901.798950195</v>
      </c>
      <c r="N21" s="446">
        <f>N19+N12</f>
        <v>140031058.0630742</v>
      </c>
      <c r="O21" s="2"/>
    </row>
    <row r="22" spans="1:19" x14ac:dyDescent="0.25">
      <c r="A22" s="486" t="s">
        <v>603</v>
      </c>
      <c r="B22" s="424">
        <f>-'EEC Collection True-Up'!J17*F23</f>
        <v>-199052.40474708145</v>
      </c>
      <c r="C22" s="15"/>
      <c r="D22" s="15"/>
      <c r="E22" s="15"/>
      <c r="F22" s="1" t="s">
        <v>604</v>
      </c>
      <c r="I22" s="280"/>
      <c r="J22" s="205"/>
      <c r="K22" s="451"/>
      <c r="L22" s="451"/>
      <c r="M22" s="451"/>
      <c r="N22" s="452"/>
      <c r="O22" s="2"/>
    </row>
    <row r="23" spans="1:19" x14ac:dyDescent="0.25">
      <c r="A23" s="28" t="s">
        <v>605</v>
      </c>
      <c r="B23" s="15">
        <f>B$22*H61</f>
        <v>-102032.62957983425</v>
      </c>
      <c r="C23" s="15"/>
      <c r="D23" s="15">
        <f>B23+B30</f>
        <v>-220372.80549724039</v>
      </c>
      <c r="E23" s="15"/>
      <c r="F23" s="915">
        <f>1-'EEC Rates Report'!J$33</f>
        <v>0.5</v>
      </c>
      <c r="G23" s="456"/>
      <c r="O23" s="2"/>
    </row>
    <row r="24" spans="1:19" x14ac:dyDescent="0.25">
      <c r="A24" s="28" t="s">
        <v>606</v>
      </c>
      <c r="B24" s="15">
        <f t="shared" ref="B24:B25" si="0">B$22*H62</f>
        <v>-74618.178332172538</v>
      </c>
      <c r="C24" s="15"/>
      <c r="D24" s="15">
        <f>B24+B31</f>
        <v>-161162.33961497564</v>
      </c>
      <c r="E24" s="15"/>
      <c r="F24" s="456"/>
      <c r="G24" s="456"/>
      <c r="K24" s="2"/>
      <c r="L24" s="2"/>
      <c r="M24" s="2"/>
      <c r="N24" s="2"/>
      <c r="O24" s="2"/>
    </row>
    <row r="25" spans="1:19" x14ac:dyDescent="0.25">
      <c r="A25" s="485" t="s">
        <v>607</v>
      </c>
      <c r="B25" s="31">
        <f t="shared" si="0"/>
        <v>-22401.596835074688</v>
      </c>
      <c r="C25" s="15"/>
      <c r="D25" s="15">
        <f>B25+B32</f>
        <v>-48383.568692609697</v>
      </c>
      <c r="F25" s="456"/>
      <c r="G25" s="456"/>
      <c r="K25" s="2"/>
      <c r="L25" s="2"/>
      <c r="M25" s="2"/>
      <c r="N25" s="2"/>
      <c r="O25" s="2"/>
    </row>
    <row r="26" spans="1:19" x14ac:dyDescent="0.25">
      <c r="A26" s="487" t="s">
        <v>608</v>
      </c>
      <c r="B26" s="256">
        <f>SUM(B23:B25)</f>
        <v>-199052.40474708148</v>
      </c>
      <c r="C26" s="15"/>
      <c r="D26" s="15">
        <f>D25+D23</f>
        <v>-268756.37418985006</v>
      </c>
      <c r="F26" s="21"/>
      <c r="G26" s="21"/>
      <c r="H26" s="15"/>
      <c r="K26" s="2"/>
      <c r="L26" s="2"/>
      <c r="M26" s="2"/>
      <c r="N26" s="2"/>
      <c r="O26" s="2"/>
    </row>
    <row r="27" spans="1:19" x14ac:dyDescent="0.25">
      <c r="A27" s="28"/>
      <c r="B27" s="256"/>
      <c r="C27" s="15"/>
      <c r="D27" s="15"/>
      <c r="F27" s="21"/>
      <c r="G27" s="21"/>
      <c r="H27" s="15"/>
      <c r="K27" s="2"/>
      <c r="L27" s="2"/>
      <c r="M27" s="2"/>
      <c r="N27" s="2"/>
    </row>
    <row r="28" spans="1:19" x14ac:dyDescent="0.25">
      <c r="A28" s="60" t="s">
        <v>609</v>
      </c>
      <c r="B28" s="15"/>
      <c r="C28" s="15"/>
      <c r="D28" s="15"/>
      <c r="F28" s="21"/>
      <c r="G28" s="21"/>
      <c r="K28" s="2"/>
      <c r="L28" s="2"/>
      <c r="M28" s="2"/>
      <c r="N28" s="2"/>
    </row>
    <row r="29" spans="1:19" x14ac:dyDescent="0.25">
      <c r="A29" s="486" t="s">
        <v>610</v>
      </c>
      <c r="B29" s="424">
        <f>-'EEC Collection True-Up'!J33*F30</f>
        <v>-230866.30905774422</v>
      </c>
      <c r="C29" s="15"/>
      <c r="D29" s="15"/>
      <c r="F29" s="1" t="s">
        <v>611</v>
      </c>
      <c r="G29" s="21"/>
      <c r="K29" s="2"/>
      <c r="L29" s="2"/>
      <c r="M29" s="2"/>
      <c r="N29" s="2"/>
      <c r="O29" s="2"/>
    </row>
    <row r="30" spans="1:19" x14ac:dyDescent="0.25">
      <c r="A30" s="28" t="s">
        <v>605</v>
      </c>
      <c r="B30" s="15">
        <f>B$29*H61</f>
        <v>-118340.17591740613</v>
      </c>
      <c r="C30" s="15"/>
      <c r="D30" s="15">
        <f>B23+B30+B37+B43</f>
        <v>-449007.63464279915</v>
      </c>
      <c r="E30" s="15">
        <f>-D30</f>
        <v>449007.63464279915</v>
      </c>
      <c r="F30" s="915">
        <f>1-'EEC Rates Report'!J$33</f>
        <v>0.5</v>
      </c>
      <c r="G30" s="21"/>
      <c r="J30" s="40"/>
      <c r="K30" s="281"/>
      <c r="L30" s="2"/>
      <c r="M30" s="2"/>
      <c r="N30" s="2"/>
      <c r="O30" s="15"/>
      <c r="Q30" s="2"/>
      <c r="R30" s="2"/>
      <c r="S30" s="2"/>
    </row>
    <row r="31" spans="1:19" x14ac:dyDescent="0.25">
      <c r="A31" s="28" t="s">
        <v>606</v>
      </c>
      <c r="B31" s="15">
        <f t="shared" ref="B31:B32" si="1">B$29*H62</f>
        <v>-86544.161282803107</v>
      </c>
      <c r="C31" s="15"/>
      <c r="D31" s="15">
        <f t="shared" ref="D31:D32" si="2">B24+B31+B38+B44</f>
        <v>-340555.44979002606</v>
      </c>
      <c r="E31" s="15">
        <f t="shared" ref="E31:E32" si="3">-D31</f>
        <v>340555.44979002606</v>
      </c>
      <c r="F31" s="43"/>
      <c r="G31" s="21"/>
      <c r="K31" s="2"/>
      <c r="L31" s="2"/>
      <c r="M31" s="2"/>
      <c r="N31" s="2"/>
      <c r="O31" s="15"/>
      <c r="Q31" s="2"/>
      <c r="R31" s="2"/>
      <c r="S31" s="2"/>
    </row>
    <row r="32" spans="1:19" x14ac:dyDescent="0.25">
      <c r="A32" s="485" t="s">
        <v>607</v>
      </c>
      <c r="B32" s="31">
        <f t="shared" si="1"/>
        <v>-25981.971857535005</v>
      </c>
      <c r="C32" s="15"/>
      <c r="D32" s="31">
        <f t="shared" si="2"/>
        <v>-102240.31270533382</v>
      </c>
      <c r="E32" s="15">
        <f t="shared" si="3"/>
        <v>102240.31270533382</v>
      </c>
      <c r="F32" s="43"/>
      <c r="G32" s="21"/>
      <c r="H32" s="15"/>
      <c r="K32" s="2"/>
      <c r="L32" s="2"/>
      <c r="M32" s="2"/>
      <c r="N32" s="2"/>
      <c r="O32" s="15"/>
      <c r="Q32" s="2"/>
      <c r="R32" s="2"/>
      <c r="S32" s="2"/>
    </row>
    <row r="33" spans="1:47" x14ac:dyDescent="0.25">
      <c r="A33" s="487" t="s">
        <v>612</v>
      </c>
      <c r="B33" s="256">
        <f>SUM(B30:B32)</f>
        <v>-230866.30905774425</v>
      </c>
      <c r="C33" s="15"/>
      <c r="D33" s="15">
        <f>SUM(D30:D32)</f>
        <v>-891803.39713815902</v>
      </c>
      <c r="E33" s="1" t="s">
        <v>613</v>
      </c>
      <c r="G33" s="21"/>
      <c r="H33" s="15"/>
      <c r="K33" s="2"/>
      <c r="L33" s="2"/>
      <c r="M33" s="2"/>
      <c r="N33" s="2"/>
      <c r="O33" s="15"/>
      <c r="Q33" s="2"/>
      <c r="R33" s="2"/>
      <c r="S33" s="2"/>
    </row>
    <row r="34" spans="1:47" x14ac:dyDescent="0.25">
      <c r="A34" s="28"/>
      <c r="B34" s="256"/>
      <c r="C34" s="15"/>
      <c r="D34" s="15">
        <f>D33*1.01025</f>
        <v>-900944.38195882528</v>
      </c>
      <c r="F34" s="15"/>
      <c r="G34" s="21"/>
      <c r="H34" s="15"/>
      <c r="K34" s="2"/>
      <c r="L34" s="2"/>
      <c r="M34" s="2"/>
      <c r="N34" s="2"/>
      <c r="O34" s="2"/>
    </row>
    <row r="35" spans="1:47" x14ac:dyDescent="0.25">
      <c r="A35" s="491" t="s">
        <v>614</v>
      </c>
      <c r="E35" s="20"/>
      <c r="F35" s="15"/>
      <c r="G35" s="21"/>
      <c r="K35" s="2"/>
      <c r="L35" s="2"/>
      <c r="M35" s="2"/>
      <c r="N35" s="2"/>
      <c r="O35" s="2"/>
    </row>
    <row r="36" spans="1:47" x14ac:dyDescent="0.25">
      <c r="A36" s="490" t="s">
        <v>615</v>
      </c>
      <c r="B36" s="480">
        <f>('2023 Rate Factors'!B23-'2023 Rate Factors'!B20)*F37</f>
        <v>-478551.35</v>
      </c>
      <c r="C36" s="15"/>
      <c r="F36" s="1" t="s">
        <v>616</v>
      </c>
      <c r="G36" s="21"/>
      <c r="J36" s="6"/>
      <c r="K36" s="265"/>
      <c r="L36" s="265"/>
      <c r="M36" s="265"/>
      <c r="N36" s="2"/>
      <c r="O36" s="2"/>
    </row>
    <row r="37" spans="1:47" x14ac:dyDescent="0.25">
      <c r="A37" s="28" t="s">
        <v>605</v>
      </c>
      <c r="B37" s="15">
        <f>B$36*H61</f>
        <v>-245301.49581222545</v>
      </c>
      <c r="C37" s="15"/>
      <c r="D37" s="15">
        <v>-1783606.794276318</v>
      </c>
      <c r="F37" s="915">
        <f>1-'EEC Rates Report'!J$33</f>
        <v>0.5</v>
      </c>
      <c r="G37" s="21"/>
      <c r="N37" s="284"/>
      <c r="O37" s="2"/>
    </row>
    <row r="38" spans="1:47" x14ac:dyDescent="0.25">
      <c r="A38" s="28" t="s">
        <v>606</v>
      </c>
      <c r="B38" s="15">
        <f t="shared" ref="B38:B39" si="4">B$36*H62</f>
        <v>-179393.11017505045</v>
      </c>
      <c r="C38" s="15"/>
      <c r="D38" s="15">
        <f>D37-D33</f>
        <v>-891803.39713815902</v>
      </c>
      <c r="E38" s="1" t="s">
        <v>617</v>
      </c>
      <c r="F38" s="15"/>
      <c r="G38" s="21"/>
      <c r="K38" s="15"/>
      <c r="L38" s="15"/>
      <c r="M38" s="15"/>
      <c r="N38" s="285"/>
      <c r="O38" s="15"/>
      <c r="P38" s="15"/>
    </row>
    <row r="39" spans="1:47" x14ac:dyDescent="0.25">
      <c r="A39" s="485" t="s">
        <v>607</v>
      </c>
      <c r="B39" s="31">
        <f t="shared" si="4"/>
        <v>-53856.744012724128</v>
      </c>
      <c r="C39" s="15"/>
      <c r="F39" s="15"/>
      <c r="K39" s="16"/>
      <c r="L39" s="15"/>
      <c r="M39" s="265"/>
      <c r="N39" s="6"/>
      <c r="O39" s="15"/>
      <c r="P39" s="15"/>
    </row>
    <row r="40" spans="1:47" x14ac:dyDescent="0.25">
      <c r="A40" s="490" t="s">
        <v>618</v>
      </c>
      <c r="B40" s="457">
        <f>SUM(B37:B39)</f>
        <v>-478551.35000000003</v>
      </c>
      <c r="C40" s="15"/>
      <c r="F40" s="15"/>
      <c r="K40" s="16"/>
      <c r="L40" s="15"/>
      <c r="M40" s="265"/>
      <c r="N40" s="6"/>
      <c r="O40" s="15"/>
      <c r="P40" s="15"/>
    </row>
    <row r="41" spans="1:47" x14ac:dyDescent="0.25">
      <c r="A41" s="490"/>
      <c r="B41" s="256"/>
      <c r="C41" s="15"/>
      <c r="F41" s="43"/>
      <c r="K41" s="16"/>
      <c r="L41" s="15"/>
      <c r="M41" s="265"/>
      <c r="N41" s="6"/>
      <c r="O41" s="15"/>
      <c r="P41" s="15"/>
    </row>
    <row r="42" spans="1:47" x14ac:dyDescent="0.25">
      <c r="A42" s="491" t="s">
        <v>771</v>
      </c>
      <c r="B42" s="256">
        <f>'2023 Rate Factors'!B20*F43</f>
        <v>16666.666666666668</v>
      </c>
      <c r="C42" s="15"/>
      <c r="F42" s="1" t="s">
        <v>619</v>
      </c>
      <c r="K42" s="16"/>
      <c r="L42" s="15"/>
      <c r="M42" s="265"/>
      <c r="N42" s="6"/>
      <c r="O42" s="15"/>
      <c r="P42" s="15"/>
    </row>
    <row r="43" spans="1:47" x14ac:dyDescent="0.25">
      <c r="A43" s="28" t="s">
        <v>605</v>
      </c>
      <c r="B43" s="15">
        <f>B42*1</f>
        <v>16666.666666666668</v>
      </c>
      <c r="C43" s="15"/>
      <c r="F43" s="915">
        <f>1-'EEC Rates Report'!J$33</f>
        <v>0.5</v>
      </c>
      <c r="G43" s="21"/>
      <c r="K43" s="16"/>
      <c r="L43" s="15"/>
      <c r="M43" s="265"/>
      <c r="N43" s="6"/>
      <c r="O43" s="15"/>
      <c r="P43" s="15"/>
    </row>
    <row r="44" spans="1:47" x14ac:dyDescent="0.25">
      <c r="A44" s="28" t="s">
        <v>606</v>
      </c>
      <c r="B44" s="15">
        <f>B42*0</f>
        <v>0</v>
      </c>
      <c r="C44" s="15"/>
      <c r="F44" s="43"/>
      <c r="K44" s="16"/>
      <c r="L44" s="15"/>
      <c r="M44" s="265"/>
      <c r="N44" s="6"/>
      <c r="O44" s="15"/>
      <c r="P44" s="15"/>
    </row>
    <row r="45" spans="1:47" x14ac:dyDescent="0.25">
      <c r="A45" s="485" t="s">
        <v>607</v>
      </c>
      <c r="B45" s="31">
        <f>B42*0</f>
        <v>0</v>
      </c>
      <c r="C45" s="15"/>
      <c r="F45" s="43"/>
    </row>
    <row r="46" spans="1:47" x14ac:dyDescent="0.25">
      <c r="A46" s="490" t="s">
        <v>618</v>
      </c>
      <c r="B46" s="457">
        <f>SUM(B43:B45)</f>
        <v>16666.666666666668</v>
      </c>
      <c r="C46" s="15"/>
      <c r="D46" s="15"/>
      <c r="E46" s="15"/>
      <c r="F46" s="21"/>
    </row>
    <row r="47" spans="1:47" x14ac:dyDescent="0.25">
      <c r="A47" s="490"/>
      <c r="B47" s="256"/>
      <c r="C47" s="15"/>
      <c r="D47" s="15"/>
      <c r="E47" s="15"/>
      <c r="F47" s="21"/>
    </row>
    <row r="48" spans="1:47" s="6" customFormat="1" x14ac:dyDescent="0.25">
      <c r="A48" s="6" t="s">
        <v>620</v>
      </c>
      <c r="B48" s="256">
        <f>+B33+B26+B19+B40+B46</f>
        <v>45499037.009903997</v>
      </c>
      <c r="C48" s="256"/>
      <c r="D48" s="256"/>
      <c r="E48" s="15"/>
      <c r="F48" s="21"/>
      <c r="G48" s="15"/>
      <c r="H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row>
    <row r="49" spans="1:47" s="6" customFormat="1" x14ac:dyDescent="0.25">
      <c r="A49" s="40" t="s">
        <v>621</v>
      </c>
      <c r="B49" s="31">
        <f>B48*0.01025</f>
        <v>466365.12935151596</v>
      </c>
      <c r="C49" s="31"/>
      <c r="D49" s="31"/>
      <c r="E49" s="31"/>
      <c r="F49" s="18"/>
      <c r="G49" s="58"/>
      <c r="H49" s="21"/>
    </row>
    <row r="50" spans="1:47" s="6" customFormat="1" ht="15.75" thickBot="1" x14ac:dyDescent="0.3">
      <c r="A50" s="32" t="s">
        <v>622</v>
      </c>
      <c r="B50" s="257">
        <f>SUM(B48:B49)</f>
        <v>45965402.139255516</v>
      </c>
      <c r="C50" s="256"/>
      <c r="D50" s="256"/>
      <c r="E50" s="15"/>
      <c r="F50" s="15"/>
      <c r="G50" s="15"/>
      <c r="H50" s="21"/>
    </row>
    <row r="51" spans="1:47" s="6" customFormat="1" ht="15.75" thickTop="1" x14ac:dyDescent="0.25">
      <c r="B51" s="256"/>
      <c r="C51" s="256"/>
      <c r="D51" s="256"/>
      <c r="E51" s="15"/>
      <c r="F51" s="15"/>
      <c r="G51" s="15"/>
      <c r="H51" s="21"/>
    </row>
    <row r="52" spans="1:47" s="6" customFormat="1" x14ac:dyDescent="0.25">
      <c r="B52" s="256">
        <f>B50-B46</f>
        <v>45948735.472588852</v>
      </c>
      <c r="C52" s="256"/>
      <c r="D52" s="256"/>
      <c r="E52" s="15"/>
      <c r="F52" s="15"/>
      <c r="G52" s="15"/>
      <c r="H52" s="21"/>
    </row>
    <row r="53" spans="1:47" s="6" customFormat="1" x14ac:dyDescent="0.25">
      <c r="A53" s="807" t="s">
        <v>623</v>
      </c>
      <c r="B53" s="726">
        <f>'Projected NM Rev '!D10/'EEC Calculation'!B52</f>
        <v>2.6046011723403848E-2</v>
      </c>
      <c r="C53" s="256"/>
      <c r="D53" s="256"/>
      <c r="E53" s="21"/>
      <c r="F53" s="15"/>
      <c r="G53" s="15"/>
      <c r="H53" s="21"/>
    </row>
    <row r="54" spans="1:47" s="6" customFormat="1" x14ac:dyDescent="0.25">
      <c r="C54" s="21"/>
      <c r="D54" s="256"/>
      <c r="E54" s="21"/>
      <c r="F54" s="21"/>
      <c r="G54" s="21"/>
      <c r="H54" s="21"/>
      <c r="Q54" s="169"/>
    </row>
    <row r="55" spans="1:47" x14ac:dyDescent="0.25">
      <c r="A55" s="1020"/>
      <c r="B55" s="1020"/>
      <c r="C55" s="1020"/>
      <c r="D55" s="1020"/>
      <c r="E55" s="1020"/>
      <c r="F55" s="1020"/>
      <c r="G55" s="1020"/>
      <c r="I55" s="1" t="s">
        <v>624</v>
      </c>
      <c r="J55" s="6"/>
      <c r="Q55" s="169"/>
      <c r="R55" s="25"/>
      <c r="S55" s="25"/>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row>
    <row r="56" spans="1:47" ht="12.75" customHeight="1" x14ac:dyDescent="0.25">
      <c r="I56" s="1" t="s">
        <v>625</v>
      </c>
      <c r="Q56" s="15"/>
      <c r="R56" s="15"/>
      <c r="S56" s="15"/>
    </row>
    <row r="57" spans="1:47" x14ac:dyDescent="0.25">
      <c r="B57" s="1007" t="s">
        <v>626</v>
      </c>
      <c r="C57" s="1008"/>
      <c r="D57" s="1008"/>
      <c r="E57" s="1008"/>
      <c r="F57" s="1008"/>
      <c r="G57" s="1009"/>
      <c r="I57" s="1" t="s">
        <v>627</v>
      </c>
      <c r="Q57" s="15"/>
      <c r="R57" s="15"/>
      <c r="S57" s="15"/>
    </row>
    <row r="58" spans="1:47" x14ac:dyDescent="0.25">
      <c r="A58" s="6" t="s">
        <v>628</v>
      </c>
      <c r="B58" s="258" t="s">
        <v>629</v>
      </c>
      <c r="C58" s="258">
        <v>2023</v>
      </c>
      <c r="D58" s="258">
        <v>2021</v>
      </c>
      <c r="E58" s="33">
        <v>2022</v>
      </c>
      <c r="F58" s="33" t="s">
        <v>63</v>
      </c>
      <c r="G58" s="258" t="s">
        <v>629</v>
      </c>
      <c r="H58" s="654" t="s">
        <v>630</v>
      </c>
      <c r="K58" s="7"/>
      <c r="Q58" s="15"/>
    </row>
    <row r="59" spans="1:47" x14ac:dyDescent="0.25">
      <c r="B59" s="258" t="s">
        <v>631</v>
      </c>
      <c r="C59" s="33" t="s">
        <v>632</v>
      </c>
      <c r="D59" s="33" t="s">
        <v>553</v>
      </c>
      <c r="E59" s="33" t="s">
        <v>553</v>
      </c>
      <c r="F59" s="33" t="s">
        <v>633</v>
      </c>
      <c r="G59" s="258" t="s">
        <v>631</v>
      </c>
      <c r="H59" s="258" t="s">
        <v>634</v>
      </c>
      <c r="J59" s="654" t="s">
        <v>635</v>
      </c>
      <c r="K59" s="1018" t="s">
        <v>636</v>
      </c>
      <c r="L59" s="1019"/>
    </row>
    <row r="60" spans="1:47" ht="15.75" thickBot="1" x14ac:dyDescent="0.3">
      <c r="A60" s="1" t="s">
        <v>637</v>
      </c>
      <c r="B60" s="259" t="s">
        <v>638</v>
      </c>
      <c r="C60" s="34" t="s">
        <v>639</v>
      </c>
      <c r="D60" s="34" t="s">
        <v>400</v>
      </c>
      <c r="E60" s="34" t="s">
        <v>400</v>
      </c>
      <c r="F60" s="34" t="s">
        <v>640</v>
      </c>
      <c r="G60" s="259" t="s">
        <v>638</v>
      </c>
      <c r="H60" s="259" t="s">
        <v>152</v>
      </c>
      <c r="J60" s="659">
        <v>1</v>
      </c>
      <c r="K60" s="658" t="s">
        <v>755</v>
      </c>
      <c r="L60" s="554" t="s">
        <v>201</v>
      </c>
    </row>
    <row r="61" spans="1:47" x14ac:dyDescent="0.25">
      <c r="A61" s="1" t="s">
        <v>16</v>
      </c>
      <c r="B61" s="260">
        <f>SUM(C61:G61)</f>
        <v>23284981.665885437</v>
      </c>
      <c r="C61" s="891">
        <f>-'Fixed Fee'!B61/1.01025</f>
        <v>-45574.885914188024</v>
      </c>
      <c r="D61" s="891">
        <f>B23</f>
        <v>-102032.62957983425</v>
      </c>
      <c r="E61" s="891">
        <f>B30</f>
        <v>-118340.17591740613</v>
      </c>
      <c r="F61" s="891">
        <f>B37+B43</f>
        <v>-228634.82914555879</v>
      </c>
      <c r="G61" s="891">
        <f>$B$19*H61</f>
        <v>23779564.186442424</v>
      </c>
      <c r="H61" s="889">
        <f>IF(J$60=1,L61,IF(J$60=2,N61,IF(J$60=3,P61,IF(J$60=4,R61,))))</f>
        <v>0.51259179566043533</v>
      </c>
      <c r="I61" s="16"/>
      <c r="J61" s="460" t="s">
        <v>16</v>
      </c>
      <c r="K61" s="729">
        <f>'Util Rev and Load Data'!D42</f>
        <v>400600666.46504444</v>
      </c>
      <c r="L61" s="660">
        <f>K61/SUM(K$61:K$63)</f>
        <v>0.51259179566043533</v>
      </c>
    </row>
    <row r="62" spans="1:47" x14ac:dyDescent="0.25">
      <c r="A62" s="1" t="s">
        <v>641</v>
      </c>
      <c r="B62" s="260">
        <f>SUM(C62:G62)</f>
        <v>17018599.569692522</v>
      </c>
      <c r="C62" s="891">
        <f>-'Fixed Fee'!D62/1.01025</f>
        <v>-31240.2730052814</v>
      </c>
      <c r="D62" s="891">
        <f>B24</f>
        <v>-74618.178332172538</v>
      </c>
      <c r="E62" s="891">
        <f>B31</f>
        <v>-86544.161282803107</v>
      </c>
      <c r="F62" s="891">
        <f t="shared" ref="F62:F63" si="5">B38+B44</f>
        <v>-179393.11017505045</v>
      </c>
      <c r="G62" s="891">
        <f>$B$19*H62</f>
        <v>17390395.29248783</v>
      </c>
      <c r="H62" s="889">
        <f>IF(J$60=1,L62,IF(J$60=2,N62,IF(J$60=3,P62,IF(J$60=4,R62,))))</f>
        <v>0.37486700262166317</v>
      </c>
      <c r="I62" s="16"/>
      <c r="J62" s="460" t="s">
        <v>76</v>
      </c>
      <c r="K62" s="729">
        <f>'Util Rev and Load Data'!P42</f>
        <v>292966006.00582522</v>
      </c>
      <c r="L62" s="660">
        <f>K62/SUM(K$61:K$63)</f>
        <v>0.37486700262166317</v>
      </c>
    </row>
    <row r="63" spans="1:47" x14ac:dyDescent="0.25">
      <c r="A63" s="1" t="s">
        <v>52</v>
      </c>
      <c r="B63" s="261">
        <f>SUM(C63:G63)</f>
        <v>5077835.3297898835</v>
      </c>
      <c r="C63" s="892">
        <f>-'Fixed Fee'!F62/1.01025</f>
        <v>-40805.285616695393</v>
      </c>
      <c r="D63" s="892">
        <f>B25</f>
        <v>-22401.596835074688</v>
      </c>
      <c r="E63" s="892">
        <f>B32</f>
        <v>-25981.971857535005</v>
      </c>
      <c r="F63" s="892">
        <f t="shared" si="5"/>
        <v>-53856.744012724128</v>
      </c>
      <c r="G63" s="892">
        <f>$B$19*H63</f>
        <v>5220880.9281119127</v>
      </c>
      <c r="H63" s="890">
        <f>IF(J$60=1,L63,IF(J$60=2,N63,IF(J$60=3,P63,IF(J$60=4,R63,))))</f>
        <v>0.11254120171790161</v>
      </c>
      <c r="I63" s="16"/>
      <c r="J63" s="460" t="s">
        <v>52</v>
      </c>
      <c r="K63" s="730">
        <f>+'Util Rev and Load Data'!AA42</f>
        <v>87953183.789999992</v>
      </c>
      <c r="L63" s="661">
        <f>K63/SUM(K$61:K$63)</f>
        <v>0.11254120171790161</v>
      </c>
    </row>
    <row r="64" spans="1:47" x14ac:dyDescent="0.25">
      <c r="A64" s="1" t="s">
        <v>642</v>
      </c>
      <c r="B64" s="260">
        <f>SUM(D64:G64)</f>
        <v>22168480.458104379</v>
      </c>
      <c r="C64" s="891">
        <f>SUM(C61:C63)</f>
        <v>-117620.44453616481</v>
      </c>
      <c r="D64" s="891">
        <f>+D63+D62</f>
        <v>-97019.775167247222</v>
      </c>
      <c r="E64" s="891">
        <f>+E63+E62</f>
        <v>-112526.13314033812</v>
      </c>
      <c r="F64" s="891">
        <f>+F63+F62</f>
        <v>-233249.85418777459</v>
      </c>
      <c r="G64" s="891">
        <f>+G63+G62</f>
        <v>22611276.220599741</v>
      </c>
      <c r="H64" s="889">
        <f>SUM(H62:H63)</f>
        <v>0.48740820433956478</v>
      </c>
      <c r="J64" s="644"/>
      <c r="K64" s="731">
        <f>SUM(K61:K63)</f>
        <v>781519856.26086962</v>
      </c>
      <c r="M64" s="467"/>
      <c r="N64" s="467"/>
      <c r="O64" s="456"/>
      <c r="P64" s="456"/>
      <c r="Q64" s="456"/>
    </row>
    <row r="65" spans="1:47" x14ac:dyDescent="0.25">
      <c r="A65" s="1" t="s">
        <v>643</v>
      </c>
      <c r="B65" s="37">
        <f>SUM(D65:G65)</f>
        <v>45499037.009904005</v>
      </c>
      <c r="C65" s="893">
        <f>C64</f>
        <v>-117620.44453616481</v>
      </c>
      <c r="D65" s="893">
        <f>SUM(D61:D63)</f>
        <v>-199052.40474708148</v>
      </c>
      <c r="E65" s="893">
        <f>SUM(E61:E63)</f>
        <v>-230866.30905774425</v>
      </c>
      <c r="F65" s="893">
        <f>SUM(F61:F63)</f>
        <v>-461884.68333333335</v>
      </c>
      <c r="G65" s="893">
        <f>SUM(G61:G63)</f>
        <v>46390840.407042161</v>
      </c>
      <c r="H65" s="894">
        <f>SUM(H61:H63)</f>
        <v>1</v>
      </c>
      <c r="J65" s="539"/>
      <c r="K65" s="644"/>
      <c r="L65" s="467"/>
      <c r="M65" s="467"/>
      <c r="N65" s="467"/>
      <c r="O65" s="456"/>
      <c r="P65" s="456"/>
      <c r="Q65" s="456"/>
    </row>
    <row r="66" spans="1:47" x14ac:dyDescent="0.25">
      <c r="A66" s="1" t="s">
        <v>644</v>
      </c>
      <c r="B66" s="15">
        <f>SUM(B61:B63)</f>
        <v>45381416.56536784</v>
      </c>
      <c r="C66" s="25" t="s">
        <v>645</v>
      </c>
      <c r="D66" s="15"/>
      <c r="G66" s="25"/>
      <c r="J66" s="539"/>
      <c r="N66" s="15"/>
      <c r="O66" s="456"/>
      <c r="P66" s="16"/>
    </row>
    <row r="67" spans="1:47" x14ac:dyDescent="0.25">
      <c r="B67" s="15"/>
      <c r="C67" s="1" t="s">
        <v>646</v>
      </c>
      <c r="J67" s="539"/>
      <c r="N67" s="15"/>
      <c r="P67" s="16"/>
    </row>
    <row r="68" spans="1:47" s="38" customFormat="1" ht="15.75" thickBot="1" x14ac:dyDescent="0.3">
      <c r="A68" s="1"/>
      <c r="B68" s="15"/>
      <c r="C68" s="15"/>
      <c r="D68" s="58"/>
      <c r="E68" s="1"/>
      <c r="F68" s="18"/>
      <c r="G68" s="1"/>
      <c r="H68" s="1"/>
      <c r="I68" s="1"/>
      <c r="J68" s="1"/>
      <c r="K68" s="1"/>
      <c r="L68" s="1"/>
      <c r="M68" s="1"/>
      <c r="N68" s="15"/>
      <c r="O68" s="1"/>
      <c r="P68" s="15"/>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row>
    <row r="69" spans="1:47" ht="16.5" thickTop="1" thickBot="1" x14ac:dyDescent="0.3">
      <c r="A69" s="38"/>
      <c r="B69" s="936"/>
      <c r="C69" s="953"/>
      <c r="D69" s="38"/>
      <c r="E69" s="38"/>
      <c r="F69" s="15"/>
      <c r="N69" s="15"/>
      <c r="P69" s="15"/>
      <c r="AT69" s="38"/>
      <c r="AU69" s="38"/>
    </row>
    <row r="70" spans="1:47" ht="15.75" thickTop="1" x14ac:dyDescent="0.25">
      <c r="E70" s="655"/>
      <c r="F70" s="15"/>
      <c r="N70" s="15"/>
      <c r="P70" s="15"/>
    </row>
    <row r="71" spans="1:47" x14ac:dyDescent="0.25">
      <c r="A71" s="1020" t="s">
        <v>647</v>
      </c>
      <c r="B71" s="1020"/>
      <c r="C71" s="1020"/>
      <c r="D71" s="1020"/>
      <c r="E71" s="1020"/>
      <c r="F71" s="23"/>
      <c r="G71" s="7"/>
      <c r="H71" s="899"/>
      <c r="I71" s="279"/>
      <c r="N71" s="15"/>
      <c r="P71" s="15"/>
    </row>
    <row r="72" spans="1:47" ht="15.75" thickBot="1" x14ac:dyDescent="0.3">
      <c r="B72" s="1021"/>
      <c r="C72" s="1021"/>
      <c r="D72" s="1021"/>
      <c r="E72" s="1021"/>
      <c r="F72" s="23"/>
      <c r="G72" s="7"/>
      <c r="H72" s="899"/>
      <c r="I72" s="60"/>
      <c r="J72" s="6"/>
      <c r="K72" s="412"/>
      <c r="N72" s="15"/>
      <c r="P72" s="15"/>
    </row>
    <row r="73" spans="1:47" x14ac:dyDescent="0.25">
      <c r="A73" s="6" t="s">
        <v>648</v>
      </c>
      <c r="C73" s="651">
        <v>2023</v>
      </c>
      <c r="D73" s="33" t="s">
        <v>629</v>
      </c>
      <c r="E73" s="33" t="s">
        <v>649</v>
      </c>
      <c r="F73" s="33"/>
      <c r="G73" s="7"/>
      <c r="H73" s="899"/>
      <c r="I73" s="279"/>
      <c r="J73" s="7"/>
      <c r="K73" s="7"/>
      <c r="N73" s="15"/>
      <c r="P73" s="15"/>
    </row>
    <row r="74" spans="1:47" x14ac:dyDescent="0.25">
      <c r="A74" s="1" t="s">
        <v>650</v>
      </c>
      <c r="C74" s="651" t="s">
        <v>78</v>
      </c>
      <c r="D74" s="33" t="s">
        <v>631</v>
      </c>
      <c r="E74" s="33" t="s">
        <v>651</v>
      </c>
      <c r="F74" s="33"/>
      <c r="G74" s="7"/>
      <c r="H74" s="7"/>
      <c r="I74" s="279"/>
      <c r="J74" s="7"/>
      <c r="K74" s="7"/>
      <c r="R74" s="285"/>
      <c r="S74" s="418"/>
    </row>
    <row r="75" spans="1:47" ht="15.75" thickBot="1" x14ac:dyDescent="0.3">
      <c r="B75" s="39" t="s">
        <v>652</v>
      </c>
      <c r="C75" s="652" t="s">
        <v>653</v>
      </c>
      <c r="D75" s="34" t="s">
        <v>638</v>
      </c>
      <c r="E75" s="34" t="s">
        <v>407</v>
      </c>
      <c r="F75" s="33"/>
      <c r="G75" s="6"/>
      <c r="H75" s="7"/>
      <c r="I75" s="279"/>
      <c r="J75" s="6"/>
      <c r="K75" s="7"/>
      <c r="R75" s="21"/>
    </row>
    <row r="76" spans="1:47" ht="13.5" customHeight="1" x14ac:dyDescent="0.25">
      <c r="A76" s="6" t="s">
        <v>16</v>
      </c>
      <c r="F76" s="23"/>
      <c r="I76" s="279"/>
      <c r="R76" s="65"/>
      <c r="S76" s="280"/>
    </row>
    <row r="77" spans="1:47" x14ac:dyDescent="0.25">
      <c r="A77" s="473" t="s">
        <v>16</v>
      </c>
      <c r="B77" s="40"/>
      <c r="C77" s="653">
        <f>'Util Rev and Load Data'!C86</f>
        <v>2163164825</v>
      </c>
      <c r="E77" s="22"/>
      <c r="F77" s="23"/>
      <c r="H77" s="413"/>
      <c r="J77" s="423"/>
      <c r="K77" s="421"/>
      <c r="L77" s="59"/>
      <c r="O77" s="7"/>
      <c r="P77" s="59"/>
      <c r="Q77" s="7"/>
    </row>
    <row r="78" spans="1:47" x14ac:dyDescent="0.25">
      <c r="A78" s="6" t="s">
        <v>654</v>
      </c>
      <c r="B78" s="320">
        <f>C78/C91</f>
        <v>0.46684753321871753</v>
      </c>
      <c r="C78" s="331">
        <f>SUM(C77:C77)</f>
        <v>2163164825</v>
      </c>
      <c r="D78" s="256">
        <f>B61</f>
        <v>23284981.665885437</v>
      </c>
      <c r="E78" s="321">
        <f>D78/C78</f>
        <v>1.0764312269124216E-2</v>
      </c>
      <c r="F78" s="23"/>
      <c r="G78" s="462"/>
      <c r="H78" s="63"/>
      <c r="I78" s="198"/>
      <c r="J78" s="28"/>
      <c r="K78" s="18"/>
      <c r="L78" s="16"/>
      <c r="N78" s="384"/>
      <c r="P78" s="414"/>
      <c r="R78" s="21"/>
    </row>
    <row r="79" spans="1:47" x14ac:dyDescent="0.25">
      <c r="B79" s="35"/>
      <c r="C79" s="35"/>
      <c r="D79" s="432"/>
      <c r="E79" s="41"/>
      <c r="F79" s="463"/>
      <c r="G79" s="462"/>
      <c r="I79" s="43"/>
      <c r="J79" s="22"/>
      <c r="N79" s="384"/>
      <c r="O79" s="21"/>
      <c r="P79" s="21"/>
    </row>
    <row r="80" spans="1:47" ht="17.25" x14ac:dyDescent="0.4">
      <c r="A80" s="6" t="s">
        <v>76</v>
      </c>
      <c r="B80" s="16"/>
      <c r="D80" s="169"/>
      <c r="E80" s="41"/>
      <c r="F80" s="649"/>
      <c r="G80" s="650"/>
      <c r="H80" s="59"/>
      <c r="I80" s="43"/>
      <c r="J80" s="419"/>
      <c r="K80" s="59"/>
      <c r="L80" s="59"/>
      <c r="N80" s="384"/>
      <c r="P80" s="21"/>
    </row>
    <row r="81" spans="1:18" x14ac:dyDescent="0.25">
      <c r="A81" s="279" t="s">
        <v>17</v>
      </c>
      <c r="B81" s="16"/>
      <c r="C81" s="17">
        <f>'Util Rev and Load Data'!G86</f>
        <v>424798161</v>
      </c>
      <c r="D81" s="42"/>
      <c r="E81" s="22"/>
      <c r="F81" s="23"/>
      <c r="G81" s="464"/>
      <c r="H81" s="384"/>
      <c r="I81" s="43"/>
      <c r="J81" s="22"/>
      <c r="K81" s="384"/>
      <c r="L81" s="16"/>
      <c r="N81" s="384"/>
      <c r="O81" s="415"/>
      <c r="P81" s="21"/>
    </row>
    <row r="82" spans="1:18" x14ac:dyDescent="0.25">
      <c r="A82" s="279" t="s">
        <v>236</v>
      </c>
      <c r="B82" s="16"/>
      <c r="C82" s="17">
        <f>'Util Rev and Load Data'!K86</f>
        <v>1328761214.1200054</v>
      </c>
      <c r="D82" s="42"/>
      <c r="E82" s="22"/>
      <c r="F82" s="23"/>
      <c r="G82" s="464"/>
      <c r="H82" s="384"/>
      <c r="I82" s="43"/>
      <c r="J82" s="22"/>
      <c r="K82" s="384"/>
      <c r="L82" s="16"/>
      <c r="N82" s="384"/>
      <c r="O82" s="415"/>
      <c r="P82" s="21"/>
    </row>
    <row r="83" spans="1:18" ht="17.25" x14ac:dyDescent="0.4">
      <c r="A83" s="473" t="s">
        <v>655</v>
      </c>
      <c r="B83" s="645"/>
      <c r="C83" s="646">
        <f>'Util Rev and Load Data'!H86</f>
        <v>12160856</v>
      </c>
      <c r="D83" s="647"/>
      <c r="E83" s="648"/>
      <c r="F83" s="23"/>
      <c r="G83" s="464"/>
      <c r="H83" s="198"/>
      <c r="I83" s="43"/>
      <c r="J83" s="22"/>
      <c r="K83" s="420"/>
      <c r="L83" s="16"/>
      <c r="N83" s="384"/>
      <c r="O83" s="415"/>
      <c r="P83" s="21"/>
    </row>
    <row r="84" spans="1:18" x14ac:dyDescent="0.25">
      <c r="A84" s="6" t="s">
        <v>656</v>
      </c>
      <c r="B84" s="322">
        <f>C84/C91</f>
        <v>0.38107227185184944</v>
      </c>
      <c r="C84" s="331">
        <f>SUM(C81:C83)</f>
        <v>1765720231.1200054</v>
      </c>
      <c r="D84" s="256">
        <f>B62</f>
        <v>17018599.569692522</v>
      </c>
      <c r="E84" s="321">
        <f>D84/C84</f>
        <v>9.6383329984827421E-3</v>
      </c>
      <c r="F84" s="23"/>
      <c r="G84" s="462"/>
      <c r="H84" s="63"/>
      <c r="I84" s="198"/>
      <c r="J84" s="423"/>
      <c r="K84" s="421"/>
      <c r="L84" s="59"/>
      <c r="N84" s="384"/>
      <c r="O84" s="416"/>
      <c r="P84" s="21"/>
      <c r="R84" s="21"/>
    </row>
    <row r="85" spans="1:18" x14ac:dyDescent="0.25">
      <c r="B85" s="35"/>
      <c r="C85" s="35"/>
      <c r="E85" s="41"/>
      <c r="F85" s="463"/>
      <c r="G85" s="462"/>
      <c r="H85" s="646"/>
      <c r="I85" s="43"/>
      <c r="J85" s="28"/>
      <c r="K85" s="413"/>
      <c r="L85" s="16"/>
      <c r="P85" s="21"/>
      <c r="R85" s="21"/>
    </row>
    <row r="86" spans="1:18" x14ac:dyDescent="0.25">
      <c r="A86" s="6" t="s">
        <v>52</v>
      </c>
      <c r="B86" s="35"/>
      <c r="E86" s="41"/>
      <c r="F86" s="649"/>
      <c r="G86" s="650"/>
      <c r="H86" s="59"/>
      <c r="I86" s="43"/>
      <c r="J86" s="422"/>
      <c r="K86" s="384"/>
      <c r="L86" s="16"/>
      <c r="P86" s="21"/>
    </row>
    <row r="87" spans="1:18" x14ac:dyDescent="0.25">
      <c r="A87" s="279" t="s">
        <v>21</v>
      </c>
      <c r="B87" s="35"/>
      <c r="C87" s="42">
        <f>'Util Rev and Load Data'!S86</f>
        <v>5557123</v>
      </c>
      <c r="E87" s="22"/>
      <c r="F87" s="23"/>
      <c r="G87" s="464"/>
      <c r="H87" s="384"/>
      <c r="I87" s="43"/>
      <c r="J87" s="28"/>
      <c r="K87" s="18"/>
      <c r="L87" s="16"/>
      <c r="N87" s="22"/>
      <c r="O87" s="416"/>
      <c r="P87" s="21"/>
    </row>
    <row r="88" spans="1:18" x14ac:dyDescent="0.25">
      <c r="A88" s="473" t="s">
        <v>238</v>
      </c>
      <c r="B88" s="647"/>
      <c r="C88" s="653">
        <f>'Util Rev and Load Data'!V86</f>
        <v>699115184</v>
      </c>
      <c r="D88" s="40"/>
      <c r="E88" s="648"/>
      <c r="F88" s="23"/>
      <c r="G88" s="464"/>
      <c r="H88" s="384"/>
      <c r="I88" s="43"/>
      <c r="J88" s="28"/>
      <c r="K88" s="18"/>
      <c r="L88" s="16"/>
      <c r="N88" s="22"/>
      <c r="O88" s="416"/>
      <c r="P88" s="21"/>
    </row>
    <row r="89" spans="1:18" x14ac:dyDescent="0.25">
      <c r="A89" s="6" t="s">
        <v>657</v>
      </c>
      <c r="B89" s="322">
        <f>C89/C91</f>
        <v>0.152080194929433</v>
      </c>
      <c r="C89" s="331">
        <f>SUM(C87:C88)</f>
        <v>704672307</v>
      </c>
      <c r="D89" s="256">
        <f>B63</f>
        <v>5077835.3297898835</v>
      </c>
      <c r="E89" s="321">
        <f>D89/C89</f>
        <v>7.2059527234832619E-3</v>
      </c>
      <c r="F89" s="23"/>
      <c r="G89" s="465"/>
      <c r="H89" s="415"/>
      <c r="I89" s="198"/>
      <c r="J89" s="22"/>
      <c r="K89" s="384"/>
      <c r="L89" s="16"/>
      <c r="N89" s="198"/>
      <c r="O89" s="415"/>
      <c r="P89" s="280"/>
    </row>
    <row r="90" spans="1:18" ht="17.25" x14ac:dyDescent="0.4">
      <c r="E90" s="41"/>
      <c r="F90" s="463"/>
      <c r="G90" s="465"/>
      <c r="H90" s="6"/>
      <c r="I90" s="43"/>
      <c r="J90" s="22"/>
      <c r="K90" s="420"/>
      <c r="L90" s="16"/>
    </row>
    <row r="91" spans="1:18" x14ac:dyDescent="0.25">
      <c r="A91" s="1" t="s">
        <v>331</v>
      </c>
      <c r="B91" s="43">
        <f>SUM(B78:B89)</f>
        <v>1</v>
      </c>
      <c r="C91" s="22">
        <f>C78+C84+C89</f>
        <v>4633557363.1200056</v>
      </c>
      <c r="D91" s="15">
        <f>SUM(D78:D89)</f>
        <v>45381416.56536784</v>
      </c>
      <c r="E91" s="41">
        <f>D91/C91</f>
        <v>9.7940767770726949E-3</v>
      </c>
      <c r="F91" s="229"/>
      <c r="G91" s="465"/>
      <c r="H91" s="22"/>
      <c r="I91" s="6"/>
      <c r="J91" s="22"/>
      <c r="K91" s="384"/>
    </row>
    <row r="92" spans="1:18" ht="15.75" thickBot="1" x14ac:dyDescent="0.3">
      <c r="H92" s="198"/>
    </row>
    <row r="93" spans="1:18" x14ac:dyDescent="0.25">
      <c r="B93" s="19" t="s">
        <v>649</v>
      </c>
      <c r="C93" s="44" t="s">
        <v>658</v>
      </c>
      <c r="D93" s="45"/>
      <c r="E93" s="46"/>
      <c r="G93" s="19"/>
      <c r="H93" s="165"/>
      <c r="I93" s="165"/>
    </row>
    <row r="94" spans="1:18" x14ac:dyDescent="0.25">
      <c r="A94" s="6" t="s">
        <v>659</v>
      </c>
      <c r="B94" s="20" t="s">
        <v>407</v>
      </c>
      <c r="C94" s="47" t="s">
        <v>660</v>
      </c>
      <c r="D94" s="6"/>
      <c r="E94" s="48"/>
      <c r="G94" s="20"/>
      <c r="H94" s="337"/>
      <c r="I94" s="6"/>
      <c r="J94" s="6"/>
    </row>
    <row r="95" spans="1:18" x14ac:dyDescent="0.25">
      <c r="A95" s="279" t="s">
        <v>16</v>
      </c>
      <c r="B95" s="49">
        <f>E78</f>
        <v>1.0764312269124216E-2</v>
      </c>
      <c r="C95" s="47"/>
      <c r="D95" s="49">
        <f>B95*1.01025</f>
        <v>1.087464646988274E-2</v>
      </c>
      <c r="E95" s="50" t="s">
        <v>417</v>
      </c>
      <c r="G95" s="49"/>
      <c r="H95" s="337"/>
      <c r="I95" s="199"/>
    </row>
    <row r="96" spans="1:18" x14ac:dyDescent="0.25">
      <c r="A96" s="279" t="s">
        <v>76</v>
      </c>
      <c r="B96" s="49">
        <f>E84</f>
        <v>9.6383329984827421E-3</v>
      </c>
      <c r="C96" s="47"/>
      <c r="D96" s="49">
        <f>B96*1.01025</f>
        <v>9.7371259117171906E-3</v>
      </c>
      <c r="E96" s="50" t="s">
        <v>417</v>
      </c>
      <c r="G96" s="49"/>
      <c r="I96" s="199"/>
    </row>
    <row r="97" spans="1:47" x14ac:dyDescent="0.25">
      <c r="A97" s="279" t="s">
        <v>52</v>
      </c>
      <c r="B97" s="51">
        <f>E89</f>
        <v>7.2059527234832619E-3</v>
      </c>
      <c r="C97" s="47"/>
      <c r="D97" s="49">
        <f>B97*1.01025</f>
        <v>7.2798137388989659E-3</v>
      </c>
      <c r="E97" s="50" t="s">
        <v>417</v>
      </c>
      <c r="G97" s="49"/>
      <c r="I97" s="199"/>
    </row>
    <row r="98" spans="1:47" ht="15.75" thickBot="1" x14ac:dyDescent="0.3">
      <c r="A98" s="1" t="s">
        <v>661</v>
      </c>
      <c r="B98" s="52">
        <f>E91</f>
        <v>9.7940767770726949E-3</v>
      </c>
      <c r="C98" s="53"/>
      <c r="D98" s="54">
        <f>B98*1.01025</f>
        <v>9.8944660640376911E-3</v>
      </c>
      <c r="E98" s="55" t="s">
        <v>417</v>
      </c>
      <c r="G98" s="200"/>
      <c r="I98" s="199"/>
    </row>
    <row r="99" spans="1:47" s="38" customFormat="1" ht="15.75" thickBo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row>
    <row r="100" spans="1:47" ht="16.5" thickTop="1" thickBot="1" x14ac:dyDescent="0.3">
      <c r="B100" s="56"/>
      <c r="D100" s="57"/>
      <c r="G100" s="201"/>
      <c r="AT100" s="38"/>
      <c r="AU100" s="38"/>
    </row>
    <row r="101" spans="1:47" ht="12.75" customHeight="1" thickTop="1" thickBot="1" x14ac:dyDescent="0.3">
      <c r="A101" s="38"/>
      <c r="B101" s="38"/>
      <c r="C101" s="38"/>
      <c r="D101" s="38"/>
      <c r="E101" s="38"/>
      <c r="F101" s="38"/>
    </row>
    <row r="102" spans="1:47" ht="15.75" thickTop="1" x14ac:dyDescent="0.25">
      <c r="A102" s="6"/>
      <c r="C102" s="58"/>
    </row>
    <row r="103" spans="1:47" x14ac:dyDescent="0.25">
      <c r="C103" s="58"/>
      <c r="D103" s="7" t="s">
        <v>662</v>
      </c>
      <c r="E103" s="59"/>
      <c r="F103" s="7" t="s">
        <v>211</v>
      </c>
      <c r="I103" s="58"/>
      <c r="J103" s="7"/>
      <c r="K103" s="7"/>
      <c r="N103" s="58"/>
      <c r="O103" s="7"/>
      <c r="P103" s="59"/>
      <c r="Q103" s="7"/>
    </row>
    <row r="104" spans="1:47" x14ac:dyDescent="0.25">
      <c r="A104" s="262" t="s">
        <v>663</v>
      </c>
      <c r="D104" s="59" t="s">
        <v>631</v>
      </c>
      <c r="E104" s="59" t="s">
        <v>664</v>
      </c>
      <c r="F104" s="59" t="s">
        <v>665</v>
      </c>
      <c r="G104" s="6"/>
      <c r="H104" s="6"/>
      <c r="I104" s="6"/>
      <c r="J104" s="6"/>
      <c r="K104" s="59"/>
      <c r="O104" s="59"/>
      <c r="P104" s="59"/>
      <c r="Q104" s="59"/>
    </row>
    <row r="105" spans="1:47" x14ac:dyDescent="0.25">
      <c r="A105" s="1" t="s">
        <v>666</v>
      </c>
      <c r="C105" s="18">
        <f>C84</f>
        <v>1765720231.1200054</v>
      </c>
      <c r="D105" s="21"/>
      <c r="E105" s="49">
        <f>D96</f>
        <v>9.7371259117171906E-3</v>
      </c>
      <c r="F105" s="6" t="s">
        <v>667</v>
      </c>
      <c r="I105" s="17"/>
      <c r="N105" s="384"/>
      <c r="O105" s="21"/>
      <c r="P105" s="21"/>
      <c r="Q105" s="21"/>
    </row>
    <row r="106" spans="1:47" s="6" customFormat="1" x14ac:dyDescent="0.25">
      <c r="A106" s="1" t="s">
        <v>668</v>
      </c>
      <c r="B106" s="1"/>
      <c r="C106" s="25">
        <f>C105*E105</f>
        <v>17193040.21528187</v>
      </c>
      <c r="D106" s="61">
        <f>C105*D96</f>
        <v>17193040.21528187</v>
      </c>
      <c r="E106" s="1"/>
      <c r="F106" s="1"/>
      <c r="G106" s="1"/>
      <c r="H106" s="1"/>
      <c r="I106" s="1"/>
      <c r="J106" s="15"/>
      <c r="K106" s="1"/>
      <c r="L106" s="1"/>
      <c r="M106" s="1"/>
      <c r="N106" s="384"/>
      <c r="O106" s="17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row>
    <row r="107" spans="1:47" x14ac:dyDescent="0.25">
      <c r="C107" s="18"/>
      <c r="D107" s="61"/>
      <c r="G107" s="20"/>
      <c r="H107" s="20"/>
      <c r="I107" s="20"/>
      <c r="N107" s="384"/>
      <c r="O107" s="171"/>
      <c r="AT107" s="6"/>
      <c r="AU107" s="6"/>
    </row>
    <row r="108" spans="1:47" x14ac:dyDescent="0.25">
      <c r="A108" s="60" t="s">
        <v>669</v>
      </c>
      <c r="B108" s="6"/>
      <c r="C108" s="26">
        <f>C81+C83</f>
        <v>436959017</v>
      </c>
      <c r="D108" s="29">
        <f>C108*D96</f>
        <v>4254724.966789172</v>
      </c>
      <c r="E108" s="62">
        <f>D108/C108</f>
        <v>9.7371259117171906E-3</v>
      </c>
      <c r="F108" s="6" t="s">
        <v>47</v>
      </c>
      <c r="G108" s="204"/>
      <c r="H108" s="2"/>
      <c r="I108" s="204"/>
      <c r="J108" s="198"/>
      <c r="K108" s="6"/>
      <c r="M108" s="6"/>
      <c r="N108" s="384"/>
      <c r="O108" s="29"/>
      <c r="P108" s="414"/>
      <c r="Q108" s="6"/>
      <c r="R108" s="21"/>
    </row>
    <row r="109" spans="1:47" x14ac:dyDescent="0.25">
      <c r="A109" s="1" t="s">
        <v>670</v>
      </c>
      <c r="C109" s="18"/>
      <c r="D109" s="21">
        <f>D106-D108</f>
        <v>12938315.248492699</v>
      </c>
      <c r="G109" s="204"/>
      <c r="I109" s="204"/>
      <c r="N109" s="384"/>
      <c r="O109" s="21"/>
    </row>
    <row r="110" spans="1:47" x14ac:dyDescent="0.25">
      <c r="C110" s="18"/>
      <c r="D110" s="21"/>
      <c r="G110" s="204"/>
      <c r="I110" s="204"/>
      <c r="N110" s="384"/>
      <c r="O110" s="21"/>
    </row>
    <row r="111" spans="1:47" x14ac:dyDescent="0.25">
      <c r="A111" s="60" t="s">
        <v>671</v>
      </c>
      <c r="C111" s="18"/>
      <c r="D111" s="21"/>
      <c r="G111" s="204"/>
      <c r="I111" s="204"/>
      <c r="N111" s="384"/>
      <c r="O111" s="21"/>
    </row>
    <row r="112" spans="1:47" x14ac:dyDescent="0.25">
      <c r="A112" s="1" t="s">
        <v>672</v>
      </c>
      <c r="C112" s="36">
        <f>C108/(C108+B113)</f>
        <v>0.24746786568947826</v>
      </c>
      <c r="D112" s="21"/>
      <c r="G112" s="204"/>
      <c r="I112" s="204"/>
      <c r="O112" s="21"/>
    </row>
    <row r="113" spans="1:47" x14ac:dyDescent="0.25">
      <c r="A113" s="1" t="s">
        <v>673</v>
      </c>
      <c r="B113" s="331">
        <f>C105-C108</f>
        <v>1328761214.1200054</v>
      </c>
      <c r="D113" s="21"/>
      <c r="E113" s="62">
        <f>D114/B113</f>
        <v>6.2050954098569547E-3</v>
      </c>
      <c r="F113" s="6" t="s">
        <v>47</v>
      </c>
      <c r="G113" s="431"/>
      <c r="I113" s="204"/>
      <c r="J113" s="280"/>
      <c r="K113" s="6"/>
      <c r="M113" s="384"/>
      <c r="N113" s="22"/>
      <c r="O113" s="21"/>
      <c r="P113" s="414"/>
      <c r="Q113" s="6"/>
    </row>
    <row r="114" spans="1:47" x14ac:dyDescent="0.25">
      <c r="A114" s="1" t="s">
        <v>674</v>
      </c>
      <c r="B114" s="25">
        <f>'Util Rev and Load Data'!K42</f>
        <v>126962619.9233041</v>
      </c>
      <c r="C114" s="16">
        <f>B114/B119</f>
        <v>0.63726149442003621</v>
      </c>
      <c r="D114" s="29">
        <f>D109*C114</f>
        <v>8245090.1105319997</v>
      </c>
      <c r="F114" s="64"/>
      <c r="G114" s="204"/>
      <c r="H114" s="2"/>
      <c r="I114" s="204"/>
      <c r="M114" s="285"/>
      <c r="N114" s="198"/>
      <c r="O114" s="21"/>
      <c r="Q114" s="64"/>
      <c r="R114" s="21"/>
    </row>
    <row r="115" spans="1:47" x14ac:dyDescent="0.25">
      <c r="A115" s="22"/>
      <c r="D115" s="21"/>
      <c r="G115" s="204"/>
      <c r="H115" s="198"/>
      <c r="I115" s="204"/>
      <c r="N115" s="198"/>
      <c r="O115" s="21"/>
    </row>
    <row r="116" spans="1:47" x14ac:dyDescent="0.25">
      <c r="A116" s="1" t="s">
        <v>675</v>
      </c>
      <c r="B116" s="331">
        <f>'Util Rev and Load Data'!L86</f>
        <v>4003586.9160000002</v>
      </c>
      <c r="C116" s="22"/>
      <c r="D116" s="21"/>
      <c r="E116" s="66">
        <f>D117/B116</f>
        <v>1.1722550893561516</v>
      </c>
      <c r="F116" s="6" t="s">
        <v>51</v>
      </c>
      <c r="G116" s="204"/>
      <c r="H116" s="2"/>
      <c r="I116" s="204"/>
      <c r="J116" s="280"/>
      <c r="K116" s="6"/>
      <c r="M116" s="384"/>
      <c r="N116" s="384"/>
      <c r="O116" s="21"/>
      <c r="P116" s="414"/>
      <c r="Q116" s="6"/>
    </row>
    <row r="117" spans="1:47" x14ac:dyDescent="0.25">
      <c r="A117" s="1" t="s">
        <v>676</v>
      </c>
      <c r="B117" s="25">
        <f>'Util Rev and Load Data'!N42</f>
        <v>72268968.733800009</v>
      </c>
      <c r="C117" s="16">
        <f>B117/B119</f>
        <v>0.36273850557996379</v>
      </c>
      <c r="D117" s="29">
        <f>D109*C117</f>
        <v>4693225.1379606994</v>
      </c>
      <c r="H117" s="2"/>
      <c r="I117" s="198"/>
      <c r="J117" s="432"/>
      <c r="M117" s="285"/>
      <c r="N117" s="198"/>
      <c r="O117" s="21"/>
      <c r="R117" s="21"/>
    </row>
    <row r="118" spans="1:47" x14ac:dyDescent="0.25">
      <c r="D118" s="21"/>
      <c r="H118" s="198"/>
      <c r="N118" s="198"/>
      <c r="O118" s="21"/>
    </row>
    <row r="119" spans="1:47" x14ac:dyDescent="0.25">
      <c r="A119" s="1" t="s">
        <v>677</v>
      </c>
      <c r="B119" s="65">
        <f>SUM(B114,B117)</f>
        <v>199231588.6571041</v>
      </c>
      <c r="C119" s="43">
        <f>SUM(C114:C117)</f>
        <v>1</v>
      </c>
      <c r="D119" s="21">
        <f>SUM(D114:D117)</f>
        <v>12938315.248492699</v>
      </c>
      <c r="H119" s="65"/>
      <c r="I119" s="43"/>
      <c r="J119" s="21"/>
      <c r="M119" s="65"/>
      <c r="N119" s="198"/>
      <c r="O119" s="21"/>
    </row>
    <row r="120" spans="1:47" x14ac:dyDescent="0.25">
      <c r="B120" s="21"/>
      <c r="C120" s="65"/>
      <c r="D120" s="21"/>
      <c r="M120" s="21"/>
      <c r="N120" s="65"/>
      <c r="O120" s="21"/>
    </row>
    <row r="121" spans="1:47" x14ac:dyDescent="0.25">
      <c r="A121" s="262" t="s">
        <v>678</v>
      </c>
      <c r="D121" s="21"/>
      <c r="O121" s="21"/>
    </row>
    <row r="122" spans="1:47" x14ac:dyDescent="0.25">
      <c r="A122" s="1" t="s">
        <v>666</v>
      </c>
      <c r="C122" s="17">
        <f>C89</f>
        <v>704672307</v>
      </c>
      <c r="D122" s="21"/>
      <c r="E122" s="49">
        <f>D97</f>
        <v>7.2798137388989659E-3</v>
      </c>
      <c r="I122" s="17"/>
      <c r="N122" s="384"/>
      <c r="O122" s="21"/>
      <c r="P122" s="21"/>
      <c r="Q122" s="21"/>
    </row>
    <row r="123" spans="1:47" s="6" customFormat="1" x14ac:dyDescent="0.25">
      <c r="A123" s="1" t="s">
        <v>679</v>
      </c>
      <c r="B123" s="1"/>
      <c r="C123" s="1"/>
      <c r="D123" s="21">
        <f>C122*D97</f>
        <v>5129883.1419202304</v>
      </c>
      <c r="E123" s="1"/>
      <c r="F123" s="1"/>
      <c r="G123" s="1"/>
      <c r="H123" s="1"/>
      <c r="I123" s="1"/>
      <c r="J123" s="15"/>
      <c r="K123" s="1"/>
      <c r="L123" s="1"/>
      <c r="M123" s="1"/>
      <c r="N123" s="384"/>
      <c r="O123" s="2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row>
    <row r="124" spans="1:47" x14ac:dyDescent="0.25">
      <c r="A124" s="6"/>
      <c r="D124" s="21"/>
      <c r="G124" s="20"/>
      <c r="H124" s="20"/>
      <c r="I124" s="20"/>
      <c r="N124" s="384"/>
      <c r="O124" s="21"/>
      <c r="AT124" s="6"/>
      <c r="AU124" s="6"/>
    </row>
    <row r="125" spans="1:47" x14ac:dyDescent="0.25">
      <c r="A125" s="60" t="s">
        <v>669</v>
      </c>
      <c r="B125" s="6"/>
      <c r="C125" s="63">
        <f>C87</f>
        <v>5557123</v>
      </c>
      <c r="D125" s="29">
        <f>C125*D97</f>
        <v>40454.820364151441</v>
      </c>
      <c r="E125" s="62">
        <f>D125/C125</f>
        <v>7.2798137388989667E-3</v>
      </c>
      <c r="F125" s="6" t="s">
        <v>47</v>
      </c>
      <c r="G125" s="204"/>
      <c r="H125" s="2"/>
      <c r="I125" s="204"/>
      <c r="J125" s="198"/>
      <c r="K125" s="6"/>
      <c r="M125" s="6"/>
      <c r="N125" s="384"/>
      <c r="O125" s="29"/>
      <c r="P125" s="414"/>
      <c r="Q125" s="6"/>
      <c r="R125" s="21"/>
    </row>
    <row r="126" spans="1:47" x14ac:dyDescent="0.25">
      <c r="A126" s="1" t="s">
        <v>680</v>
      </c>
      <c r="D126" s="21">
        <f>D123-D125</f>
        <v>5089428.3215560792</v>
      </c>
      <c r="G126" s="204"/>
      <c r="I126" s="204"/>
      <c r="N126" s="384"/>
      <c r="O126" s="21"/>
    </row>
    <row r="127" spans="1:47" x14ac:dyDescent="0.25">
      <c r="A127" s="6"/>
      <c r="D127" s="21"/>
      <c r="G127" s="204"/>
      <c r="I127" s="204"/>
      <c r="O127" s="21"/>
    </row>
    <row r="128" spans="1:47" x14ac:dyDescent="0.25">
      <c r="A128" s="60" t="s">
        <v>671</v>
      </c>
      <c r="D128" s="21"/>
      <c r="G128" s="204"/>
      <c r="I128" s="204"/>
      <c r="O128" s="21"/>
    </row>
    <row r="129" spans="1:18" x14ac:dyDescent="0.25">
      <c r="A129" s="1" t="s">
        <v>681</v>
      </c>
      <c r="D129" s="21"/>
      <c r="E129" s="67"/>
      <c r="G129" s="204"/>
      <c r="I129" s="204"/>
      <c r="O129" s="21"/>
      <c r="P129" s="417"/>
    </row>
    <row r="130" spans="1:18" x14ac:dyDescent="0.25">
      <c r="A130" s="1" t="s">
        <v>673</v>
      </c>
      <c r="B130" s="331">
        <f>C122-C125</f>
        <v>699115184</v>
      </c>
      <c r="C130" s="16">
        <f>C125/(C125+B130)</f>
        <v>7.8861095360172849E-3</v>
      </c>
      <c r="D130" s="21"/>
      <c r="E130" s="62">
        <f>D131/B130</f>
        <v>4.8941202329454321E-3</v>
      </c>
      <c r="F130" s="6" t="s">
        <v>47</v>
      </c>
      <c r="G130" s="431"/>
      <c r="I130" s="204"/>
      <c r="J130" s="280"/>
      <c r="K130" s="6"/>
      <c r="M130" s="384"/>
      <c r="O130" s="21"/>
      <c r="P130" s="414"/>
      <c r="Q130" s="6"/>
    </row>
    <row r="131" spans="1:18" x14ac:dyDescent="0.25">
      <c r="A131" s="1" t="s">
        <v>674</v>
      </c>
      <c r="B131" s="25">
        <f>'Util Rev and Load Data'!V42</f>
        <v>58191599.259999998</v>
      </c>
      <c r="C131" s="16">
        <f>B131/B136</f>
        <v>0.67228646342889009</v>
      </c>
      <c r="D131" s="29">
        <f>D126*C131</f>
        <v>3421553.7671737685</v>
      </c>
      <c r="E131" s="67"/>
      <c r="F131" s="6"/>
      <c r="G131" s="204"/>
      <c r="H131" s="2"/>
      <c r="I131" s="204"/>
      <c r="M131" s="65"/>
      <c r="N131" s="198"/>
      <c r="O131" s="21"/>
      <c r="P131" s="417"/>
      <c r="Q131" s="6"/>
      <c r="R131" s="21"/>
    </row>
    <row r="132" spans="1:18" x14ac:dyDescent="0.25">
      <c r="D132" s="21"/>
      <c r="E132" s="67"/>
      <c r="F132" s="6"/>
      <c r="G132" s="204"/>
      <c r="H132" s="198"/>
      <c r="I132" s="204"/>
      <c r="O132" s="21"/>
      <c r="P132" s="417"/>
      <c r="Q132" s="6"/>
    </row>
    <row r="133" spans="1:18" x14ac:dyDescent="0.25">
      <c r="A133" s="1" t="s">
        <v>675</v>
      </c>
      <c r="B133" s="331">
        <f>'Util Rev and Load Data'!W86</f>
        <v>1527046.4739999999</v>
      </c>
      <c r="D133" s="21"/>
      <c r="E133" s="66">
        <f>D134/B133</f>
        <v>1.0922225241864583</v>
      </c>
      <c r="F133" s="6" t="s">
        <v>51</v>
      </c>
      <c r="G133" s="204"/>
      <c r="H133" s="2"/>
      <c r="I133" s="204"/>
      <c r="J133" s="280"/>
      <c r="K133" s="6"/>
      <c r="M133" s="384"/>
      <c r="O133" s="21"/>
      <c r="P133" s="414"/>
      <c r="Q133" s="6"/>
    </row>
    <row r="134" spans="1:18" x14ac:dyDescent="0.25">
      <c r="A134" s="1" t="s">
        <v>676</v>
      </c>
      <c r="B134" s="25">
        <f>'Util Rev and Load Data'!Y42</f>
        <v>28366144.240000002</v>
      </c>
      <c r="C134" s="16">
        <f>B134/B136</f>
        <v>0.32771353657110991</v>
      </c>
      <c r="D134" s="29">
        <f>D126*C134</f>
        <v>1667874.5543823107</v>
      </c>
      <c r="E134" s="67"/>
      <c r="H134" s="2"/>
      <c r="I134" s="198"/>
      <c r="J134" s="432"/>
      <c r="M134" s="65"/>
      <c r="N134" s="198"/>
      <c r="O134" s="21"/>
      <c r="P134" s="417"/>
      <c r="R134" s="21"/>
    </row>
    <row r="135" spans="1:18" x14ac:dyDescent="0.25">
      <c r="B135" s="25"/>
      <c r="C135" s="16"/>
      <c r="D135" s="21"/>
      <c r="E135" s="67"/>
      <c r="H135" s="198"/>
      <c r="M135" s="285"/>
      <c r="N135" s="198"/>
      <c r="O135" s="21"/>
      <c r="P135" s="417"/>
    </row>
    <row r="136" spans="1:18" x14ac:dyDescent="0.25">
      <c r="A136" s="6" t="s">
        <v>682</v>
      </c>
      <c r="B136" s="263">
        <f>SUM(B131,B134)</f>
        <v>86557743.5</v>
      </c>
      <c r="C136" s="264">
        <f>SUM(C131:C134)</f>
        <v>1</v>
      </c>
      <c r="D136" s="29">
        <f>SUM(D131:D134)</f>
        <v>5089428.3215560792</v>
      </c>
      <c r="H136" s="2"/>
      <c r="I136" s="43"/>
      <c r="J136" s="21"/>
    </row>
    <row r="138" spans="1:18" x14ac:dyDescent="0.25">
      <c r="B138" s="22"/>
      <c r="D138" s="6"/>
    </row>
    <row r="139" spans="1:18" x14ac:dyDescent="0.25">
      <c r="B139" s="22"/>
      <c r="E139" s="22"/>
    </row>
    <row r="140" spans="1:18" x14ac:dyDescent="0.25">
      <c r="E140" s="65"/>
    </row>
    <row r="142" spans="1:18" x14ac:dyDescent="0.25">
      <c r="E142" s="22"/>
    </row>
    <row r="143" spans="1:18" x14ac:dyDescent="0.25">
      <c r="E143" s="22"/>
    </row>
    <row r="144" spans="1:18" x14ac:dyDescent="0.25">
      <c r="E144" s="65"/>
    </row>
    <row r="145" spans="2:9" x14ac:dyDescent="0.25">
      <c r="E145" s="65"/>
    </row>
    <row r="146" spans="2:9" x14ac:dyDescent="0.25">
      <c r="E146" s="65"/>
    </row>
    <row r="149" spans="2:9" x14ac:dyDescent="0.25">
      <c r="B149" s="68"/>
      <c r="C149" s="36"/>
      <c r="H149" s="68"/>
      <c r="I149" s="36"/>
    </row>
    <row r="150" spans="2:9" x14ac:dyDescent="0.25">
      <c r="B150" s="65"/>
      <c r="C150" s="36"/>
      <c r="H150" s="65"/>
      <c r="I150" s="36"/>
    </row>
  </sheetData>
  <mergeCells count="5">
    <mergeCell ref="K59:L59"/>
    <mergeCell ref="A55:G55"/>
    <mergeCell ref="B57:G57"/>
    <mergeCell ref="A71:E71"/>
    <mergeCell ref="B72:E72"/>
  </mergeCells>
  <phoneticPr fontId="0" type="noConversion"/>
  <printOptions horizontalCentered="1" verticalCentered="1"/>
  <pageMargins left="0.2" right="0.2" top="0.47" bottom="0.4" header="0.17" footer="0.17"/>
  <pageSetup scale="71" fitToHeight="4" orientation="landscape" r:id="rId1"/>
  <headerFooter alignWithMargins="0">
    <oddHeader>&amp;CVERMONT DEPARTMENT OF PUBLIC SERVICE
2004 EEC RATE DEVELOPMENT REFINEMENTS-WORKSHEET (B)</oddHeader>
    <oddFooter xml:space="preserve">&amp;L&amp;9Prepared  10/14/05
DPS-Finance and Economics Division&amp;C&amp;Z&amp;F&amp;RPage  &amp;P of  &amp;N       </oddFooter>
  </headerFooter>
  <rowBreaks count="1" manualBreakCount="1">
    <brk id="69" max="10" man="1"/>
  </rowBreaks>
  <ignoredErrors>
    <ignoredError sqref="C91" formula="1"/>
  </ignoredErrors>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M52"/>
  <sheetViews>
    <sheetView zoomScaleNormal="100" workbookViewId="0">
      <selection activeCell="B27" sqref="B27"/>
    </sheetView>
  </sheetViews>
  <sheetFormatPr defaultColWidth="9.140625" defaultRowHeight="15.75" x14ac:dyDescent="0.25"/>
  <cols>
    <col min="1" max="1" width="55.85546875" style="295" customWidth="1"/>
    <col min="2" max="2" width="14.7109375" style="295" customWidth="1"/>
    <col min="3" max="3" width="19.140625" style="295" customWidth="1"/>
    <col min="4" max="4" width="11.28515625" style="295" bestFit="1" customWidth="1"/>
    <col min="5" max="6" width="9.140625" style="295"/>
    <col min="7" max="7" width="12.42578125" style="295" bestFit="1" customWidth="1"/>
    <col min="8" max="8" width="42" style="295" customWidth="1"/>
    <col min="9" max="9" width="12.85546875" style="295" customWidth="1"/>
    <col min="10" max="10" width="12.5703125" style="295" customWidth="1"/>
    <col min="11" max="11" width="14.5703125" style="295" bestFit="1" customWidth="1"/>
    <col min="12" max="12" width="12" style="295" customWidth="1"/>
    <col min="13" max="16384" width="9.140625" style="295"/>
  </cols>
  <sheetData>
    <row r="2" spans="1:13" x14ac:dyDescent="0.25">
      <c r="A2" s="297" t="s">
        <v>683</v>
      </c>
      <c r="B2" s="300">
        <f>'EEC Calculation'!B9</f>
        <v>46453901.798950195</v>
      </c>
    </row>
    <row r="3" spans="1:13" x14ac:dyDescent="0.25">
      <c r="A3" s="297"/>
      <c r="B3" s="296"/>
      <c r="I3" s="666" t="s">
        <v>764</v>
      </c>
      <c r="J3" s="666" t="s">
        <v>763</v>
      </c>
    </row>
    <row r="4" spans="1:13" x14ac:dyDescent="0.25">
      <c r="A4" s="297" t="s">
        <v>684</v>
      </c>
      <c r="B4" s="296"/>
      <c r="H4" s="297" t="s">
        <v>685</v>
      </c>
      <c r="I4" s="954">
        <v>2023</v>
      </c>
      <c r="J4" s="954">
        <v>2024</v>
      </c>
      <c r="K4" s="665" t="s">
        <v>762</v>
      </c>
      <c r="L4" s="665"/>
    </row>
    <row r="5" spans="1:13" x14ac:dyDescent="0.25">
      <c r="A5" s="298" t="s">
        <v>686</v>
      </c>
      <c r="B5" s="840">
        <f>+'EEC Calculation'!B16</f>
        <v>-131221.91337702473</v>
      </c>
      <c r="H5" s="295" t="s">
        <v>686</v>
      </c>
      <c r="I5" s="296">
        <f>B5</f>
        <v>-131221.91337702473</v>
      </c>
      <c r="J5" s="955" t="s">
        <v>508</v>
      </c>
      <c r="K5" s="956">
        <f>SUM(I5:J5)</f>
        <v>-131221.91337702473</v>
      </c>
      <c r="L5" s="375"/>
    </row>
    <row r="6" spans="1:13" x14ac:dyDescent="0.25">
      <c r="A6" s="298" t="s">
        <v>687</v>
      </c>
      <c r="B6" s="840">
        <f>'EEC Calculation'!B17</f>
        <v>68160.52146898878</v>
      </c>
      <c r="H6" s="295" t="s">
        <v>687</v>
      </c>
      <c r="I6" s="296">
        <f>B6</f>
        <v>68160.52146898878</v>
      </c>
      <c r="J6" s="955" t="s">
        <v>508</v>
      </c>
      <c r="K6" s="956">
        <f t="shared" ref="K6:K12" si="0">SUM(I6:J6)</f>
        <v>68160.52146898878</v>
      </c>
      <c r="L6" s="296"/>
    </row>
    <row r="7" spans="1:13" x14ac:dyDescent="0.25">
      <c r="A7" s="298" t="s">
        <v>688</v>
      </c>
      <c r="B7" s="840">
        <f>'EEC Calculation'!B26</f>
        <v>-199052.40474708148</v>
      </c>
      <c r="D7" s="388"/>
      <c r="E7" s="388"/>
      <c r="H7" s="295" t="s">
        <v>757</v>
      </c>
      <c r="I7" s="296">
        <f>SUM(B18:B19)/2</f>
        <v>-331252.75</v>
      </c>
      <c r="J7" s="296">
        <f t="shared" ref="J7:J12" si="1">I7</f>
        <v>-331252.75</v>
      </c>
      <c r="K7" s="956">
        <f t="shared" si="0"/>
        <v>-662505.5</v>
      </c>
    </row>
    <row r="8" spans="1:13" x14ac:dyDescent="0.25">
      <c r="A8" s="298" t="s">
        <v>689</v>
      </c>
      <c r="B8" s="840">
        <f>'EEC Calculation'!B29</f>
        <v>-230866.30905774422</v>
      </c>
      <c r="C8" s="429"/>
      <c r="D8" s="430"/>
      <c r="E8" s="430"/>
      <c r="H8" s="295" t="s">
        <v>758</v>
      </c>
      <c r="I8" s="296">
        <f>B7</f>
        <v>-199052.40474708148</v>
      </c>
      <c r="J8" s="296">
        <f t="shared" si="1"/>
        <v>-199052.40474708148</v>
      </c>
      <c r="K8" s="956">
        <f t="shared" si="0"/>
        <v>-398104.80949416297</v>
      </c>
    </row>
    <row r="9" spans="1:13" x14ac:dyDescent="0.25">
      <c r="A9" s="302" t="s">
        <v>690</v>
      </c>
      <c r="B9" s="887">
        <f>'EEC Calculation'!B36</f>
        <v>-478551.35</v>
      </c>
      <c r="C9" s="429"/>
      <c r="D9" s="430"/>
      <c r="E9" s="430"/>
      <c r="H9" s="295" t="s">
        <v>759</v>
      </c>
      <c r="I9" s="296">
        <f>B8</f>
        <v>-230866.30905774422</v>
      </c>
      <c r="J9" s="296">
        <f t="shared" si="1"/>
        <v>-230866.30905774422</v>
      </c>
      <c r="K9" s="956">
        <f t="shared" si="0"/>
        <v>-461732.61811548844</v>
      </c>
    </row>
    <row r="10" spans="1:13" x14ac:dyDescent="0.25">
      <c r="A10" s="301" t="s">
        <v>691</v>
      </c>
      <c r="B10" s="300">
        <f>SUM(B5:B9)</f>
        <v>-971531.45571286161</v>
      </c>
      <c r="C10" s="296"/>
      <c r="H10" s="295" t="s">
        <v>760</v>
      </c>
      <c r="I10" s="296">
        <f>B21/2</f>
        <v>-128276.5</v>
      </c>
      <c r="J10" s="296">
        <f t="shared" si="1"/>
        <v>-128276.5</v>
      </c>
      <c r="K10" s="956">
        <f t="shared" si="0"/>
        <v>-256553</v>
      </c>
    </row>
    <row r="11" spans="1:13" x14ac:dyDescent="0.25">
      <c r="B11" s="296"/>
      <c r="H11" s="295" t="s">
        <v>772</v>
      </c>
      <c r="I11" s="296">
        <f>B20/2</f>
        <v>16666.666666666668</v>
      </c>
      <c r="J11" s="296">
        <f t="shared" si="1"/>
        <v>16666.666666666668</v>
      </c>
      <c r="K11" s="956">
        <f t="shared" si="0"/>
        <v>33333.333333333336</v>
      </c>
    </row>
    <row r="12" spans="1:13" x14ac:dyDescent="0.25">
      <c r="A12" s="295" t="s">
        <v>692</v>
      </c>
      <c r="B12" s="296">
        <f>B10+B2</f>
        <v>45482370.343237333</v>
      </c>
      <c r="C12" s="299"/>
      <c r="H12" s="304" t="s">
        <v>761</v>
      </c>
      <c r="I12" s="299">
        <f>B22/2</f>
        <v>-19022.099999999999</v>
      </c>
      <c r="J12" s="299">
        <f t="shared" si="1"/>
        <v>-19022.099999999999</v>
      </c>
      <c r="K12" s="957">
        <f t="shared" si="0"/>
        <v>-38044.199999999997</v>
      </c>
    </row>
    <row r="13" spans="1:13" x14ac:dyDescent="0.25">
      <c r="A13" s="304" t="s">
        <v>693</v>
      </c>
      <c r="B13" s="299">
        <f>B12*0.01025</f>
        <v>466194.29601818271</v>
      </c>
      <c r="D13" s="296"/>
      <c r="H13" s="301" t="s">
        <v>53</v>
      </c>
      <c r="I13" s="300">
        <f>SUM(I5:I12)</f>
        <v>-954864.78904619499</v>
      </c>
      <c r="J13" s="300">
        <f>SUM(J7:J12)</f>
        <v>-891803.39713815902</v>
      </c>
      <c r="K13" s="300">
        <f>SUM(I13:J13)</f>
        <v>-1846668.1861843541</v>
      </c>
    </row>
    <row r="14" spans="1:13" x14ac:dyDescent="0.25">
      <c r="A14" s="301" t="s">
        <v>694</v>
      </c>
      <c r="B14" s="300">
        <f>SUM(B12:B13)</f>
        <v>45948564.639255516</v>
      </c>
      <c r="I14" s="296"/>
      <c r="J14" s="296"/>
      <c r="K14" s="296"/>
      <c r="M14" s="375"/>
    </row>
    <row r="15" spans="1:13" x14ac:dyDescent="0.25">
      <c r="A15" s="301"/>
      <c r="B15" s="300"/>
      <c r="C15" s="296"/>
      <c r="I15" s="296"/>
      <c r="M15" s="375"/>
    </row>
    <row r="16" spans="1:13" x14ac:dyDescent="0.25">
      <c r="A16" s="301"/>
      <c r="I16" s="296"/>
      <c r="M16" s="375"/>
    </row>
    <row r="17" spans="1:13" x14ac:dyDescent="0.25">
      <c r="A17" s="303" t="s">
        <v>696</v>
      </c>
      <c r="B17" s="433"/>
      <c r="C17" s="433"/>
      <c r="D17" s="433"/>
      <c r="E17" s="433"/>
      <c r="F17" s="434"/>
      <c r="M17" s="375"/>
    </row>
    <row r="18" spans="1:13" x14ac:dyDescent="0.25">
      <c r="A18" s="435" t="s">
        <v>697</v>
      </c>
      <c r="B18" s="840">
        <f>-(496320+566043-98162)/2</f>
        <v>-482100.5</v>
      </c>
      <c r="C18" s="295" t="s">
        <v>698</v>
      </c>
      <c r="F18" s="436"/>
      <c r="M18" s="375"/>
    </row>
    <row r="19" spans="1:13" x14ac:dyDescent="0.25">
      <c r="A19" s="435" t="s">
        <v>699</v>
      </c>
      <c r="B19" s="840">
        <f>-361032+180627</f>
        <v>-180405</v>
      </c>
      <c r="C19" s="295" t="s">
        <v>700</v>
      </c>
      <c r="E19" s="296"/>
      <c r="F19" s="436"/>
    </row>
    <row r="20" spans="1:13" x14ac:dyDescent="0.25">
      <c r="A20" s="435" t="s">
        <v>701</v>
      </c>
      <c r="B20" s="840">
        <f>100000/3</f>
        <v>33333.333333333336</v>
      </c>
      <c r="C20" s="295" t="s">
        <v>698</v>
      </c>
      <c r="D20" s="295" t="s">
        <v>773</v>
      </c>
      <c r="F20" s="436"/>
    </row>
    <row r="21" spans="1:13" x14ac:dyDescent="0.25">
      <c r="A21" s="435" t="s">
        <v>702</v>
      </c>
      <c r="B21" s="840">
        <v>-256553</v>
      </c>
      <c r="C21" s="295" t="s">
        <v>703</v>
      </c>
      <c r="F21" s="436"/>
    </row>
    <row r="22" spans="1:13" x14ac:dyDescent="0.25">
      <c r="A22" s="459" t="s">
        <v>695</v>
      </c>
      <c r="B22" s="887">
        <f>-17481-8568/5*12</f>
        <v>-38044.199999999997</v>
      </c>
      <c r="C22" s="295" t="s">
        <v>704</v>
      </c>
      <c r="F22" s="436"/>
    </row>
    <row r="23" spans="1:13" x14ac:dyDescent="0.25">
      <c r="A23" s="437" t="s">
        <v>705</v>
      </c>
      <c r="B23" s="300">
        <f>SUM(B18:B22)</f>
        <v>-923769.36666666658</v>
      </c>
      <c r="F23" s="436"/>
    </row>
    <row r="24" spans="1:13" x14ac:dyDescent="0.25">
      <c r="A24" s="438"/>
      <c r="B24" s="439"/>
      <c r="C24" s="440"/>
      <c r="D24" s="440"/>
      <c r="E24" s="440"/>
      <c r="F24" s="441"/>
    </row>
    <row r="25" spans="1:13" x14ac:dyDescent="0.25">
      <c r="B25" s="296"/>
    </row>
    <row r="27" spans="1:13" x14ac:dyDescent="0.25">
      <c r="B27" s="296"/>
      <c r="C27" s="296"/>
    </row>
    <row r="28" spans="1:13" x14ac:dyDescent="0.25">
      <c r="B28" s="296"/>
    </row>
    <row r="29" spans="1:13" x14ac:dyDescent="0.25">
      <c r="B29" s="296"/>
      <c r="C29" s="296"/>
    </row>
    <row r="30" spans="1:13" x14ac:dyDescent="0.25">
      <c r="B30" s="296"/>
      <c r="C30" s="296"/>
    </row>
    <row r="31" spans="1:13" x14ac:dyDescent="0.25">
      <c r="B31" s="296"/>
      <c r="C31" s="296"/>
    </row>
    <row r="32" spans="1:13" x14ac:dyDescent="0.25">
      <c r="B32" s="296"/>
      <c r="C32" s="296"/>
    </row>
    <row r="33" spans="2:3" x14ac:dyDescent="0.25">
      <c r="B33" s="296"/>
      <c r="C33" s="296"/>
    </row>
    <row r="34" spans="2:3" x14ac:dyDescent="0.25">
      <c r="B34" s="296"/>
      <c r="C34" s="296"/>
    </row>
    <row r="35" spans="2:3" x14ac:dyDescent="0.25">
      <c r="B35" s="296"/>
    </row>
    <row r="36" spans="2:3" x14ac:dyDescent="0.25">
      <c r="B36" s="296"/>
    </row>
    <row r="37" spans="2:3" x14ac:dyDescent="0.25">
      <c r="B37" s="296"/>
    </row>
    <row r="38" spans="2:3" x14ac:dyDescent="0.25">
      <c r="B38" s="296"/>
    </row>
    <row r="39" spans="2:3" x14ac:dyDescent="0.25">
      <c r="B39" s="296"/>
    </row>
    <row r="40" spans="2:3" x14ac:dyDescent="0.25">
      <c r="B40" s="296"/>
    </row>
    <row r="41" spans="2:3" x14ac:dyDescent="0.25">
      <c r="B41" s="296"/>
    </row>
    <row r="42" spans="2:3" x14ac:dyDescent="0.25">
      <c r="B42" s="296"/>
    </row>
    <row r="43" spans="2:3" x14ac:dyDescent="0.25">
      <c r="B43" s="296"/>
    </row>
    <row r="44" spans="2:3" x14ac:dyDescent="0.25">
      <c r="B44" s="296"/>
    </row>
    <row r="45" spans="2:3" x14ac:dyDescent="0.25">
      <c r="B45" s="296"/>
    </row>
    <row r="46" spans="2:3" x14ac:dyDescent="0.25">
      <c r="B46" s="296"/>
    </row>
    <row r="47" spans="2:3" x14ac:dyDescent="0.25">
      <c r="B47" s="296"/>
    </row>
    <row r="48" spans="2:3" x14ac:dyDescent="0.25">
      <c r="B48" s="296"/>
    </row>
    <row r="49" spans="2:2" x14ac:dyDescent="0.25">
      <c r="B49" s="296"/>
    </row>
    <row r="50" spans="2:2" x14ac:dyDescent="0.25">
      <c r="B50" s="296"/>
    </row>
    <row r="51" spans="2:2" x14ac:dyDescent="0.25">
      <c r="B51" s="296"/>
    </row>
    <row r="52" spans="2:2" x14ac:dyDescent="0.25">
      <c r="B52" s="296"/>
    </row>
  </sheetData>
  <pageMargins left="0.7" right="0.7" top="0.75" bottom="0.75" header="0.3" footer="0.3"/>
  <pageSetup orientation="portrait" horizontalDpi="0" verticalDpi="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C67CD-1981-48B8-9945-7DDD40D8F658}">
  <dimension ref="A5:N29"/>
  <sheetViews>
    <sheetView zoomScaleNormal="100" workbookViewId="0">
      <selection activeCell="B12" sqref="B12"/>
    </sheetView>
  </sheetViews>
  <sheetFormatPr defaultRowHeight="12.75" x14ac:dyDescent="0.2"/>
  <cols>
    <col min="1" max="1" width="23.42578125" customWidth="1"/>
    <col min="2" max="2" width="15.85546875" customWidth="1"/>
    <col min="3" max="4" width="14.7109375" customWidth="1"/>
    <col min="5" max="5" width="15.7109375" customWidth="1"/>
    <col min="6" max="6" width="15" customWidth="1"/>
    <col min="7" max="7" width="16.28515625" customWidth="1"/>
    <col min="9" max="9" width="18.140625" customWidth="1"/>
    <col min="10" max="10" width="29.140625" customWidth="1"/>
    <col min="11" max="11" width="14.5703125" customWidth="1"/>
    <col min="12" max="13" width="15.5703125" customWidth="1"/>
    <col min="14" max="14" width="13.7109375" customWidth="1"/>
  </cols>
  <sheetData>
    <row r="5" spans="1:14" x14ac:dyDescent="0.2">
      <c r="A5" s="315" t="s">
        <v>706</v>
      </c>
    </row>
    <row r="7" spans="1:14" x14ac:dyDescent="0.2">
      <c r="B7" s="344"/>
    </row>
    <row r="8" spans="1:14" x14ac:dyDescent="0.2">
      <c r="B8" s="344" t="s">
        <v>707</v>
      </c>
      <c r="C8" s="344">
        <v>2020</v>
      </c>
      <c r="D8" s="344">
        <v>2020</v>
      </c>
      <c r="E8" s="344">
        <v>2020</v>
      </c>
      <c r="F8" s="344">
        <v>2020</v>
      </c>
      <c r="G8" s="344">
        <v>2020</v>
      </c>
      <c r="I8" s="344">
        <v>2020</v>
      </c>
      <c r="J8" s="344"/>
      <c r="K8" s="344"/>
      <c r="L8" s="344">
        <v>2020</v>
      </c>
      <c r="M8" s="344">
        <v>2020</v>
      </c>
      <c r="N8" s="344">
        <v>2020</v>
      </c>
    </row>
    <row r="9" spans="1:14" s="179" customFormat="1" x14ac:dyDescent="0.2">
      <c r="B9" s="344" t="s">
        <v>629</v>
      </c>
      <c r="C9" s="344" t="s">
        <v>211</v>
      </c>
      <c r="D9" s="344" t="s">
        <v>708</v>
      </c>
      <c r="E9" s="344" t="s">
        <v>630</v>
      </c>
      <c r="F9" s="344" t="s">
        <v>215</v>
      </c>
      <c r="G9" s="344" t="s">
        <v>709</v>
      </c>
      <c r="I9" s="344" t="s">
        <v>630</v>
      </c>
      <c r="J9" s="344"/>
      <c r="K9" s="344" t="s">
        <v>710</v>
      </c>
      <c r="L9" s="344" t="s">
        <v>630</v>
      </c>
      <c r="M9" s="344" t="s">
        <v>711</v>
      </c>
      <c r="N9" s="344" t="s">
        <v>709</v>
      </c>
    </row>
    <row r="10" spans="1:14" s="179" customFormat="1" x14ac:dyDescent="0.2">
      <c r="A10" s="179" t="s">
        <v>148</v>
      </c>
      <c r="B10" s="344" t="s">
        <v>631</v>
      </c>
      <c r="C10" s="344" t="s">
        <v>43</v>
      </c>
      <c r="D10" s="344" t="s">
        <v>712</v>
      </c>
      <c r="E10" s="344" t="s">
        <v>712</v>
      </c>
      <c r="F10" s="344" t="s">
        <v>712</v>
      </c>
      <c r="G10" s="344" t="s">
        <v>712</v>
      </c>
      <c r="I10" s="344" t="s">
        <v>712</v>
      </c>
      <c r="J10" s="344"/>
      <c r="K10" s="344" t="s">
        <v>713</v>
      </c>
      <c r="L10" s="344" t="s">
        <v>712</v>
      </c>
      <c r="M10" s="344" t="s">
        <v>712</v>
      </c>
      <c r="N10" s="344" t="s">
        <v>712</v>
      </c>
    </row>
    <row r="11" spans="1:14" s="315" customFormat="1" x14ac:dyDescent="0.2">
      <c r="A11" s="315" t="s">
        <v>714</v>
      </c>
      <c r="B11" s="349" t="s">
        <v>715</v>
      </c>
      <c r="C11" s="349" t="s">
        <v>716</v>
      </c>
      <c r="D11" s="349" t="s">
        <v>716</v>
      </c>
      <c r="E11" s="349" t="s">
        <v>715</v>
      </c>
      <c r="F11" s="349" t="s">
        <v>715</v>
      </c>
      <c r="G11" s="349" t="s">
        <v>715</v>
      </c>
      <c r="I11" s="349" t="s">
        <v>715</v>
      </c>
      <c r="J11" s="349" t="s">
        <v>717</v>
      </c>
      <c r="K11" s="349" t="s">
        <v>638</v>
      </c>
      <c r="L11" s="349" t="s">
        <v>638</v>
      </c>
      <c r="M11" s="349" t="s">
        <v>638</v>
      </c>
      <c r="N11" s="349" t="s">
        <v>638</v>
      </c>
    </row>
    <row r="12" spans="1:14" s="313" customFormat="1" ht="15" x14ac:dyDescent="0.25">
      <c r="A12" s="546" t="s">
        <v>16</v>
      </c>
      <c r="B12" s="549">
        <v>23727445.759099077</v>
      </c>
      <c r="C12" s="544">
        <v>719333.65760996565</v>
      </c>
      <c r="D12" s="544">
        <v>3432.4705659388687</v>
      </c>
      <c r="E12" s="313">
        <f>C12+B12+D12</f>
        <v>24450211.887274981</v>
      </c>
      <c r="F12" s="547">
        <f>'EEC Collection True-Up'!G14</f>
        <v>25005109.43</v>
      </c>
      <c r="G12" s="313">
        <f>F12-E12</f>
        <v>554897.54272501916</v>
      </c>
      <c r="I12" s="313">
        <f>E12</f>
        <v>24450211.887274981</v>
      </c>
      <c r="J12" s="1" t="s">
        <v>16</v>
      </c>
      <c r="K12" s="316">
        <v>1</v>
      </c>
      <c r="L12" s="313">
        <f>K12*I12</f>
        <v>24450211.887274981</v>
      </c>
      <c r="M12" s="546">
        <v>24643401.839999996</v>
      </c>
      <c r="N12" s="313">
        <f>M12-L12</f>
        <v>193189.95272501558</v>
      </c>
    </row>
    <row r="13" spans="1:14" s="313" customFormat="1" ht="15" x14ac:dyDescent="0.25">
      <c r="A13" s="546" t="s">
        <v>76</v>
      </c>
      <c r="B13" s="549">
        <v>18796613.696880341</v>
      </c>
      <c r="C13" s="544">
        <v>-2176310.6436108667</v>
      </c>
      <c r="D13" s="544">
        <v>-10384.780619544146</v>
      </c>
      <c r="E13" s="313">
        <f>C13+B13+D13</f>
        <v>16609918.272649929</v>
      </c>
      <c r="F13" s="547">
        <f>'EEC Collection True-Up'!G15</f>
        <v>17206315.709999997</v>
      </c>
      <c r="G13" s="313">
        <f>F13-E13</f>
        <v>596397.43735006824</v>
      </c>
      <c r="I13" s="313">
        <f>E13</f>
        <v>16609918.272649929</v>
      </c>
      <c r="J13" s="1" t="s">
        <v>718</v>
      </c>
      <c r="K13" s="316">
        <f>3975815/20928714</f>
        <v>0.18996938846792019</v>
      </c>
      <c r="L13" s="313">
        <f>K13*I$13</f>
        <v>3155376.0167574403</v>
      </c>
      <c r="M13" s="546">
        <f>3213831.32+127265</f>
        <v>3341096.32</v>
      </c>
      <c r="N13" s="313">
        <f t="shared" ref="N13:N18" si="0">M13-L13</f>
        <v>185720.30324255954</v>
      </c>
    </row>
    <row r="14" spans="1:14" s="317" customFormat="1" x14ac:dyDescent="0.2">
      <c r="A14" s="317" t="s">
        <v>52</v>
      </c>
      <c r="B14" s="550">
        <v>5419855.8450113749</v>
      </c>
      <c r="C14" s="545">
        <v>-39995.722740317695</v>
      </c>
      <c r="D14" s="545">
        <v>-190.84904427484756</v>
      </c>
      <c r="E14" s="317">
        <f>C14+B14+D14</f>
        <v>5379669.2732267827</v>
      </c>
      <c r="F14" s="548">
        <f>'EEC Collection True-Up'!G16</f>
        <v>5459538.9300000006</v>
      </c>
      <c r="G14" s="317">
        <f>F14-E14</f>
        <v>79869.656773217954</v>
      </c>
      <c r="I14" s="317">
        <f>E14</f>
        <v>5379669.2732267827</v>
      </c>
      <c r="J14" s="405" t="s">
        <v>174</v>
      </c>
      <c r="K14" s="316">
        <f>10818148/20928714</f>
        <v>0.51690457426098901</v>
      </c>
      <c r="L14" s="313">
        <f>K14*I$13</f>
        <v>8585742.7332339343</v>
      </c>
      <c r="M14" s="546">
        <v>9021625.7699999996</v>
      </c>
      <c r="N14" s="313">
        <f t="shared" si="0"/>
        <v>435883.03676606528</v>
      </c>
    </row>
    <row r="15" spans="1:14" s="318" customFormat="1" ht="15" x14ac:dyDescent="0.25">
      <c r="B15" s="318">
        <f t="shared" ref="B15:G15" si="1">SUM(B12:B14)</f>
        <v>47943915.300990798</v>
      </c>
      <c r="C15" s="318">
        <f t="shared" si="1"/>
        <v>-1496972.7087412188</v>
      </c>
      <c r="D15" s="318">
        <f t="shared" si="1"/>
        <v>-7143.159097880125</v>
      </c>
      <c r="E15" s="318">
        <f t="shared" si="1"/>
        <v>46439799.433151692</v>
      </c>
      <c r="F15" s="318">
        <f t="shared" si="1"/>
        <v>47670964.07</v>
      </c>
      <c r="G15" s="318">
        <f t="shared" si="1"/>
        <v>1231164.6368483054</v>
      </c>
      <c r="I15" s="318">
        <f>SUM(I12:I14)</f>
        <v>46439799.433151692</v>
      </c>
      <c r="J15" s="1" t="s">
        <v>719</v>
      </c>
      <c r="K15" s="316">
        <f>6134750/20928714</f>
        <v>0.29312598948984636</v>
      </c>
      <c r="L15" s="313">
        <f>K15*I$13</f>
        <v>4868798.7290159902</v>
      </c>
      <c r="M15" s="546">
        <v>4571640.7</v>
      </c>
      <c r="N15" s="313">
        <f t="shared" si="0"/>
        <v>-297158.02901598997</v>
      </c>
    </row>
    <row r="16" spans="1:14" ht="15" x14ac:dyDescent="0.25">
      <c r="G16" s="313"/>
      <c r="J16" s="1" t="s">
        <v>720</v>
      </c>
      <c r="K16" s="316">
        <f>48173/5019111</f>
        <v>9.5979148498608613E-3</v>
      </c>
      <c r="L16" s="313">
        <f>K16*I$14</f>
        <v>51633.607604843528</v>
      </c>
      <c r="M16" s="546">
        <v>39835.259999999995</v>
      </c>
      <c r="N16" s="313">
        <f t="shared" si="0"/>
        <v>-11798.347604843533</v>
      </c>
    </row>
    <row r="17" spans="1:14" ht="15" x14ac:dyDescent="0.25">
      <c r="E17" s="313"/>
      <c r="J17" s="1" t="s">
        <v>23</v>
      </c>
      <c r="K17" s="316">
        <f>3341890/5019111</f>
        <v>0.6658330529051858</v>
      </c>
      <c r="L17" s="313">
        <f>K17*I$14</f>
        <v>3581961.6158128106</v>
      </c>
      <c r="M17" s="546">
        <v>3559384.26</v>
      </c>
      <c r="N17" s="313">
        <f t="shared" si="0"/>
        <v>-22577.355812810827</v>
      </c>
    </row>
    <row r="18" spans="1:14" ht="15" x14ac:dyDescent="0.25">
      <c r="C18" s="599"/>
      <c r="D18" s="599"/>
      <c r="E18" s="599"/>
      <c r="J18" s="1" t="s">
        <v>721</v>
      </c>
      <c r="K18" s="316">
        <f>1629048/5019111</f>
        <v>0.32456903224495331</v>
      </c>
      <c r="L18" s="317">
        <f>K18*I$14</f>
        <v>1746074.0498091283</v>
      </c>
      <c r="M18" s="317">
        <v>1883269.6000000003</v>
      </c>
      <c r="N18" s="317">
        <f t="shared" si="0"/>
        <v>137195.55019087205</v>
      </c>
    </row>
    <row r="19" spans="1:14" ht="15" x14ac:dyDescent="0.25">
      <c r="A19" s="1"/>
      <c r="C19" s="2"/>
      <c r="D19" s="2"/>
      <c r="E19" s="2"/>
      <c r="L19" s="318">
        <f>SUM(L12:L18)</f>
        <v>46439798.639509127</v>
      </c>
      <c r="M19" s="318">
        <f>SUM(M12:M18)</f>
        <v>47060253.749999993</v>
      </c>
      <c r="N19" s="318">
        <f>SUM(N12:N18)</f>
        <v>620455.1104908681</v>
      </c>
    </row>
    <row r="20" spans="1:14" ht="15" x14ac:dyDescent="0.25">
      <c r="A20" s="1"/>
      <c r="C20" s="18"/>
      <c r="D20" s="18"/>
      <c r="E20" s="18"/>
      <c r="F20" s="314"/>
    </row>
    <row r="21" spans="1:14" ht="15" x14ac:dyDescent="0.25">
      <c r="A21" s="1"/>
      <c r="C21" s="2"/>
      <c r="D21" s="2"/>
      <c r="E21" s="2"/>
      <c r="F21" s="314"/>
    </row>
    <row r="22" spans="1:14" ht="15" x14ac:dyDescent="0.25">
      <c r="C22" s="598"/>
      <c r="D22" s="598"/>
      <c r="E22" s="598"/>
      <c r="F22" s="314"/>
    </row>
    <row r="23" spans="1:14" ht="15" x14ac:dyDescent="0.25">
      <c r="C23" s="16"/>
      <c r="D23" s="16"/>
      <c r="E23" s="16"/>
    </row>
    <row r="29" spans="1:14" ht="15" x14ac:dyDescent="0.25">
      <c r="A29" s="1"/>
    </row>
  </sheetData>
  <pageMargins left="0.7" right="0.7" top="0.75" bottom="0.75" header="0.3" footer="0.3"/>
  <pageSetup orientation="portrait" horizontalDpi="0" verticalDpi="0"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23CE1-CC0D-48C1-92A0-9B8B3A3F50CB}">
  <dimension ref="A9:M27"/>
  <sheetViews>
    <sheetView workbookViewId="0">
      <selection activeCell="C11" sqref="C11"/>
    </sheetView>
  </sheetViews>
  <sheetFormatPr defaultRowHeight="12.75" x14ac:dyDescent="0.2"/>
  <cols>
    <col min="1" max="1" width="25.42578125" customWidth="1"/>
    <col min="2" max="2" width="7.85546875" customWidth="1"/>
    <col min="3" max="3" width="14.85546875" customWidth="1"/>
    <col min="4" max="4" width="15.7109375" customWidth="1"/>
    <col min="5" max="5" width="16.5703125" customWidth="1"/>
    <col min="6" max="6" width="15.5703125" customWidth="1"/>
    <col min="7" max="7" width="15" bestFit="1" customWidth="1"/>
    <col min="8" max="9" width="13.85546875" bestFit="1" customWidth="1"/>
    <col min="10" max="10" width="11.140625" bestFit="1" customWidth="1"/>
    <col min="11" max="12" width="13.85546875" bestFit="1" customWidth="1"/>
    <col min="13" max="13" width="11.140625" bestFit="1" customWidth="1"/>
  </cols>
  <sheetData>
    <row r="9" spans="1:13" s="479" customFormat="1" ht="51" x14ac:dyDescent="0.2">
      <c r="A9" s="478" t="s">
        <v>722</v>
      </c>
      <c r="B9" s="478"/>
      <c r="C9" s="319" t="s">
        <v>723</v>
      </c>
      <c r="D9" s="319" t="s">
        <v>724</v>
      </c>
      <c r="E9" s="319" t="s">
        <v>725</v>
      </c>
      <c r="F9" s="319" t="s">
        <v>726</v>
      </c>
      <c r="G9" s="319" t="s">
        <v>727</v>
      </c>
      <c r="I9" s="479" t="s">
        <v>728</v>
      </c>
    </row>
    <row r="10" spans="1:13" x14ac:dyDescent="0.2">
      <c r="A10" t="s">
        <v>16</v>
      </c>
      <c r="B10" s="477" t="s">
        <v>47</v>
      </c>
      <c r="C10" s="314">
        <v>2055526658.2381711</v>
      </c>
      <c r="D10" s="631">
        <v>1.188E-2</v>
      </c>
      <c r="E10" s="628">
        <f>D10*C10</f>
        <v>24419656.699869473</v>
      </c>
      <c r="F10" s="318">
        <f>E10/1.01025</f>
        <v>24171894.778390963</v>
      </c>
      <c r="G10" s="313">
        <f>F10*0.01025</f>
        <v>247761.92147850737</v>
      </c>
      <c r="H10" s="313"/>
      <c r="I10" s="345">
        <f>D10</f>
        <v>1.188E-2</v>
      </c>
      <c r="J10" s="610"/>
      <c r="K10" s="610"/>
      <c r="L10" s="610"/>
      <c r="M10" s="610"/>
    </row>
    <row r="11" spans="1:13" x14ac:dyDescent="0.2">
      <c r="A11" t="s">
        <v>17</v>
      </c>
      <c r="B11" s="477" t="s">
        <v>47</v>
      </c>
      <c r="C11" s="314">
        <f>329279856-C17</f>
        <v>316153277.51999998</v>
      </c>
      <c r="D11" s="631">
        <v>1.0240000000000001E-2</v>
      </c>
      <c r="E11" s="628">
        <f t="shared" ref="E11:E17" si="0">D11*C11</f>
        <v>3237409.5618048003</v>
      </c>
      <c r="F11" s="318">
        <f t="shared" ref="F11:F17" si="1">E11/1.01025</f>
        <v>3204562.7931747586</v>
      </c>
      <c r="G11" s="313">
        <f t="shared" ref="G11:G17" si="2">F11*0.01025</f>
        <v>32846.768630041275</v>
      </c>
      <c r="I11" s="345">
        <f>SUM(E11:E13,E17)/SUM(C11:C12,C17)</f>
        <v>1.0292429242640793E-2</v>
      </c>
    </row>
    <row r="12" spans="1:13" x14ac:dyDescent="0.2">
      <c r="A12" t="s">
        <v>236</v>
      </c>
      <c r="B12" s="477" t="s">
        <v>47</v>
      </c>
      <c r="C12" s="314">
        <v>1494771203</v>
      </c>
      <c r="D12" s="631">
        <v>6.62E-3</v>
      </c>
      <c r="E12" s="628">
        <f t="shared" si="0"/>
        <v>9895385.3638599999</v>
      </c>
      <c r="F12" s="318">
        <f t="shared" si="1"/>
        <v>9794986.7496758215</v>
      </c>
      <c r="G12" s="313">
        <f t="shared" si="2"/>
        <v>100398.61418417718</v>
      </c>
      <c r="I12" s="345">
        <f>SUM(E14:E16)/SUM(C14:C15)</f>
        <v>8.1122542763008374E-3</v>
      </c>
    </row>
    <row r="13" spans="1:13" x14ac:dyDescent="0.2">
      <c r="A13" t="s">
        <v>236</v>
      </c>
      <c r="B13" s="477" t="s">
        <v>51</v>
      </c>
      <c r="C13" s="314">
        <v>4837869.8620000007</v>
      </c>
      <c r="D13" s="631">
        <v>1.13825</v>
      </c>
      <c r="E13" s="628">
        <f t="shared" si="0"/>
        <v>5506705.3704215009</v>
      </c>
      <c r="F13" s="318">
        <f t="shared" si="1"/>
        <v>5450834.3186552841</v>
      </c>
      <c r="G13" s="313">
        <f t="shared" si="2"/>
        <v>55871.051766216668</v>
      </c>
    </row>
    <row r="14" spans="1:13" x14ac:dyDescent="0.2">
      <c r="A14" t="s">
        <v>21</v>
      </c>
      <c r="B14" s="477" t="s">
        <v>47</v>
      </c>
      <c r="C14" s="314">
        <v>5578093</v>
      </c>
      <c r="D14" s="631">
        <v>7.5700000000000003E-3</v>
      </c>
      <c r="E14" s="628">
        <f t="shared" si="0"/>
        <v>42226.16401</v>
      </c>
      <c r="F14" s="318">
        <f t="shared" si="1"/>
        <v>41797.737203662458</v>
      </c>
      <c r="G14" s="313">
        <f t="shared" si="2"/>
        <v>428.4268063375402</v>
      </c>
    </row>
    <row r="15" spans="1:13" x14ac:dyDescent="0.2">
      <c r="A15" t="s">
        <v>238</v>
      </c>
      <c r="B15" s="477" t="s">
        <v>47</v>
      </c>
      <c r="C15" s="314">
        <v>723823600</v>
      </c>
      <c r="D15" s="631">
        <v>5.2100000000000002E-3</v>
      </c>
      <c r="E15" s="628">
        <f t="shared" si="0"/>
        <v>3771120.9560000002</v>
      </c>
      <c r="F15" s="318">
        <f t="shared" si="1"/>
        <v>3732859.1497154171</v>
      </c>
      <c r="G15" s="313">
        <f t="shared" si="2"/>
        <v>38261.806284583028</v>
      </c>
    </row>
    <row r="16" spans="1:13" x14ac:dyDescent="0.2">
      <c r="A16" t="s">
        <v>238</v>
      </c>
      <c r="B16" s="477" t="s">
        <v>51</v>
      </c>
      <c r="C16" s="314">
        <v>1734103.402</v>
      </c>
      <c r="D16" s="631">
        <v>1.21316</v>
      </c>
      <c r="E16" s="628">
        <f t="shared" si="0"/>
        <v>2103744.8831703202</v>
      </c>
      <c r="F16" s="318">
        <f t="shared" si="1"/>
        <v>2082400.2802972728</v>
      </c>
      <c r="G16" s="313">
        <f t="shared" si="2"/>
        <v>21344.602873047046</v>
      </c>
    </row>
    <row r="17" spans="1:7" s="309" customFormat="1" x14ac:dyDescent="0.2">
      <c r="A17" s="309" t="s">
        <v>729</v>
      </c>
      <c r="B17" s="599" t="s">
        <v>47</v>
      </c>
      <c r="C17" s="326">
        <v>13126578.48</v>
      </c>
      <c r="D17" s="632">
        <v>1.0240000000000001E-2</v>
      </c>
      <c r="E17" s="629">
        <f t="shared" si="0"/>
        <v>134416.16363520001</v>
      </c>
      <c r="F17" s="630">
        <f t="shared" si="1"/>
        <v>133052.37677327392</v>
      </c>
      <c r="G17" s="317">
        <f t="shared" si="2"/>
        <v>1363.7868619260578</v>
      </c>
    </row>
    <row r="18" spans="1:7" x14ac:dyDescent="0.2">
      <c r="E18" s="318">
        <f>SUM(E10:E17)</f>
        <v>49110665.162771299</v>
      </c>
      <c r="F18" s="318">
        <f>SUM(F10:F17)</f>
        <v>48612388.183886454</v>
      </c>
      <c r="G18" s="318">
        <f>SUM(G10:G17)</f>
        <v>498276.97888483625</v>
      </c>
    </row>
    <row r="20" spans="1:7" x14ac:dyDescent="0.2">
      <c r="D20" s="656" t="s">
        <v>730</v>
      </c>
      <c r="E20" s="657">
        <f>F20*1.01025</f>
        <v>47158168.945500001</v>
      </c>
      <c r="F20" s="657">
        <v>46679702</v>
      </c>
      <c r="G20" s="657">
        <f>'EEC Calculation'!B49</f>
        <v>466365.12935151596</v>
      </c>
    </row>
    <row r="21" spans="1:7" x14ac:dyDescent="0.2">
      <c r="D21" s="405" t="s">
        <v>731</v>
      </c>
      <c r="E21" s="313">
        <f>E18-E20</f>
        <v>1952496.2172712982</v>
      </c>
      <c r="F21" s="313">
        <f>F18-F20</f>
        <v>1932686.1838864535</v>
      </c>
      <c r="G21" s="313">
        <f>G18-G20</f>
        <v>31911.849533320288</v>
      </c>
    </row>
    <row r="25" spans="1:7" x14ac:dyDescent="0.2">
      <c r="C25" s="314"/>
      <c r="D25" s="314"/>
      <c r="E25" s="314"/>
      <c r="F25" s="314"/>
      <c r="G25" s="314"/>
    </row>
    <row r="26" spans="1:7" x14ac:dyDescent="0.2">
      <c r="C26" s="314"/>
      <c r="D26" s="314"/>
      <c r="E26" s="314"/>
      <c r="F26" s="314"/>
      <c r="G26" s="314"/>
    </row>
    <row r="27" spans="1:7" x14ac:dyDescent="0.2">
      <c r="C27" s="329"/>
      <c r="D27" s="329"/>
      <c r="E27" s="329"/>
      <c r="F27" s="329"/>
      <c r="G27" s="329"/>
    </row>
  </sheetData>
  <pageMargins left="0.7" right="0.7" top="0.75" bottom="0.75" header="0.3" footer="0.3"/>
  <pageSetup orientation="portrait" horizontalDpi="300" verticalDpi="300"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68EFE-576A-415E-8010-A127922AB46B}">
  <dimension ref="A6:S53"/>
  <sheetViews>
    <sheetView workbookViewId="0">
      <selection activeCell="J10" sqref="J10"/>
    </sheetView>
  </sheetViews>
  <sheetFormatPr defaultRowHeight="12.75" x14ac:dyDescent="0.2"/>
  <cols>
    <col min="1" max="1" width="13.85546875" customWidth="1"/>
    <col min="2" max="2" width="38.7109375" bestFit="1" customWidth="1"/>
    <col min="3" max="16" width="13.85546875" customWidth="1"/>
    <col min="17" max="17" width="13" customWidth="1"/>
    <col min="18" max="18" width="11.7109375" customWidth="1"/>
    <col min="19" max="19" width="11.5703125" customWidth="1"/>
  </cols>
  <sheetData>
    <row r="6" spans="1:19" ht="15" x14ac:dyDescent="0.25">
      <c r="A6" s="181" t="s">
        <v>732</v>
      </c>
      <c r="B6" s="181"/>
      <c r="C6" s="1"/>
      <c r="D6" s="1"/>
      <c r="E6" s="1"/>
      <c r="F6" s="1"/>
      <c r="G6" s="1"/>
      <c r="H6" s="1"/>
      <c r="I6" s="1"/>
      <c r="J6" s="383"/>
      <c r="K6" s="1"/>
      <c r="L6" s="1"/>
      <c r="M6" s="1"/>
      <c r="N6" s="1"/>
      <c r="O6" s="1"/>
      <c r="P6" s="1"/>
      <c r="Q6" s="1"/>
      <c r="R6" s="1"/>
      <c r="S6" s="1"/>
    </row>
    <row r="7" spans="1:19" ht="15" x14ac:dyDescent="0.25">
      <c r="A7" s="181" t="s">
        <v>733</v>
      </c>
      <c r="B7" s="181"/>
      <c r="C7" s="1"/>
      <c r="D7" s="518" t="s">
        <v>358</v>
      </c>
      <c r="E7" s="1"/>
      <c r="F7" s="1"/>
      <c r="G7" s="1"/>
      <c r="H7" s="1"/>
      <c r="I7" s="1"/>
      <c r="J7" s="1"/>
      <c r="K7" s="1"/>
      <c r="L7" s="1"/>
      <c r="M7" s="1"/>
      <c r="N7" s="1"/>
      <c r="O7" s="1"/>
      <c r="P7" s="1"/>
      <c r="Q7" s="1"/>
      <c r="R7" s="1"/>
      <c r="S7" s="1"/>
    </row>
    <row r="8" spans="1:19" ht="15" x14ac:dyDescent="0.25">
      <c r="A8" s="190" t="s">
        <v>359</v>
      </c>
      <c r="B8" s="181"/>
      <c r="C8" s="182" t="s">
        <v>360</v>
      </c>
      <c r="D8" s="1022" t="s">
        <v>361</v>
      </c>
      <c r="E8" s="1023"/>
      <c r="F8" s="1023"/>
      <c r="G8" s="1023"/>
      <c r="H8" s="1023"/>
      <c r="I8" s="1024"/>
      <c r="J8" s="1000" t="s">
        <v>362</v>
      </c>
      <c r="K8" s="1001"/>
      <c r="L8" s="1001"/>
      <c r="M8" s="1001"/>
      <c r="N8" s="1001"/>
      <c r="O8" s="1002"/>
      <c r="P8" s="70" t="s">
        <v>363</v>
      </c>
      <c r="Q8" s="19">
        <v>2020</v>
      </c>
      <c r="R8" s="1"/>
      <c r="S8" s="1"/>
    </row>
    <row r="9" spans="1:19" ht="15" x14ac:dyDescent="0.25">
      <c r="A9" s="191" t="s">
        <v>364</v>
      </c>
      <c r="B9" s="183" t="s">
        <v>365</v>
      </c>
      <c r="C9" s="184" t="s">
        <v>366</v>
      </c>
      <c r="D9" s="798" t="s">
        <v>367</v>
      </c>
      <c r="E9" s="70" t="s">
        <v>368</v>
      </c>
      <c r="F9" s="70" t="s">
        <v>369</v>
      </c>
      <c r="G9" s="70" t="s">
        <v>370</v>
      </c>
      <c r="H9" s="799" t="s">
        <v>371</v>
      </c>
      <c r="I9" s="800" t="s">
        <v>372</v>
      </c>
      <c r="J9" s="376" t="s">
        <v>373</v>
      </c>
      <c r="K9" s="71" t="s">
        <v>374</v>
      </c>
      <c r="L9" s="71" t="s">
        <v>375</v>
      </c>
      <c r="M9" s="71" t="s">
        <v>376</v>
      </c>
      <c r="N9" s="71" t="s">
        <v>377</v>
      </c>
      <c r="O9" s="377" t="s">
        <v>378</v>
      </c>
      <c r="P9" s="71" t="s">
        <v>379</v>
      </c>
      <c r="Q9" s="76" t="s">
        <v>734</v>
      </c>
      <c r="R9" s="1"/>
      <c r="S9" s="1"/>
    </row>
    <row r="10" spans="1:19" ht="15" x14ac:dyDescent="0.25">
      <c r="A10" s="1" t="s">
        <v>381</v>
      </c>
      <c r="B10" s="1" t="s">
        <v>382</v>
      </c>
      <c r="C10" s="186">
        <v>0</v>
      </c>
      <c r="D10" s="802">
        <v>15278.089581786686</v>
      </c>
      <c r="E10" s="803">
        <v>14445.958921059144</v>
      </c>
      <c r="F10" s="803">
        <v>14641.464983914871</v>
      </c>
      <c r="G10" s="803">
        <v>13852.432566196485</v>
      </c>
      <c r="H10" s="805">
        <v>10773.887651571393</v>
      </c>
      <c r="I10" s="804">
        <v>10000</v>
      </c>
      <c r="J10" s="493">
        <f t="shared" ref="J10:O25" si="0">$P10*J$34</f>
        <v>14771.968844414505</v>
      </c>
      <c r="K10" s="493">
        <f t="shared" si="0"/>
        <v>12996.817854373508</v>
      </c>
      <c r="L10" s="493">
        <f t="shared" si="0"/>
        <v>12098.22234137319</v>
      </c>
      <c r="M10" s="493">
        <f t="shared" si="0"/>
        <v>12518.235977418895</v>
      </c>
      <c r="N10" s="493">
        <f t="shared" si="0"/>
        <v>13641.403444631696</v>
      </c>
      <c r="O10" s="494">
        <f t="shared" si="0"/>
        <v>15412.089266645018</v>
      </c>
      <c r="P10" s="2">
        <f>Q10*Q$27</f>
        <v>159512.47281072545</v>
      </c>
      <c r="Q10" s="16">
        <v>3.4171698895626621E-3</v>
      </c>
      <c r="R10" s="16"/>
      <c r="S10" s="1"/>
    </row>
    <row r="11" spans="1:19" ht="15" x14ac:dyDescent="0.25">
      <c r="A11" s="1" t="s">
        <v>383</v>
      </c>
      <c r="B11" s="1" t="s">
        <v>384</v>
      </c>
      <c r="C11" s="186">
        <v>0</v>
      </c>
      <c r="D11" s="495">
        <v>23041.801534273691</v>
      </c>
      <c r="E11" s="186">
        <v>23129.403612967086</v>
      </c>
      <c r="F11" s="186">
        <v>24071.170502350902</v>
      </c>
      <c r="G11" s="186">
        <v>27351.071516951244</v>
      </c>
      <c r="H11" s="724">
        <v>20647.255629794603</v>
      </c>
      <c r="I11" s="797">
        <v>23117.169017569904</v>
      </c>
      <c r="J11" s="493">
        <f t="shared" si="0"/>
        <v>25990.139122956596</v>
      </c>
      <c r="K11" s="493">
        <f t="shared" si="0"/>
        <v>22866.897957114004</v>
      </c>
      <c r="L11" s="493">
        <f t="shared" si="0"/>
        <v>21285.888503051043</v>
      </c>
      <c r="M11" s="493">
        <f t="shared" si="0"/>
        <v>22024.870080208533</v>
      </c>
      <c r="N11" s="493">
        <f t="shared" si="0"/>
        <v>24000.996555879858</v>
      </c>
      <c r="O11" s="494">
        <f t="shared" si="0"/>
        <v>27116.381603186805</v>
      </c>
      <c r="P11" s="2">
        <f t="shared" ref="P11:P25" si="1">Q11*Q$27</f>
        <v>280649.88518880843</v>
      </c>
      <c r="Q11" s="16">
        <v>6.0122466931747691E-3</v>
      </c>
      <c r="R11" s="16"/>
      <c r="S11" s="1"/>
    </row>
    <row r="12" spans="1:19" ht="15" x14ac:dyDescent="0.25">
      <c r="A12" s="1" t="s">
        <v>390</v>
      </c>
      <c r="B12" s="1" t="s">
        <v>391</v>
      </c>
      <c r="C12" s="186">
        <v>0</v>
      </c>
      <c r="D12" s="495">
        <v>3441491.1655530808</v>
      </c>
      <c r="E12" s="186">
        <v>3219864.1524375151</v>
      </c>
      <c r="F12" s="186">
        <v>2852091.4625092796</v>
      </c>
      <c r="G12" s="186">
        <v>2655126.8497896558</v>
      </c>
      <c r="H12" s="724">
        <v>2884814.9269982674</v>
      </c>
      <c r="I12" s="797">
        <v>3199371.957436278</v>
      </c>
      <c r="J12" s="493">
        <f t="shared" si="0"/>
        <v>3373526.172029777</v>
      </c>
      <c r="K12" s="493">
        <f t="shared" si="0"/>
        <v>2968128.7339982027</v>
      </c>
      <c r="L12" s="493">
        <f t="shared" si="0"/>
        <v>2762913.3349472275</v>
      </c>
      <c r="M12" s="493">
        <f t="shared" si="0"/>
        <v>2858833.3174988651</v>
      </c>
      <c r="N12" s="493">
        <f t="shared" si="0"/>
        <v>3115334.9989011697</v>
      </c>
      <c r="O12" s="494">
        <f t="shared" si="0"/>
        <v>3519712.7108987584</v>
      </c>
      <c r="P12" s="2">
        <f t="shared" si="1"/>
        <v>36428421.117042989</v>
      </c>
      <c r="Q12" s="16">
        <v>0.78039103508335739</v>
      </c>
      <c r="R12" s="16"/>
      <c r="S12" s="1"/>
    </row>
    <row r="13" spans="1:19" ht="15" x14ac:dyDescent="0.25">
      <c r="A13" s="1" t="s">
        <v>398</v>
      </c>
      <c r="B13" s="1" t="s">
        <v>399</v>
      </c>
      <c r="C13" s="186">
        <v>0</v>
      </c>
      <c r="D13" s="495">
        <v>36969.205642167777</v>
      </c>
      <c r="E13" s="186">
        <v>39424.488987874283</v>
      </c>
      <c r="F13" s="186">
        <v>33128.997772828501</v>
      </c>
      <c r="G13" s="186">
        <v>38491.215045780744</v>
      </c>
      <c r="H13" s="724">
        <v>30017.312546399404</v>
      </c>
      <c r="I13" s="797">
        <v>30499.846572630537</v>
      </c>
      <c r="J13" s="493">
        <f t="shared" si="0"/>
        <v>36779.223556584308</v>
      </c>
      <c r="K13" s="493">
        <f t="shared" si="0"/>
        <v>32359.455562414976</v>
      </c>
      <c r="L13" s="493">
        <f t="shared" si="0"/>
        <v>30122.133942820656</v>
      </c>
      <c r="M13" s="493">
        <f t="shared" si="0"/>
        <v>31167.883198024367</v>
      </c>
      <c r="N13" s="493">
        <f t="shared" si="0"/>
        <v>33964.343697175893</v>
      </c>
      <c r="O13" s="494">
        <f t="shared" si="0"/>
        <v>38372.994323387218</v>
      </c>
      <c r="P13" s="2">
        <f t="shared" si="1"/>
        <v>397153.89054503379</v>
      </c>
      <c r="Q13" s="16">
        <v>8.5080639299192282E-3</v>
      </c>
      <c r="R13" s="16"/>
      <c r="S13" s="1"/>
    </row>
    <row r="14" spans="1:19" ht="15" x14ac:dyDescent="0.25">
      <c r="A14" s="1" t="s">
        <v>405</v>
      </c>
      <c r="B14" s="1" t="s">
        <v>406</v>
      </c>
      <c r="C14" s="186">
        <v>0</v>
      </c>
      <c r="D14" s="495">
        <v>11466.10244988864</v>
      </c>
      <c r="E14" s="186">
        <v>14220.529571888146</v>
      </c>
      <c r="F14" s="186">
        <v>12214.550853749071</v>
      </c>
      <c r="G14" s="186">
        <v>9989.7352140559251</v>
      </c>
      <c r="H14" s="724">
        <v>10947.715911902993</v>
      </c>
      <c r="I14" s="797">
        <v>11053.838158871566</v>
      </c>
      <c r="J14" s="493">
        <f t="shared" si="0"/>
        <v>14753.552139812762</v>
      </c>
      <c r="K14" s="493">
        <f t="shared" si="0"/>
        <v>12980.614289519852</v>
      </c>
      <c r="L14" s="493">
        <f t="shared" si="0"/>
        <v>12083.139085416315</v>
      </c>
      <c r="M14" s="493">
        <f t="shared" si="0"/>
        <v>12502.62907650005</v>
      </c>
      <c r="N14" s="493">
        <f t="shared" si="0"/>
        <v>13624.396253495628</v>
      </c>
      <c r="O14" s="494">
        <f t="shared" si="0"/>
        <v>15392.874502634273</v>
      </c>
      <c r="P14" s="2">
        <f t="shared" si="1"/>
        <v>159313.60330842756</v>
      </c>
      <c r="Q14" s="16">
        <v>3.4129095902692584E-3</v>
      </c>
      <c r="R14" s="16"/>
      <c r="S14" s="1"/>
    </row>
    <row r="15" spans="1:19" ht="15" x14ac:dyDescent="0.25">
      <c r="A15" s="1" t="s">
        <v>411</v>
      </c>
      <c r="B15" s="1" t="s">
        <v>412</v>
      </c>
      <c r="C15" s="186">
        <v>0</v>
      </c>
      <c r="D15" s="495">
        <v>6054.4716654293479</v>
      </c>
      <c r="E15" s="186">
        <v>6353.9420935412018</v>
      </c>
      <c r="F15" s="186">
        <v>5498.6488492947292</v>
      </c>
      <c r="G15" s="186">
        <v>5299.0645879732738</v>
      </c>
      <c r="H15" s="724">
        <v>4633.4471665429337</v>
      </c>
      <c r="I15" s="797">
        <v>4504.9443207126942</v>
      </c>
      <c r="J15" s="493">
        <f t="shared" si="0"/>
        <v>5406.6385053507656</v>
      </c>
      <c r="K15" s="493">
        <f t="shared" si="0"/>
        <v>4756.9214773327858</v>
      </c>
      <c r="L15" s="493">
        <f t="shared" si="0"/>
        <v>4428.0295637027366</v>
      </c>
      <c r="M15" s="493">
        <f t="shared" si="0"/>
        <v>4581.7573383369036</v>
      </c>
      <c r="N15" s="493">
        <f t="shared" si="0"/>
        <v>4992.8440756668533</v>
      </c>
      <c r="O15" s="494">
        <f t="shared" si="0"/>
        <v>5640.9268225916658</v>
      </c>
      <c r="P15" s="2">
        <f t="shared" si="1"/>
        <v>58382.622293999833</v>
      </c>
      <c r="Q15" s="16">
        <v>1.2507068285092227E-3</v>
      </c>
      <c r="R15" s="16"/>
      <c r="S15" s="1"/>
    </row>
    <row r="16" spans="1:19" ht="15" x14ac:dyDescent="0.25">
      <c r="A16" s="1" t="s">
        <v>414</v>
      </c>
      <c r="B16" s="1" t="s">
        <v>415</v>
      </c>
      <c r="C16" s="186">
        <v>0</v>
      </c>
      <c r="D16" s="495">
        <v>11880.653303637713</v>
      </c>
      <c r="E16" s="186">
        <v>13501.311556545408</v>
      </c>
      <c r="F16" s="186">
        <v>11113.912397921305</v>
      </c>
      <c r="G16" s="186">
        <v>10343.746597376887</v>
      </c>
      <c r="H16" s="724">
        <v>9865.6669141301663</v>
      </c>
      <c r="I16" s="797">
        <v>10012.363276416727</v>
      </c>
      <c r="J16" s="493">
        <f t="shared" si="0"/>
        <v>12275.97083859861</v>
      </c>
      <c r="K16" s="493">
        <f t="shared" si="0"/>
        <v>10800.764519293891</v>
      </c>
      <c r="L16" s="493">
        <f t="shared" si="0"/>
        <v>10054.003378008481</v>
      </c>
      <c r="M16" s="493">
        <f t="shared" si="0"/>
        <v>10403.047923269653</v>
      </c>
      <c r="N16" s="493">
        <f t="shared" si="0"/>
        <v>11336.435423581124</v>
      </c>
      <c r="O16" s="494">
        <f t="shared" si="0"/>
        <v>12807.931047779832</v>
      </c>
      <c r="P16" s="2">
        <f t="shared" si="1"/>
        <v>132559.88319780622</v>
      </c>
      <c r="Q16" s="16">
        <v>2.8397756830275222E-3</v>
      </c>
      <c r="R16" s="16"/>
      <c r="S16" s="1"/>
    </row>
    <row r="17" spans="1:19" ht="15" x14ac:dyDescent="0.25">
      <c r="A17" s="1" t="s">
        <v>418</v>
      </c>
      <c r="B17" s="1" t="s">
        <v>419</v>
      </c>
      <c r="C17" s="186">
        <v>0</v>
      </c>
      <c r="D17" s="495">
        <v>67888.839396189054</v>
      </c>
      <c r="E17" s="186">
        <v>60677.347191289278</v>
      </c>
      <c r="F17" s="186">
        <v>52703.043801039341</v>
      </c>
      <c r="G17" s="186">
        <v>39165.87973273942</v>
      </c>
      <c r="H17" s="724">
        <v>36031.417965850029</v>
      </c>
      <c r="I17" s="797">
        <v>38287.354615194257</v>
      </c>
      <c r="J17" s="493">
        <f t="shared" si="0"/>
        <v>51300.972577922665</v>
      </c>
      <c r="K17" s="493">
        <f t="shared" si="0"/>
        <v>45136.122569035782</v>
      </c>
      <c r="L17" s="493">
        <f t="shared" si="0"/>
        <v>42015.426590279756</v>
      </c>
      <c r="M17" s="493">
        <f t="shared" si="0"/>
        <v>43474.074943256863</v>
      </c>
      <c r="N17" s="493">
        <f t="shared" si="0"/>
        <v>47374.677770325885</v>
      </c>
      <c r="O17" s="494">
        <f t="shared" si="0"/>
        <v>53524.020877935334</v>
      </c>
      <c r="P17" s="2">
        <f t="shared" si="1"/>
        <v>553964.40919206419</v>
      </c>
      <c r="Q17" s="16">
        <v>1.1867350970269761E-2</v>
      </c>
      <c r="R17" s="16"/>
      <c r="S17" s="1"/>
    </row>
    <row r="18" spans="1:19" ht="15" x14ac:dyDescent="0.25">
      <c r="A18" s="1" t="s">
        <v>421</v>
      </c>
      <c r="B18" s="1" t="s">
        <v>422</v>
      </c>
      <c r="C18" s="186">
        <v>0</v>
      </c>
      <c r="D18" s="495">
        <v>59820.905716406822</v>
      </c>
      <c r="E18" s="186">
        <v>61316.654293491709</v>
      </c>
      <c r="F18" s="186">
        <v>56551.200197970793</v>
      </c>
      <c r="G18" s="186">
        <v>46889.611482306362</v>
      </c>
      <c r="H18" s="724">
        <v>49153.358079683239</v>
      </c>
      <c r="I18" s="797">
        <v>57801.247216035626</v>
      </c>
      <c r="J18" s="493">
        <f t="shared" si="0"/>
        <v>62479.726536472699</v>
      </c>
      <c r="K18" s="493">
        <f t="shared" si="0"/>
        <v>54971.523020280794</v>
      </c>
      <c r="L18" s="493">
        <f t="shared" si="0"/>
        <v>51170.810839629929</v>
      </c>
      <c r="M18" s="493">
        <f t="shared" si="0"/>
        <v>52947.30640349973</v>
      </c>
      <c r="N18" s="493">
        <f t="shared" si="0"/>
        <v>57697.871270325362</v>
      </c>
      <c r="O18" s="494">
        <f t="shared" si="0"/>
        <v>65187.188849222999</v>
      </c>
      <c r="P18" s="2">
        <f t="shared" si="1"/>
        <v>674676.19146374403</v>
      </c>
      <c r="Q18" s="16">
        <v>1.4453309675729017E-2</v>
      </c>
      <c r="R18" s="16"/>
      <c r="S18" s="1"/>
    </row>
    <row r="19" spans="1:19" ht="15" x14ac:dyDescent="0.25">
      <c r="A19" s="1" t="s">
        <v>424</v>
      </c>
      <c r="B19" s="1" t="s">
        <v>425</v>
      </c>
      <c r="C19" s="186">
        <v>0</v>
      </c>
      <c r="D19" s="495">
        <v>44580.103934669634</v>
      </c>
      <c r="E19" s="186">
        <v>42202.731997030431</v>
      </c>
      <c r="F19" s="186">
        <v>40667.696114823062</v>
      </c>
      <c r="G19" s="186">
        <v>36078.188567186335</v>
      </c>
      <c r="H19" s="724">
        <v>41085.800544419697</v>
      </c>
      <c r="I19" s="797">
        <v>42271.497154169752</v>
      </c>
      <c r="J19" s="493">
        <f t="shared" si="0"/>
        <v>45965.694683858659</v>
      </c>
      <c r="K19" s="493">
        <f t="shared" si="0"/>
        <v>40441.986281452533</v>
      </c>
      <c r="L19" s="493">
        <f t="shared" si="0"/>
        <v>37645.841269917677</v>
      </c>
      <c r="M19" s="493">
        <f t="shared" si="0"/>
        <v>38952.790855370818</v>
      </c>
      <c r="N19" s="493">
        <f t="shared" si="0"/>
        <v>42447.73275651539</v>
      </c>
      <c r="O19" s="494">
        <f t="shared" si="0"/>
        <v>47957.546968347873</v>
      </c>
      <c r="P19" s="2">
        <f t="shared" si="1"/>
        <v>496352.36174069549</v>
      </c>
      <c r="Q19" s="16">
        <v>1.0633151848672072E-2</v>
      </c>
      <c r="R19" s="16"/>
      <c r="S19" s="1"/>
    </row>
    <row r="20" spans="1:19" ht="15" x14ac:dyDescent="0.25">
      <c r="A20" s="1" t="s">
        <v>426</v>
      </c>
      <c r="B20" s="1" t="s">
        <v>427</v>
      </c>
      <c r="C20" s="186">
        <v>0</v>
      </c>
      <c r="D20" s="495">
        <v>25757.327394209351</v>
      </c>
      <c r="E20" s="186">
        <v>24168.235585251172</v>
      </c>
      <c r="F20" s="186">
        <v>23033.249195743625</v>
      </c>
      <c r="G20" s="186">
        <v>21476.367235832713</v>
      </c>
      <c r="H20" s="724">
        <v>21671.566443949516</v>
      </c>
      <c r="I20" s="797">
        <v>23729.413511507049</v>
      </c>
      <c r="J20" s="493">
        <f t="shared" si="0"/>
        <v>25637.757457177489</v>
      </c>
      <c r="K20" s="493">
        <f t="shared" si="0"/>
        <v>22556.862079460261</v>
      </c>
      <c r="L20" s="493">
        <f t="shared" si="0"/>
        <v>20997.28839926521</v>
      </c>
      <c r="M20" s="493">
        <f t="shared" si="0"/>
        <v>21726.250654944393</v>
      </c>
      <c r="N20" s="493">
        <f t="shared" si="0"/>
        <v>23675.584248284737</v>
      </c>
      <c r="O20" s="494">
        <f t="shared" si="0"/>
        <v>26748.73002294602</v>
      </c>
      <c r="P20" s="2">
        <f t="shared" si="1"/>
        <v>276844.7545746289</v>
      </c>
      <c r="Q20" s="16">
        <v>5.9307309500387685E-3</v>
      </c>
      <c r="R20" s="16"/>
      <c r="S20" s="1"/>
    </row>
    <row r="21" spans="1:19" ht="15" x14ac:dyDescent="0.25">
      <c r="A21" s="1" t="s">
        <v>428</v>
      </c>
      <c r="B21" s="1" t="s">
        <v>429</v>
      </c>
      <c r="C21" s="186">
        <v>0</v>
      </c>
      <c r="D21" s="495">
        <v>11897.76787923781</v>
      </c>
      <c r="E21" s="186">
        <v>12681.811432813658</v>
      </c>
      <c r="F21" s="186">
        <v>11843.751546646869</v>
      </c>
      <c r="G21" s="186">
        <v>11168.740410789407</v>
      </c>
      <c r="H21" s="724">
        <v>9996.5652066320217</v>
      </c>
      <c r="I21" s="797">
        <v>10453.066072754267</v>
      </c>
      <c r="J21" s="493">
        <f t="shared" si="0"/>
        <v>11652.881598510485</v>
      </c>
      <c r="K21" s="493">
        <f t="shared" si="0"/>
        <v>10252.552060566195</v>
      </c>
      <c r="L21" s="493">
        <f t="shared" si="0"/>
        <v>9543.6941399847547</v>
      </c>
      <c r="M21" s="493">
        <f t="shared" si="0"/>
        <v>9875.0222941496013</v>
      </c>
      <c r="N21" s="493">
        <f t="shared" si="0"/>
        <v>10761.034013276567</v>
      </c>
      <c r="O21" s="494">
        <f t="shared" si="0"/>
        <v>12157.841199197781</v>
      </c>
      <c r="P21" s="2">
        <f t="shared" si="1"/>
        <v>125831.56508970287</v>
      </c>
      <c r="Q21" s="16">
        <v>2.695637700327626E-3</v>
      </c>
      <c r="R21" s="16"/>
      <c r="S21" s="1"/>
    </row>
    <row r="22" spans="1:19" ht="15" x14ac:dyDescent="0.25">
      <c r="A22" s="1" t="s">
        <v>431</v>
      </c>
      <c r="B22" s="1" t="s">
        <v>432</v>
      </c>
      <c r="C22" s="186">
        <v>0</v>
      </c>
      <c r="D22" s="495">
        <v>91384.073249195731</v>
      </c>
      <c r="E22" s="186">
        <v>65560.910665676813</v>
      </c>
      <c r="F22" s="186">
        <v>59394.75377381836</v>
      </c>
      <c r="G22" s="186">
        <v>51812.383073496654</v>
      </c>
      <c r="H22" s="724">
        <v>53735.144766146987</v>
      </c>
      <c r="I22" s="797">
        <v>60617.144271219993</v>
      </c>
      <c r="J22" s="493">
        <f t="shared" si="0"/>
        <v>69369.269397296695</v>
      </c>
      <c r="K22" s="493">
        <f t="shared" si="0"/>
        <v>61033.14788593883</v>
      </c>
      <c r="L22" s="493">
        <f t="shared" si="0"/>
        <v>56813.337048462628</v>
      </c>
      <c r="M22" s="493">
        <f t="shared" si="0"/>
        <v>58785.724031962767</v>
      </c>
      <c r="N22" s="493">
        <f t="shared" si="0"/>
        <v>64060.126342987423</v>
      </c>
      <c r="O22" s="494">
        <f t="shared" si="0"/>
        <v>72375.279393940422</v>
      </c>
      <c r="P22" s="2">
        <f t="shared" si="1"/>
        <v>749071.69214753073</v>
      </c>
      <c r="Q22" s="16">
        <v>1.6047053791007258E-2</v>
      </c>
      <c r="R22" s="16"/>
      <c r="S22" s="1"/>
    </row>
    <row r="23" spans="1:19" ht="15" x14ac:dyDescent="0.25">
      <c r="A23" s="1" t="s">
        <v>434</v>
      </c>
      <c r="B23" s="1" t="s">
        <v>435</v>
      </c>
      <c r="C23" s="186">
        <v>0</v>
      </c>
      <c r="D23" s="495">
        <v>53034.21925266023</v>
      </c>
      <c r="E23" s="186">
        <v>49411.304132640427</v>
      </c>
      <c r="F23" s="186">
        <v>46822.637960900764</v>
      </c>
      <c r="G23" s="186">
        <v>42789.537243256615</v>
      </c>
      <c r="H23" s="724">
        <v>51440.643405097748</v>
      </c>
      <c r="I23" s="797">
        <v>54112.81365998515</v>
      </c>
      <c r="J23" s="493">
        <f t="shared" si="0"/>
        <v>56167.839609649986</v>
      </c>
      <c r="K23" s="493">
        <f t="shared" si="0"/>
        <v>49418.137038402376</v>
      </c>
      <c r="L23" s="493">
        <f t="shared" si="0"/>
        <v>46001.384053086047</v>
      </c>
      <c r="M23" s="493">
        <f t="shared" si="0"/>
        <v>47598.412776322308</v>
      </c>
      <c r="N23" s="493">
        <f t="shared" si="0"/>
        <v>51869.061517707858</v>
      </c>
      <c r="O23" s="494">
        <f t="shared" si="0"/>
        <v>58601.786064952699</v>
      </c>
      <c r="P23" s="2">
        <f t="shared" si="1"/>
        <v>606518.40542969911</v>
      </c>
      <c r="Q23" s="16">
        <v>1.2993193547687069E-2</v>
      </c>
      <c r="R23" s="16"/>
      <c r="S23" s="1"/>
    </row>
    <row r="24" spans="1:19" ht="15" x14ac:dyDescent="0.25">
      <c r="A24" s="1" t="s">
        <v>436</v>
      </c>
      <c r="B24" s="1" t="s">
        <v>437</v>
      </c>
      <c r="C24" s="186">
        <v>0</v>
      </c>
      <c r="D24" s="495">
        <v>460205.33531304129</v>
      </c>
      <c r="E24" s="186">
        <v>407721.26701311552</v>
      </c>
      <c r="F24" s="186">
        <v>405354.55580301903</v>
      </c>
      <c r="G24" s="186">
        <v>345698.34199455578</v>
      </c>
      <c r="H24" s="724">
        <v>360409.75996040582</v>
      </c>
      <c r="I24" s="797">
        <v>401490.00742390496</v>
      </c>
      <c r="J24" s="493">
        <f t="shared" si="0"/>
        <v>438178.36165737122</v>
      </c>
      <c r="K24" s="493">
        <f t="shared" si="0"/>
        <v>385522.36429485754</v>
      </c>
      <c r="L24" s="493">
        <f t="shared" si="0"/>
        <v>358867.48072271777</v>
      </c>
      <c r="M24" s="493">
        <f t="shared" si="0"/>
        <v>371326.27269924234</v>
      </c>
      <c r="N24" s="493">
        <f t="shared" si="0"/>
        <v>404642.59537996963</v>
      </c>
      <c r="O24" s="494">
        <f t="shared" si="0"/>
        <v>457166.14323412749</v>
      </c>
      <c r="P24" s="2">
        <f t="shared" si="1"/>
        <v>4731590.9433797598</v>
      </c>
      <c r="Q24" s="16">
        <v>0.10136292050735198</v>
      </c>
      <c r="R24" s="16"/>
      <c r="S24" s="1"/>
    </row>
    <row r="25" spans="1:19" ht="15" x14ac:dyDescent="0.25">
      <c r="A25" s="1" t="s">
        <v>438</v>
      </c>
      <c r="B25" s="1" t="s">
        <v>439</v>
      </c>
      <c r="C25" s="186">
        <v>0</v>
      </c>
      <c r="D25" s="495">
        <v>84811.442712199932</v>
      </c>
      <c r="E25" s="186">
        <v>82342.212323682252</v>
      </c>
      <c r="F25" s="186">
        <v>78555.69413511506</v>
      </c>
      <c r="G25" s="186">
        <v>70993.942093541205</v>
      </c>
      <c r="H25" s="724">
        <v>64673.833209601573</v>
      </c>
      <c r="I25" s="797">
        <v>66622.637960900771</v>
      </c>
      <c r="J25" s="493">
        <f t="shared" si="0"/>
        <v>78610.215563374033</v>
      </c>
      <c r="K25" s="493">
        <f t="shared" si="0"/>
        <v>69163.607365481468</v>
      </c>
      <c r="L25" s="493">
        <f t="shared" si="0"/>
        <v>64381.659358060286</v>
      </c>
      <c r="M25" s="493">
        <f t="shared" si="0"/>
        <v>66616.795568870381</v>
      </c>
      <c r="N25" s="493">
        <f t="shared" si="0"/>
        <v>72593.821220718528</v>
      </c>
      <c r="O25" s="494">
        <f t="shared" si="0"/>
        <v>82016.667669254646</v>
      </c>
      <c r="P25" s="2">
        <f t="shared" si="1"/>
        <v>848858.40234081331</v>
      </c>
      <c r="Q25" s="16">
        <v>1.8184743311096457E-2</v>
      </c>
      <c r="R25" s="16"/>
      <c r="S25" s="1"/>
    </row>
    <row r="26" spans="1:19" ht="15" x14ac:dyDescent="0.25">
      <c r="A26" s="1"/>
      <c r="B26" s="1"/>
      <c r="C26" s="186"/>
      <c r="D26" s="496"/>
      <c r="E26" s="497"/>
      <c r="F26" s="497"/>
      <c r="G26" s="497"/>
      <c r="H26" s="497"/>
      <c r="I26" s="806"/>
      <c r="J26" s="519"/>
      <c r="K26" s="519"/>
      <c r="L26" s="519"/>
      <c r="M26" s="519"/>
      <c r="N26" s="519"/>
      <c r="O26" s="520"/>
      <c r="P26" s="521"/>
      <c r="Q26" s="1"/>
      <c r="R26" s="1"/>
      <c r="S26" s="1"/>
    </row>
    <row r="27" spans="1:19" ht="15" x14ac:dyDescent="0.25">
      <c r="A27" s="310" t="s">
        <v>442</v>
      </c>
      <c r="B27" s="323"/>
      <c r="C27" s="311">
        <f>SUM(C10:C26)</f>
        <v>0</v>
      </c>
      <c r="D27" s="381">
        <f t="shared" ref="D27:P27" si="2">SUM(D10:D25)</f>
        <v>4445561.5045780744</v>
      </c>
      <c r="E27" s="382">
        <f t="shared" si="2"/>
        <v>4137022.2618163815</v>
      </c>
      <c r="F27" s="382">
        <f t="shared" si="2"/>
        <v>3727686.7903984161</v>
      </c>
      <c r="G27" s="382">
        <f t="shared" si="2"/>
        <v>3426527.1071516955</v>
      </c>
      <c r="H27" s="382">
        <f t="shared" si="2"/>
        <v>3659898.3024003953</v>
      </c>
      <c r="I27" s="801">
        <f t="shared" si="2"/>
        <v>4043945.3006681511</v>
      </c>
      <c r="J27" s="378">
        <f t="shared" si="2"/>
        <v>4322866.3841191269</v>
      </c>
      <c r="K27" s="379">
        <f t="shared" si="2"/>
        <v>3803386.5082537276</v>
      </c>
      <c r="L27" s="379">
        <f t="shared" si="2"/>
        <v>3540421.6741830041</v>
      </c>
      <c r="M27" s="379">
        <f t="shared" si="2"/>
        <v>3663334.391320243</v>
      </c>
      <c r="N27" s="379">
        <f t="shared" si="2"/>
        <v>3992017.9228717121</v>
      </c>
      <c r="O27" s="380">
        <f t="shared" si="2"/>
        <v>4510191.1127449078</v>
      </c>
      <c r="P27" s="523">
        <f t="shared" si="2"/>
        <v>46679702.199746422</v>
      </c>
      <c r="Q27" s="374">
        <v>46679702.199746422</v>
      </c>
      <c r="R27" s="974" t="s">
        <v>443</v>
      </c>
      <c r="S27" s="975"/>
    </row>
    <row r="28" spans="1:19" ht="15" x14ac:dyDescent="0.25">
      <c r="A28" s="28"/>
      <c r="B28" s="1"/>
      <c r="C28" s="3"/>
      <c r="D28" s="3"/>
      <c r="E28" s="3"/>
      <c r="F28" s="3"/>
      <c r="G28" s="3"/>
      <c r="H28" s="374" t="s">
        <v>446</v>
      </c>
      <c r="I28" s="499">
        <f>SUM(D27:I27)</f>
        <v>23440641.26701311</v>
      </c>
      <c r="J28" s="3"/>
      <c r="K28" s="3"/>
      <c r="L28" s="3"/>
      <c r="M28" s="3"/>
      <c r="N28" s="500" t="s">
        <v>447</v>
      </c>
      <c r="O28" s="501">
        <f>SUM(J27:O27)</f>
        <v>23832217.993492723</v>
      </c>
      <c r="P28" s="502">
        <f>+O28+I28</f>
        <v>47272859.260505833</v>
      </c>
      <c r="Q28" s="524">
        <f>P28-Q27</f>
        <v>593157.06075941026</v>
      </c>
      <c r="R28" s="972" t="s">
        <v>448</v>
      </c>
      <c r="S28" s="1025"/>
    </row>
    <row r="29" spans="1:19" ht="15" x14ac:dyDescent="0.25">
      <c r="A29" s="28"/>
      <c r="B29" s="1"/>
      <c r="C29" s="3"/>
      <c r="D29" s="3"/>
      <c r="E29" s="3"/>
      <c r="F29" s="3"/>
      <c r="G29" s="3"/>
      <c r="H29" s="3"/>
      <c r="I29" s="3"/>
      <c r="J29" s="3"/>
      <c r="K29" s="3"/>
      <c r="L29" s="3"/>
      <c r="M29" s="3"/>
      <c r="N29" s="3"/>
      <c r="O29" s="3"/>
      <c r="Q29" s="332">
        <f>Q28/Q27</f>
        <v>1.2706958973757817E-2</v>
      </c>
    </row>
    <row r="30" spans="1:19" ht="15" x14ac:dyDescent="0.25">
      <c r="A30" s="28"/>
      <c r="B30" s="460" t="s">
        <v>735</v>
      </c>
      <c r="C30" s="3"/>
      <c r="D30" s="3">
        <f>D45</f>
        <v>4246556.6251111599</v>
      </c>
      <c r="E30" s="3">
        <f t="shared" ref="E30:O30" si="3">E45</f>
        <v>3931587.6943402723</v>
      </c>
      <c r="F30" s="3">
        <f t="shared" si="3"/>
        <v>3692130.3895386066</v>
      </c>
      <c r="G30" s="3">
        <f t="shared" si="3"/>
        <v>3414066.0245719915</v>
      </c>
      <c r="H30" s="3">
        <f t="shared" si="3"/>
        <v>3497506.1740444838</v>
      </c>
      <c r="I30" s="3">
        <f t="shared" si="3"/>
        <v>4065637.2986471918</v>
      </c>
      <c r="J30" s="3">
        <f t="shared" si="3"/>
        <v>4322866.3841191279</v>
      </c>
      <c r="K30" s="3">
        <f t="shared" si="3"/>
        <v>3803386.5082537271</v>
      </c>
      <c r="L30" s="3">
        <f t="shared" si="3"/>
        <v>3540421.6741830036</v>
      </c>
      <c r="M30" s="3">
        <f t="shared" si="3"/>
        <v>3663334.3913202425</v>
      </c>
      <c r="N30" s="3">
        <f t="shared" si="3"/>
        <v>3992017.9228717117</v>
      </c>
      <c r="O30" s="3">
        <f t="shared" si="3"/>
        <v>4510191.1127449078</v>
      </c>
      <c r="P30" s="522">
        <f>SUM(D30:O30)</f>
        <v>46679702.199746422</v>
      </c>
    </row>
    <row r="31" spans="1:19" ht="15" x14ac:dyDescent="0.25">
      <c r="A31" s="5"/>
      <c r="B31" s="324" t="s">
        <v>736</v>
      </c>
      <c r="C31" s="1"/>
      <c r="D31" s="2">
        <f>D27-D30</f>
        <v>199004.87946691457</v>
      </c>
      <c r="E31" s="2">
        <f t="shared" ref="E31:O31" si="4">E27-E30</f>
        <v>205434.56747610914</v>
      </c>
      <c r="F31" s="2">
        <f t="shared" si="4"/>
        <v>35556.400859809481</v>
      </c>
      <c r="G31" s="2">
        <f t="shared" si="4"/>
        <v>12461.082579704002</v>
      </c>
      <c r="H31" s="2">
        <f t="shared" si="4"/>
        <v>162392.12835591147</v>
      </c>
      <c r="I31" s="2">
        <f t="shared" si="4"/>
        <v>-21691.997979040723</v>
      </c>
      <c r="J31" s="2">
        <f t="shared" si="4"/>
        <v>0</v>
      </c>
      <c r="K31" s="2">
        <f t="shared" si="4"/>
        <v>0</v>
      </c>
      <c r="L31" s="2">
        <f t="shared" si="4"/>
        <v>0</v>
      </c>
      <c r="M31" s="2">
        <f t="shared" si="4"/>
        <v>0</v>
      </c>
      <c r="N31" s="2">
        <f t="shared" si="4"/>
        <v>0</v>
      </c>
      <c r="O31" s="2">
        <f t="shared" si="4"/>
        <v>0</v>
      </c>
      <c r="P31" s="313">
        <f>SUM(D31:O31)</f>
        <v>593157.06075940793</v>
      </c>
    </row>
    <row r="32" spans="1:19" ht="15" x14ac:dyDescent="0.25">
      <c r="A32" s="5"/>
      <c r="B32" s="324" t="s">
        <v>737</v>
      </c>
      <c r="C32" s="1"/>
      <c r="D32" s="16">
        <f>D31/D30</f>
        <v>4.6862645911781603E-2</v>
      </c>
      <c r="E32" s="16">
        <f t="shared" ref="E32:O32" si="5">E31/E30</f>
        <v>5.2252317243703612E-2</v>
      </c>
      <c r="F32" s="16">
        <f t="shared" si="5"/>
        <v>9.6303210093977333E-3</v>
      </c>
      <c r="G32" s="16">
        <f t="shared" si="5"/>
        <v>3.6499243101973107E-3</v>
      </c>
      <c r="H32" s="16">
        <f t="shared" si="5"/>
        <v>4.6430833935633263E-2</v>
      </c>
      <c r="I32" s="16">
        <f t="shared" si="5"/>
        <v>-5.3354483899138178E-3</v>
      </c>
      <c r="J32" s="16">
        <f t="shared" si="5"/>
        <v>0</v>
      </c>
      <c r="K32" s="16">
        <f t="shared" si="5"/>
        <v>0</v>
      </c>
      <c r="L32" s="16">
        <f t="shared" si="5"/>
        <v>0</v>
      </c>
      <c r="M32" s="16">
        <f t="shared" si="5"/>
        <v>0</v>
      </c>
      <c r="N32" s="16">
        <f t="shared" si="5"/>
        <v>0</v>
      </c>
      <c r="O32" s="16">
        <f t="shared" si="5"/>
        <v>0</v>
      </c>
    </row>
    <row r="33" spans="1:19" ht="15" x14ac:dyDescent="0.25">
      <c r="A33" s="5"/>
      <c r="B33" s="324"/>
      <c r="C33" s="1"/>
      <c r="D33" s="2"/>
      <c r="E33" s="2"/>
      <c r="F33" s="2"/>
      <c r="G33" s="2"/>
      <c r="H33" s="2"/>
      <c r="I33" s="12"/>
      <c r="J33" s="1"/>
      <c r="K33" s="1"/>
      <c r="L33" s="1"/>
      <c r="M33" s="1"/>
      <c r="N33" s="1"/>
      <c r="O33" s="3"/>
      <c r="P33" s="2"/>
      <c r="Q33" s="2"/>
      <c r="R33" s="19"/>
      <c r="S33" s="19"/>
    </row>
    <row r="34" spans="1:19" ht="15" x14ac:dyDescent="0.25">
      <c r="A34" s="5"/>
      <c r="B34" s="1" t="s">
        <v>451</v>
      </c>
      <c r="C34" s="1"/>
      <c r="D34" s="16">
        <f>D30/$P30</f>
        <v>9.0972230434114218E-2</v>
      </c>
      <c r="E34" s="16">
        <f t="shared" ref="E34:O34" si="6">E30/$P30</f>
        <v>8.4224780987605136E-2</v>
      </c>
      <c r="F34" s="16">
        <f t="shared" si="6"/>
        <v>7.9094985947846586E-2</v>
      </c>
      <c r="G34" s="16">
        <f t="shared" si="6"/>
        <v>7.3138127787596249E-2</v>
      </c>
      <c r="H34" s="16">
        <f t="shared" si="6"/>
        <v>7.4925631682017962E-2</v>
      </c>
      <c r="I34" s="16">
        <f t="shared" si="6"/>
        <v>8.7096470351288521E-2</v>
      </c>
      <c r="J34" s="16">
        <f t="shared" si="6"/>
        <v>9.2606982915641026E-2</v>
      </c>
      <c r="K34" s="16">
        <f t="shared" si="6"/>
        <v>8.1478379874376922E-2</v>
      </c>
      <c r="L34" s="16">
        <f t="shared" si="6"/>
        <v>7.5844992734384581E-2</v>
      </c>
      <c r="M34" s="16">
        <f t="shared" si="6"/>
        <v>7.8478101159354496E-2</v>
      </c>
      <c r="N34" s="16">
        <f t="shared" si="6"/>
        <v>8.5519352839688798E-2</v>
      </c>
      <c r="O34" s="16">
        <f t="shared" si="6"/>
        <v>9.6619963286085589E-2</v>
      </c>
      <c r="P34" s="2">
        <f>P28-P27</f>
        <v>593157.06075941026</v>
      </c>
      <c r="Q34" s="1"/>
      <c r="R34" s="1"/>
      <c r="S34" s="1"/>
    </row>
    <row r="35" spans="1:19" x14ac:dyDescent="0.2">
      <c r="D35" s="332"/>
      <c r="E35" s="332"/>
      <c r="F35" s="332"/>
    </row>
    <row r="37" spans="1:19" x14ac:dyDescent="0.2">
      <c r="Q37" s="313"/>
    </row>
    <row r="38" spans="1:19" s="1" customFormat="1" ht="15" x14ac:dyDescent="0.25">
      <c r="Q38" s="2"/>
    </row>
    <row r="39" spans="1:19" s="6" customFormat="1" ht="15" x14ac:dyDescent="0.25">
      <c r="D39" s="525" t="s">
        <v>367</v>
      </c>
      <c r="E39" s="525" t="s">
        <v>368</v>
      </c>
      <c r="F39" s="525" t="s">
        <v>369</v>
      </c>
      <c r="G39" s="525" t="s">
        <v>370</v>
      </c>
      <c r="H39" s="525" t="s">
        <v>371</v>
      </c>
      <c r="I39" s="525" t="s">
        <v>372</v>
      </c>
      <c r="J39" s="525" t="s">
        <v>373</v>
      </c>
      <c r="K39" s="525" t="s">
        <v>374</v>
      </c>
      <c r="L39" s="525" t="s">
        <v>375</v>
      </c>
      <c r="M39" s="525" t="s">
        <v>376</v>
      </c>
      <c r="N39" s="525" t="s">
        <v>377</v>
      </c>
      <c r="O39" s="525" t="s">
        <v>378</v>
      </c>
      <c r="P39" s="59">
        <v>2021</v>
      </c>
    </row>
    <row r="40" spans="1:19" s="1" customFormat="1" ht="15" x14ac:dyDescent="0.25">
      <c r="B40" s="1" t="s">
        <v>738</v>
      </c>
      <c r="C40" s="2"/>
      <c r="D40" s="2">
        <v>4278348.26</v>
      </c>
      <c r="E40" s="2">
        <v>3961021.3299999996</v>
      </c>
      <c r="F40" s="2">
        <v>3719771.3400000003</v>
      </c>
      <c r="G40" s="2">
        <v>3439625.2600000002</v>
      </c>
      <c r="H40" s="2">
        <v>3523690.08</v>
      </c>
      <c r="I40" s="2">
        <v>4096074.4899999998</v>
      </c>
      <c r="J40" s="2">
        <v>4278019.54</v>
      </c>
      <c r="K40" s="2">
        <v>3763928.9200000004</v>
      </c>
      <c r="L40" s="2">
        <v>3503692.1700000009</v>
      </c>
      <c r="M40" s="2">
        <v>3625329.7500000005</v>
      </c>
      <c r="N40" s="2">
        <v>3950603.41</v>
      </c>
      <c r="O40" s="2">
        <v>4463400.8999999994</v>
      </c>
      <c r="P40" s="2">
        <f>SUM(C40:O40)</f>
        <v>46603505.449999996</v>
      </c>
    </row>
    <row r="41" spans="1:19" s="1" customFormat="1" ht="15" x14ac:dyDescent="0.25">
      <c r="B41" s="1" t="s">
        <v>739</v>
      </c>
      <c r="D41" s="16">
        <f>D40/$P40</f>
        <v>9.1803142675397187E-2</v>
      </c>
      <c r="E41" s="16">
        <f t="shared" ref="E41:O41" si="7">E40/$P40</f>
        <v>8.4994064110685899E-2</v>
      </c>
      <c r="F41" s="16">
        <f t="shared" si="7"/>
        <v>7.9817415108201922E-2</v>
      </c>
      <c r="G41" s="16">
        <f t="shared" si="7"/>
        <v>7.3806148846255956E-2</v>
      </c>
      <c r="H41" s="16">
        <f t="shared" si="7"/>
        <v>7.560997924888932E-2</v>
      </c>
      <c r="I41" s="16">
        <f t="shared" si="7"/>
        <v>8.7891982597630966E-2</v>
      </c>
      <c r="J41" s="16">
        <f t="shared" si="7"/>
        <v>9.1796089128741723E-2</v>
      </c>
      <c r="K41" s="16">
        <f t="shared" si="7"/>
        <v>8.0764931385649677E-2</v>
      </c>
      <c r="L41" s="16">
        <f t="shared" si="7"/>
        <v>7.518087182860192E-2</v>
      </c>
      <c r="M41" s="16">
        <f t="shared" si="7"/>
        <v>7.7790923987242702E-2</v>
      </c>
      <c r="N41" s="16">
        <f t="shared" si="7"/>
        <v>8.4770520411571321E-2</v>
      </c>
      <c r="O41" s="16">
        <f t="shared" si="7"/>
        <v>9.5773930671131519E-2</v>
      </c>
      <c r="P41" s="43">
        <f>SUM(D41:O41)</f>
        <v>1</v>
      </c>
    </row>
    <row r="42" spans="1:19" s="1" customFormat="1" ht="15" x14ac:dyDescent="0.25">
      <c r="B42" s="1" t="s">
        <v>740</v>
      </c>
      <c r="D42" s="2">
        <f>D41*$P42</f>
        <v>4285343.3610883728</v>
      </c>
      <c r="E42" s="2">
        <f t="shared" ref="E42:O42" si="8">E41*$P42</f>
        <v>3967497.6014329731</v>
      </c>
      <c r="F42" s="2">
        <f t="shared" si="8"/>
        <v>3725853.1676044068</v>
      </c>
      <c r="G42" s="2">
        <f t="shared" si="8"/>
        <v>3445249.0486533861</v>
      </c>
      <c r="H42" s="2">
        <f t="shared" si="8"/>
        <v>3529451.3146671602</v>
      </c>
      <c r="I42" s="2">
        <f t="shared" si="8"/>
        <v>4102771.5734027084</v>
      </c>
      <c r="J42" s="2">
        <f t="shared" si="8"/>
        <v>4285014.1036310438</v>
      </c>
      <c r="K42" s="2">
        <f t="shared" si="8"/>
        <v>3770082.9452650803</v>
      </c>
      <c r="L42" s="2">
        <f t="shared" si="8"/>
        <v>3509420.7080764431</v>
      </c>
      <c r="M42" s="2">
        <f t="shared" si="8"/>
        <v>3631257.1655675997</v>
      </c>
      <c r="N42" s="2">
        <f t="shared" si="8"/>
        <v>3957062.6481296746</v>
      </c>
      <c r="O42" s="2">
        <f t="shared" si="8"/>
        <v>4470698.5622275798</v>
      </c>
      <c r="P42" s="2">
        <v>46679702.199746422</v>
      </c>
    </row>
    <row r="43" spans="1:19" s="1" customFormat="1" ht="15" x14ac:dyDescent="0.25">
      <c r="B43" s="1" t="s">
        <v>741</v>
      </c>
      <c r="D43" s="526" t="s">
        <v>508</v>
      </c>
      <c r="E43" s="526" t="s">
        <v>508</v>
      </c>
      <c r="F43" s="526" t="s">
        <v>508</v>
      </c>
      <c r="G43" s="526" t="s">
        <v>508</v>
      </c>
      <c r="H43" s="526" t="s">
        <v>508</v>
      </c>
      <c r="I43" s="526" t="s">
        <v>508</v>
      </c>
      <c r="J43" s="16">
        <f t="shared" ref="J43:O43" si="9">J41/SUM($J41:$O41)</f>
        <v>0.18138749760091435</v>
      </c>
      <c r="K43" s="16">
        <f t="shared" si="9"/>
        <v>0.15959011911070237</v>
      </c>
      <c r="L43" s="16">
        <f t="shared" si="9"/>
        <v>0.14855611320564877</v>
      </c>
      <c r="M43" s="16">
        <f t="shared" si="9"/>
        <v>0.15371353150262809</v>
      </c>
      <c r="N43" s="16">
        <f t="shared" si="9"/>
        <v>0.16750509432070967</v>
      </c>
      <c r="O43" s="16">
        <f t="shared" si="9"/>
        <v>0.18924764425939691</v>
      </c>
      <c r="P43" s="36">
        <f>SUM(J43:O43)</f>
        <v>1.0000000000000002</v>
      </c>
    </row>
    <row r="44" spans="1:19" s="1" customFormat="1" ht="15" x14ac:dyDescent="0.25">
      <c r="B44" s="1" t="s">
        <v>742</v>
      </c>
      <c r="D44" s="526" t="s">
        <v>508</v>
      </c>
      <c r="E44" s="526" t="s">
        <v>508</v>
      </c>
      <c r="F44" s="526" t="s">
        <v>508</v>
      </c>
      <c r="G44" s="526" t="s">
        <v>508</v>
      </c>
      <c r="H44" s="526" t="s">
        <v>508</v>
      </c>
      <c r="I44" s="526" t="s">
        <v>508</v>
      </c>
      <c r="J44" s="2">
        <f t="shared" ref="J44:O44" si="10">J43*$P44</f>
        <v>76636.036348888709</v>
      </c>
      <c r="K44" s="2">
        <f t="shared" si="10"/>
        <v>67426.665734152644</v>
      </c>
      <c r="L44" s="2">
        <f t="shared" si="10"/>
        <v>62764.8092732734</v>
      </c>
      <c r="M44" s="2">
        <f t="shared" si="10"/>
        <v>64943.813346328869</v>
      </c>
      <c r="N44" s="2">
        <f t="shared" si="10"/>
        <v>70770.734845405517</v>
      </c>
      <c r="O44" s="2">
        <f t="shared" si="10"/>
        <v>79956.940451950941</v>
      </c>
      <c r="P44" s="2">
        <v>422499</v>
      </c>
    </row>
    <row r="45" spans="1:19" s="1" customFormat="1" ht="15" x14ac:dyDescent="0.25">
      <c r="B45" s="1" t="s">
        <v>743</v>
      </c>
      <c r="D45" s="2">
        <f t="shared" ref="D45:I45" si="11">($P42-$P44)*D41</f>
        <v>4246556.6251111599</v>
      </c>
      <c r="E45" s="2">
        <f t="shared" si="11"/>
        <v>3931587.6943402723</v>
      </c>
      <c r="F45" s="2">
        <f t="shared" si="11"/>
        <v>3692130.3895386066</v>
      </c>
      <c r="G45" s="2">
        <f t="shared" si="11"/>
        <v>3414066.0245719915</v>
      </c>
      <c r="H45" s="2">
        <f t="shared" si="11"/>
        <v>3497506.1740444838</v>
      </c>
      <c r="I45" s="2">
        <f t="shared" si="11"/>
        <v>4065637.2986471918</v>
      </c>
      <c r="J45" s="2">
        <f t="shared" ref="J45:O45" si="12">($P42-$P44)*J41+J44</f>
        <v>4322866.3841191279</v>
      </c>
      <c r="K45" s="2">
        <f t="shared" si="12"/>
        <v>3803386.5082537271</v>
      </c>
      <c r="L45" s="2">
        <f t="shared" si="12"/>
        <v>3540421.6741830036</v>
      </c>
      <c r="M45" s="2">
        <f t="shared" si="12"/>
        <v>3663334.3913202425</v>
      </c>
      <c r="N45" s="2">
        <f t="shared" si="12"/>
        <v>3992017.9228717117</v>
      </c>
      <c r="O45" s="2">
        <f t="shared" si="12"/>
        <v>4510191.1127449078</v>
      </c>
      <c r="P45" s="2">
        <f>SUM(D45:O45)</f>
        <v>46679702.199746422</v>
      </c>
    </row>
    <row r="46" spans="1:19" s="1" customFormat="1" ht="15" x14ac:dyDescent="0.25">
      <c r="J46" s="2"/>
      <c r="K46" s="2"/>
      <c r="L46" s="2"/>
      <c r="M46" s="2"/>
      <c r="N46" s="2"/>
      <c r="O46" s="2"/>
      <c r="P46" s="2"/>
    </row>
    <row r="47" spans="1:19" s="1" customFormat="1" ht="15" x14ac:dyDescent="0.25"/>
    <row r="48" spans="1:19" s="1" customFormat="1" ht="15" x14ac:dyDescent="0.25">
      <c r="B48" s="552" t="s">
        <v>744</v>
      </c>
      <c r="C48" s="553" t="s">
        <v>745</v>
      </c>
      <c r="D48" s="553" t="s">
        <v>746</v>
      </c>
      <c r="E48" s="553" t="s">
        <v>217</v>
      </c>
      <c r="F48" s="553" t="s">
        <v>43</v>
      </c>
      <c r="G48" s="554" t="s">
        <v>747</v>
      </c>
    </row>
    <row r="49" spans="2:7" ht="15" x14ac:dyDescent="0.25">
      <c r="B49" s="555" t="s">
        <v>6</v>
      </c>
      <c r="C49" s="59" t="s">
        <v>446</v>
      </c>
      <c r="D49" s="59" t="s">
        <v>446</v>
      </c>
      <c r="E49" s="59">
        <v>2021</v>
      </c>
      <c r="F49" s="59">
        <v>2021</v>
      </c>
      <c r="G49" s="445" t="s">
        <v>396</v>
      </c>
    </row>
    <row r="50" spans="2:7" x14ac:dyDescent="0.2">
      <c r="B50" s="556" t="s">
        <v>16</v>
      </c>
      <c r="C50" s="313">
        <f>'EEC Collection True-Up'!G30</f>
        <v>9955897.4100000001</v>
      </c>
      <c r="D50" s="557">
        <f>C50/C$53</f>
        <v>0.51258922427927289</v>
      </c>
      <c r="E50" s="313">
        <f>P$28*D50</f>
        <v>24231558.257805929</v>
      </c>
      <c r="F50" s="313">
        <f>'EEC Collection True-Up'!C30</f>
        <v>23402001.622796677</v>
      </c>
      <c r="G50" s="353">
        <f>E50-F50</f>
        <v>829556.63500925153</v>
      </c>
    </row>
    <row r="51" spans="2:7" x14ac:dyDescent="0.2">
      <c r="B51" s="556" t="s">
        <v>76</v>
      </c>
      <c r="C51" s="313">
        <f>'EEC Collection True-Up'!G31</f>
        <v>7209268.7500000019</v>
      </c>
      <c r="D51" s="557">
        <f>C51/C$53</f>
        <v>0.37117633137436118</v>
      </c>
      <c r="E51" s="313">
        <f>P$28*D51</f>
        <v>17546566.473891053</v>
      </c>
      <c r="F51" s="313">
        <f>'EEC Collection True-Up'!C31</f>
        <v>17473824.322025269</v>
      </c>
      <c r="G51" s="353">
        <f>E51-F51</f>
        <v>72742.151865784079</v>
      </c>
    </row>
    <row r="52" spans="2:7" x14ac:dyDescent="0.2">
      <c r="B52" s="558" t="s">
        <v>52</v>
      </c>
      <c r="C52" s="317">
        <f>'EEC Collection True-Up'!G32</f>
        <v>2257593.7000000002</v>
      </c>
      <c r="D52" s="559">
        <f>C52/C$53</f>
        <v>0.11623444434636591</v>
      </c>
      <c r="E52" s="317">
        <f>P$28*D52</f>
        <v>5494734.5288088536</v>
      </c>
      <c r="F52" s="317">
        <f>'EEC Collection True-Up'!C32</f>
        <v>5388233.4751127912</v>
      </c>
      <c r="G52" s="363">
        <f>E52-F52</f>
        <v>106501.05369606242</v>
      </c>
    </row>
    <row r="53" spans="2:7" x14ac:dyDescent="0.2">
      <c r="B53" s="560" t="s">
        <v>62</v>
      </c>
      <c r="C53" s="561">
        <f>SUM(C50:C52)</f>
        <v>19422759.860000003</v>
      </c>
      <c r="D53" s="562">
        <f>SUM(D50:D52)</f>
        <v>1</v>
      </c>
      <c r="E53" s="561">
        <f>SUM(E50:E52)</f>
        <v>47272859.260505833</v>
      </c>
      <c r="F53" s="561">
        <v>46679702.199746415</v>
      </c>
      <c r="G53" s="356">
        <f>SUM(G50:G52)</f>
        <v>1008799.840571098</v>
      </c>
    </row>
  </sheetData>
  <mergeCells count="4">
    <mergeCell ref="D8:I8"/>
    <mergeCell ref="J8:O8"/>
    <mergeCell ref="R27:S27"/>
    <mergeCell ref="R28:S28"/>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70F697875E57E4D8C03C69FF087712B" ma:contentTypeVersion="6" ma:contentTypeDescription="Create a new document." ma:contentTypeScope="" ma:versionID="3ea8776c389d776896503e987c2b4f5e">
  <xsd:schema xmlns:xsd="http://www.w3.org/2001/XMLSchema" xmlns:xs="http://www.w3.org/2001/XMLSchema" xmlns:p="http://schemas.microsoft.com/office/2006/metadata/properties" xmlns:ns2="dd0a94a7-a4a3-444b-9e76-7a1ca6467016" xmlns:ns3="954a93ea-2f19-43e2-b48e-f560567cc747" targetNamespace="http://schemas.microsoft.com/office/2006/metadata/properties" ma:root="true" ma:fieldsID="ed318eb1b60ff4f9e5f441122d138829" ns2:_="" ns3:_="">
    <xsd:import namespace="dd0a94a7-a4a3-444b-9e76-7a1ca6467016"/>
    <xsd:import namespace="954a93ea-2f19-43e2-b48e-f560567cc74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0a94a7-a4a3-444b-9e76-7a1ca64670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54a93ea-2f19-43e2-b48e-f560567cc74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36C9BC-3112-4CFE-9F54-F64521099576}">
  <ds:schemaRefs>
    <ds:schemaRef ds:uri="http://schemas.microsoft.com/sharepoint/v3/contenttype/forms"/>
  </ds:schemaRefs>
</ds:datastoreItem>
</file>

<file path=customXml/itemProps2.xml><?xml version="1.0" encoding="utf-8"?>
<ds:datastoreItem xmlns:ds="http://schemas.openxmlformats.org/officeDocument/2006/customXml" ds:itemID="{5F1A7176-F25E-4ED0-A6C5-0556A19786AC}">
  <ds:schemaRefs>
    <ds:schemaRef ds:uri="http://purl.org/dc/dcmitype/"/>
    <ds:schemaRef ds:uri="http://www.w3.org/XML/1998/namespace"/>
    <ds:schemaRef ds:uri="http://schemas.openxmlformats.org/package/2006/metadata/core-properties"/>
    <ds:schemaRef ds:uri="http://schemas.microsoft.com/office/2006/documentManagement/types"/>
    <ds:schemaRef ds:uri="dd0a94a7-a4a3-444b-9e76-7a1ca6467016"/>
    <ds:schemaRef ds:uri="http://schemas.microsoft.com/office/infopath/2007/PartnerControls"/>
    <ds:schemaRef ds:uri="954a93ea-2f19-43e2-b48e-f560567cc747"/>
    <ds:schemaRef ds:uri="http://schemas.microsoft.com/office/2006/metadata/properties"/>
    <ds:schemaRef ds:uri="http://purl.org/dc/terms/"/>
    <ds:schemaRef ds:uri="http://purl.org/dc/elements/1.1/"/>
  </ds:schemaRefs>
</ds:datastoreItem>
</file>

<file path=customXml/itemProps3.xml><?xml version="1.0" encoding="utf-8"?>
<ds:datastoreItem xmlns:ds="http://schemas.openxmlformats.org/officeDocument/2006/customXml" ds:itemID="{8143E531-CC9C-490C-B168-CAE137C245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0a94a7-a4a3-444b-9e76-7a1ca6467016"/>
    <ds:schemaRef ds:uri="954a93ea-2f19-43e2-b48e-f560567cc7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3</vt:i4>
      </vt:variant>
    </vt:vector>
  </HeadingPairs>
  <TitlesOfParts>
    <vt:vector size="24" baseType="lpstr">
      <vt:lpstr>2019 Detailed True-up</vt:lpstr>
      <vt:lpstr>Sheet1</vt:lpstr>
      <vt:lpstr>2018-2019 Comp</vt:lpstr>
      <vt:lpstr>Util Rev and Load Data</vt:lpstr>
      <vt:lpstr>Retail Sales v EEC</vt:lpstr>
      <vt:lpstr>DU Totals</vt:lpstr>
      <vt:lpstr>Sales by DU</vt:lpstr>
      <vt:lpstr>Projected NM Rev </vt:lpstr>
      <vt:lpstr>EEC Uncollectibles</vt:lpstr>
      <vt:lpstr>Net Meter Est</vt:lpstr>
      <vt:lpstr>2021 EEC Collections Est.</vt:lpstr>
      <vt:lpstr>Projected 2022 EEC Collections</vt:lpstr>
      <vt:lpstr>EEC Collection True-Up</vt:lpstr>
      <vt:lpstr>Change Log</vt:lpstr>
      <vt:lpstr>Fixed Fee</vt:lpstr>
      <vt:lpstr>EEC Rates Report</vt:lpstr>
      <vt:lpstr>EEC Calculation</vt:lpstr>
      <vt:lpstr>2023 Rate Factors</vt:lpstr>
      <vt:lpstr>2020 Budget Adjustment</vt:lpstr>
      <vt:lpstr>2021 Projected Revenue</vt:lpstr>
      <vt:lpstr>2021 Collections Forecast</vt:lpstr>
      <vt:lpstr>'EEC Calculation'!Print_Area</vt:lpstr>
      <vt:lpstr>'EEC Rates Report'!Print_Area</vt:lpstr>
      <vt:lpstr>'Util Rev and Load Data'!Print_Area</vt:lpstr>
    </vt:vector>
  </TitlesOfParts>
  <Manager/>
  <Company>State of Vermont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PSD</dc:creator>
  <cp:keywords/>
  <dc:description/>
  <cp:lastModifiedBy>Haley Roe</cp:lastModifiedBy>
  <cp:revision/>
  <dcterms:created xsi:type="dcterms:W3CDTF">2003-10-13T18:25:46Z</dcterms:created>
  <dcterms:modified xsi:type="dcterms:W3CDTF">2022-09-01T17:26:59Z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0x010100C70F697875E57E4D8C03C69FF087712B</vt:lpwstr>
  </property>
</Properties>
</file>