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N:\Efficiency VT\Eff VT - EEC Rate Calc\2021\"/>
    </mc:Choice>
  </mc:AlternateContent>
  <xr:revisionPtr revIDLastSave="0" documentId="13_ncr:1_{0942F838-09EC-472E-AFC2-0AFE73A94B77}" xr6:coauthVersionLast="47" xr6:coauthVersionMax="47" xr10:uidLastSave="{00000000-0000-0000-0000-000000000000}"/>
  <bookViews>
    <workbookView xWindow="-120" yWindow="-120" windowWidth="29040" windowHeight="15840" xr2:uid="{00000000-000D-0000-FFFF-FFFF00000000}"/>
  </bookViews>
  <sheets>
    <sheet name="EEC Rate Development" sheetId="1" r:id="rId1"/>
    <sheet name="Lookups" sheetId="4" state="hidden" r:id="rId2"/>
    <sheet name="Lighting Reconciliation" sheetId="2" r:id="rId3"/>
    <sheet name="Uncollectibles" sheetId="3" r:id="rId4"/>
  </sheet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3" i="1" l="1"/>
  <c r="D33" i="1"/>
  <c r="H18" i="1"/>
  <c r="D18" i="1"/>
  <c r="R38" i="1" l="1"/>
  <c r="AF38" i="1" l="1"/>
  <c r="X19" i="1" l="1"/>
  <c r="L18" i="1"/>
  <c r="G18" i="1" l="1"/>
  <c r="F35" i="1"/>
  <c r="B35" i="1"/>
  <c r="Y19" i="1"/>
  <c r="Y36" i="1" l="1"/>
  <c r="Z19" i="1"/>
  <c r="M18" i="1"/>
  <c r="AA35" i="1" l="1"/>
  <c r="Z35" i="1"/>
  <c r="Y35" i="1"/>
  <c r="AC35" i="1" s="1"/>
  <c r="AD34" i="1"/>
  <c r="AC34" i="1"/>
  <c r="AB34" i="1"/>
  <c r="AG34" i="1"/>
  <c r="V34" i="1"/>
  <c r="Q34" i="1"/>
  <c r="R34" i="1"/>
  <c r="AF34" i="1"/>
  <c r="P34" i="1"/>
  <c r="J34" i="1"/>
  <c r="E34" i="1"/>
  <c r="B36" i="1"/>
  <c r="C18" i="1" s="1"/>
  <c r="D19" i="1" s="1"/>
  <c r="V30" i="1"/>
  <c r="E30" i="1"/>
  <c r="AE31" i="1"/>
  <c r="AE36" i="1"/>
  <c r="AE40" i="1"/>
  <c r="B31" i="1"/>
  <c r="D31" i="1"/>
  <c r="D36" i="1"/>
  <c r="F31" i="1"/>
  <c r="F36" i="1" s="1"/>
  <c r="Q30" i="1"/>
  <c r="Q29" i="1"/>
  <c r="V31" i="1"/>
  <c r="U31" i="1"/>
  <c r="U36" i="1"/>
  <c r="S31" i="1"/>
  <c r="S36" i="1"/>
  <c r="K31" i="1"/>
  <c r="K36" i="1"/>
  <c r="O31" i="1"/>
  <c r="O36" i="1"/>
  <c r="N31" i="1"/>
  <c r="N36" i="1"/>
  <c r="P30" i="1"/>
  <c r="P31" i="1"/>
  <c r="M31" i="1"/>
  <c r="Q31" i="1"/>
  <c r="I31" i="1"/>
  <c r="I36" i="1"/>
  <c r="I40" i="1" s="1"/>
  <c r="H31" i="1"/>
  <c r="H36" i="1"/>
  <c r="J30" i="1"/>
  <c r="J31" i="1"/>
  <c r="A26" i="1"/>
  <c r="M36" i="1"/>
  <c r="R30" i="1"/>
  <c r="R31" i="1"/>
  <c r="E31" i="1"/>
  <c r="A12" i="1"/>
  <c r="V35" i="1"/>
  <c r="V33" i="1"/>
  <c r="AC33" i="1"/>
  <c r="AD33" i="1"/>
  <c r="AC30" i="1"/>
  <c r="AD30" i="1"/>
  <c r="AC29" i="1"/>
  <c r="AD29" i="1"/>
  <c r="Q35" i="1"/>
  <c r="Q36" i="1" s="1"/>
  <c r="Q33" i="1"/>
  <c r="W31" i="1"/>
  <c r="W36" i="1"/>
  <c r="B14" i="3"/>
  <c r="AF30" i="1"/>
  <c r="V36" i="1"/>
  <c r="P33" i="1"/>
  <c r="J33" i="1"/>
  <c r="R33" i="1" s="1"/>
  <c r="E33" i="1"/>
  <c r="AA31" i="1"/>
  <c r="Z31" i="1"/>
  <c r="Y31" i="1"/>
  <c r="P35" i="1"/>
  <c r="P36" i="1" s="1"/>
  <c r="J35" i="1"/>
  <c r="E35" i="1"/>
  <c r="P18" i="1"/>
  <c r="P19" i="1" s="1"/>
  <c r="J15" i="1"/>
  <c r="J14" i="1"/>
  <c r="E18" i="1"/>
  <c r="E19" i="1" s="1"/>
  <c r="E23" i="1" s="1"/>
  <c r="E15" i="1"/>
  <c r="E14" i="1"/>
  <c r="C17" i="3"/>
  <c r="AE16" i="1"/>
  <c r="AE19" i="1"/>
  <c r="AE23" i="1"/>
  <c r="AA16" i="1"/>
  <c r="AA18" i="1"/>
  <c r="Z16" i="1"/>
  <c r="Z18" i="1"/>
  <c r="Y16" i="1"/>
  <c r="Y18" i="1"/>
  <c r="X16" i="1"/>
  <c r="X18" i="1"/>
  <c r="K35" i="2"/>
  <c r="K39" i="2"/>
  <c r="E35" i="2"/>
  <c r="C35" i="2"/>
  <c r="C39" i="2"/>
  <c r="G35" i="2"/>
  <c r="G39" i="2"/>
  <c r="M24" i="2"/>
  <c r="K14" i="2"/>
  <c r="K18" i="2"/>
  <c r="G14" i="2"/>
  <c r="G18" i="2"/>
  <c r="E14" i="2"/>
  <c r="C14" i="2"/>
  <c r="I14" i="2"/>
  <c r="M3" i="2"/>
  <c r="U16" i="1"/>
  <c r="T16" i="1"/>
  <c r="O16" i="1"/>
  <c r="N16" i="1"/>
  <c r="M16" i="1"/>
  <c r="L16" i="1"/>
  <c r="I16" i="1"/>
  <c r="I19" i="1"/>
  <c r="I23" i="1" s="1"/>
  <c r="H16" i="1"/>
  <c r="H19" i="1"/>
  <c r="G16" i="1"/>
  <c r="G19" i="1"/>
  <c r="D16" i="1"/>
  <c r="C16" i="1"/>
  <c r="C19" i="1"/>
  <c r="P14" i="1"/>
  <c r="Q14" i="1"/>
  <c r="R14" i="1"/>
  <c r="AB19" i="1"/>
  <c r="AC19" i="1" s="1"/>
  <c r="AC18" i="1" s="1"/>
  <c r="V14" i="1"/>
  <c r="AB14" i="1"/>
  <c r="AC14" i="1"/>
  <c r="P15" i="1"/>
  <c r="Q15" i="1"/>
  <c r="V15" i="1"/>
  <c r="AB15" i="1"/>
  <c r="AC15" i="1"/>
  <c r="AB29" i="1"/>
  <c r="AG29" i="1"/>
  <c r="AB30" i="1"/>
  <c r="I35" i="2"/>
  <c r="I39" i="2"/>
  <c r="C18" i="2"/>
  <c r="E37" i="2"/>
  <c r="E39" i="2"/>
  <c r="AG30" i="1"/>
  <c r="AG31" i="1"/>
  <c r="R15" i="1"/>
  <c r="R16" i="1"/>
  <c r="AC31" i="1"/>
  <c r="AB31" i="1"/>
  <c r="J18" i="1"/>
  <c r="J16" i="1"/>
  <c r="E16" i="1"/>
  <c r="AB16" i="1"/>
  <c r="AB18" i="1"/>
  <c r="AD15" i="1"/>
  <c r="V16" i="1"/>
  <c r="AC16" i="1"/>
  <c r="AD14" i="1"/>
  <c r="AF14" i="1"/>
  <c r="Q16" i="1"/>
  <c r="E16" i="2"/>
  <c r="E18" i="2"/>
  <c r="I18" i="2"/>
  <c r="M14" i="2"/>
  <c r="M35" i="2"/>
  <c r="P16" i="1"/>
  <c r="AF15" i="1"/>
  <c r="AD31" i="1"/>
  <c r="AF29" i="1"/>
  <c r="AF31" i="1"/>
  <c r="AD16" i="1"/>
  <c r="AF16" i="1"/>
  <c r="L19" i="1"/>
  <c r="M19" i="1"/>
  <c r="N19" i="1"/>
  <c r="O19" i="1"/>
  <c r="AB36" i="1"/>
  <c r="AB35" i="1"/>
  <c r="AB33" i="1"/>
  <c r="AG33" i="1"/>
  <c r="T18" i="1"/>
  <c r="V19" i="1"/>
  <c r="V18" i="1" s="1"/>
  <c r="U18" i="1"/>
  <c r="J36" i="1" l="1"/>
  <c r="AD35" i="1"/>
  <c r="AD36" i="1" s="1"/>
  <c r="AD40" i="1" s="1"/>
  <c r="AC36" i="1"/>
  <c r="AG35" i="1"/>
  <c r="AG36" i="1" s="1"/>
  <c r="R35" i="1"/>
  <c r="AF35" i="1" s="1"/>
  <c r="E36" i="1"/>
  <c r="E40" i="1" s="1"/>
  <c r="AF33" i="1"/>
  <c r="AD18" i="1"/>
  <c r="AD19" i="1"/>
  <c r="AD23" i="1" s="1"/>
  <c r="Q18" i="1"/>
  <c r="Q19" i="1" s="1"/>
  <c r="J19" i="1"/>
  <c r="R18" i="1" l="1"/>
  <c r="R19" i="1" s="1"/>
  <c r="R23" i="1" s="1"/>
  <c r="R36" i="1"/>
  <c r="R40" i="1" s="1"/>
  <c r="AF36" i="1"/>
  <c r="AF40" i="1" s="1"/>
  <c r="AF18" i="1" l="1"/>
  <c r="AF19" i="1" s="1"/>
  <c r="AF2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Sarah Juzek</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 ref="D33" authorId="1" shapeId="0" xr:uid="{A7CB7CF9-F0C1-42D2-A5FA-BFD230DA68F2}">
      <text>
        <r>
          <rPr>
            <b/>
            <sz val="9"/>
            <color indexed="81"/>
            <rFont val="Tahoma"/>
            <family val="2"/>
          </rPr>
          <t>Sarah Juzek:</t>
        </r>
        <r>
          <rPr>
            <sz val="9"/>
            <color indexed="81"/>
            <rFont val="Tahoma"/>
            <family val="2"/>
          </rPr>
          <t xml:space="preserve">
Estimate Calc backs out Net Consumption for Jan-Jun 2021 and adds in Gross Consumption for Jan-Jun 2022</t>
        </r>
      </text>
    </comment>
    <comment ref="H33" authorId="1" shapeId="0" xr:uid="{20508C81-433A-4662-B84A-2AAA8373C233}">
      <text>
        <r>
          <rPr>
            <b/>
            <sz val="9"/>
            <color indexed="81"/>
            <rFont val="Tahoma"/>
            <family val="2"/>
          </rPr>
          <t>Sarah Juzek:</t>
        </r>
        <r>
          <rPr>
            <sz val="9"/>
            <color indexed="81"/>
            <rFont val="Tahoma"/>
            <family val="2"/>
          </rPr>
          <t xml:space="preserve">
Estimate Calc backs out Net Consumption for Jan-Jun 2021 and adds in Gross Consumption for Jan-Jun 2022</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<sst xmlns="http://schemas.openxmlformats.org/spreadsheetml/2006/main" count="391" uniqueCount="106">
  <si>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</si>
  <si>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</si>
  <si>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</si>
  <si>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</si>
  <si>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</si>
  <si>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</si>
  <si>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</si>
  <si>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</si>
  <si>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</si>
  <si>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</si>
  <si>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</si>
  <si>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</si>
  <si>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</si>
  <si>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</si>
  <si>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</si>
  <si>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</si>
  <si>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</si>
  <si>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</si>
  <si>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</si>
  <si>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</si>
  <si>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</si>
  <si>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</si>
  <si>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</si>
  <si>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</si>
  <si>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</si>
  <si>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</si>
  <si>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</si>
  <si>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</si>
  <si>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</si>
  <si>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</si>
  <si>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</si>
  <si>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</si>
  <si>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</si>
  <si>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</si>
  <si>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</si>
  <si>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</si>
  <si>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</si>
  <si>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</si>
  <si>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</si>
  <si>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</si>
  <si>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</si>
  <si>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</si>
  <si>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</si>
  <si>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</si>
  <si>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</si>
  <si>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</si>
  <si>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</si>
  <si>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</si>
  <si>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</si>
  <si>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</si>
  <si>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</si>
  <si>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</si>
  <si>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</si>
  <si>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</si>
  <si>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</si>
  <si>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</si>
  <si>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</si>
  <si>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</si>
  <si>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</si>
  <si>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</si>
  <si>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</si>
  <si>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</si>
  <si>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</si>
  <si>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</si>
  <si>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</si>
  <si>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</si>
  <si>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</si>
  <si>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</si>
  <si>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</si>
  <si>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</si>
  <si>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</si>
  <si>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</si>
  <si>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</si>
  <si>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</si>
  <si>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</si>
  <si>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</si>
  <si>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</si>
  <si>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</si>
  <si>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</si>
  <si>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</si>
  <si>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</si>
  <si>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</si>
  <si>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</si>
  <si>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</si>
  <si>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</si>
  <si>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</si>
  <si>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</si>
  <si>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</si>
  <si>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</si>
  <si>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</si>
  <si>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</si>
  <si>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</si>
  <si>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</si>
  <si>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</si>
  <si>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</si>
  <si>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</si>
  <si>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</si>
  <si>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</si>
  <si>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</si>
  <si>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</si>
  <si>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</si>
  <si>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</si>
  <si>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</si>
  <si>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</si>
  <si>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</si>
  <si>
    <t>Users: Please enter data in yellow highlighted cells below as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</si>
</sst>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391">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xf numFmtId="42" fontId="2" fillId="0" borderId="0" xfId="0" applyNumberFormat="1" applyFont="1"/>
    <xf numFmtId="42" fontId="12" fillId="0" borderId="0" xfId="0" applyNumberFormat="1" applyFont="1"/>
    <xf numFmtId="164" fontId="2" fillId="0" borderId="14" xfId="0" applyNumberFormat="1" applyFont="1" applyBorder="1"/>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Border="1"/>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Border="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42" fontId="1" fillId="0" borderId="0" xfId="0" applyNumberFormat="1" applyFont="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0" fontId="1" fillId="0" borderId="18" xfId="0" applyFont="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164" fontId="1" fillId="0" borderId="0" xfId="4" applyNumberFormat="1" applyFont="1" applyBorder="1" applyAlignment="1">
      <alignment horizontal="center"/>
    </xf>
    <xf numFmtId="3" fontId="1" fillId="0" borderId="0" xfId="0" applyNumberFormat="1" applyFont="1" applyAlignment="1">
      <alignment horizontal="center"/>
    </xf>
    <xf numFmtId="3" fontId="1" fillId="0" borderId="0" xfId="4" applyNumberFormat="1" applyFont="1"/>
    <xf numFmtId="0" fontId="1" fillId="0" borderId="0" xfId="0" applyFont="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Font="1" applyBorder="1" applyAlignment="1">
      <alignment horizontal="left" indent="1"/>
    </xf>
    <xf numFmtId="0" fontId="15" fillId="0" borderId="33" xfId="0" applyFont="1" applyBorder="1" applyAlignment="1">
      <alignment vertical="center"/>
    </xf>
    <xf numFmtId="0" fontId="12" fillId="0" borderId="36" xfId="0" applyFont="1" applyBorder="1" applyAlignment="1">
      <alignment horizontal="left" indent="1"/>
    </xf>
    <xf numFmtId="0" fontId="1" fillId="3" borderId="36" xfId="0" applyFont="1" applyFill="1" applyBorder="1" applyAlignment="1">
      <alignment horizontal="left" indent="2"/>
    </xf>
    <xf numFmtId="0" fontId="1" fillId="6" borderId="44" xfId="0" applyFont="1" applyFill="1" applyBorder="1" applyAlignment="1">
      <alignment horizontal="left" indent="2"/>
    </xf>
    <xf numFmtId="0" fontId="1" fillId="0" borderId="44" xfId="0" applyFont="1" applyBorder="1" applyAlignment="1">
      <alignment horizontal="left" indent="1"/>
    </xf>
    <xf numFmtId="0" fontId="2" fillId="0" borderId="36" xfId="0" applyFont="1" applyBorder="1" applyAlignment="1">
      <alignment horizontal="left" indent="1"/>
    </xf>
    <xf numFmtId="0" fontId="1" fillId="0" borderId="60" xfId="0" applyFont="1" applyBorder="1" applyAlignment="1">
      <alignment horizontal="left" indent="1"/>
    </xf>
    <xf numFmtId="0" fontId="1" fillId="0" borderId="46" xfId="0" applyFont="1" applyBorder="1" applyAlignment="1">
      <alignment horizontal="left" indent="1"/>
    </xf>
    <xf numFmtId="0" fontId="1" fillId="0" borderId="0" xfId="0" applyFont="1" applyAlignment="1">
      <alignment horizontal="left" indent="1"/>
    </xf>
    <xf numFmtId="0" fontId="15" fillId="0" borderId="33" xfId="0" applyFont="1" applyBorder="1" applyAlignment="1">
      <alignment horizontal="left" vertical="center" indent="1"/>
    </xf>
    <xf numFmtId="0" fontId="14" fillId="0" borderId="36" xfId="0" applyFont="1" applyBorder="1" applyAlignment="1">
      <alignment horizontal="left" indent="1"/>
    </xf>
    <xf numFmtId="0" fontId="2" fillId="0" borderId="0" xfId="0" applyFont="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Font="1" applyFill="1" applyBorder="1" applyAlignment="1">
      <alignment vertical="top" wrapText="1"/>
    </xf>
    <xf numFmtId="0" fontId="1" fillId="6" borderId="28" xfId="0" applyFont="1" applyFill="1" applyBorder="1" applyAlignment="1">
      <alignment vertical="top" wrapText="1"/>
    </xf>
    <xf numFmtId="0" fontId="1" fillId="6" borderId="29" xfId="0" applyFont="1" applyFill="1" applyBorder="1" applyAlignment="1">
      <alignment vertical="top" wrapText="1"/>
    </xf>
    <xf numFmtId="0" fontId="1" fillId="0" borderId="27" xfId="0" applyFont="1" applyBorder="1"/>
    <xf numFmtId="0" fontId="1" fillId="0" borderId="28" xfId="0" applyFont="1" applyBorder="1"/>
    <xf numFmtId="0" fontId="1" fillId="0" borderId="29" xfId="0" applyFont="1" applyBorder="1"/>
    <xf numFmtId="0" fontId="2" fillId="7" borderId="27" xfId="0" applyFont="1" applyFill="1" applyBorder="1"/>
    <xf numFmtId="0" fontId="2" fillId="7" borderId="28" xfId="0" applyFont="1" applyFill="1" applyBorder="1"/>
    <xf numFmtId="0" fontId="2" fillId="7" borderId="29" xfId="0" applyFont="1" applyFill="1" applyBorder="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61"/>
  <sheetViews>
    <sheetView tabSelected="1" zoomScaleNormal="100" workbookViewId="0">
      <pane xSplit="1" ySplit="11" topLeftCell="B13" activePane="bottomRight" state="frozen"/>
      <selection pane="topRight" activeCell="B1" sqref="B1"/>
      <selection pane="bottomLeft" activeCell="A14" sqref="A14"/>
      <selection pane="bottomRight" activeCell="A9" sqref="A9"/>
    </sheetView>
  </sheetViews>
  <sheetFormatPr defaultRowHeight="12.75" x14ac:dyDescent="0.2"/>
  <cols>
    <col min="1" max="1" width="64.28515625" style="36" customWidth="1"/>
    <col min="2" max="2" width="12" style="36" customWidth="1"/>
    <col min="3" max="3" width="13.28515625" style="36" bestFit="1" customWidth="1"/>
    <col min="4" max="4" width="15.85546875" style="36" customWidth="1"/>
    <col min="5" max="5" width="16.7109375" style="36" customWidth="1"/>
    <col min="6" max="6" width="12.5703125" style="36" customWidth="1"/>
    <col min="7" max="7" width="14.42578125" style="36" bestFit="1" customWidth="1"/>
    <col min="8" max="8" width="13" style="36" customWidth="1"/>
    <col min="9" max="9" width="14.28515625" style="36" bestFit="1" customWidth="1"/>
    <col min="10" max="10" width="14.140625" style="36" customWidth="1"/>
    <col min="11" max="11" width="12.28515625" style="36" customWidth="1"/>
    <col min="12" max="12" width="14.42578125" style="36" bestFit="1" customWidth="1"/>
    <col min="13" max="13" width="14.7109375" style="36" customWidth="1"/>
    <col min="14" max="14" width="13.7109375" style="189" customWidth="1"/>
    <col min="15" max="15" width="13.28515625" style="36" customWidth="1"/>
    <col min="16" max="16" width="14.140625" style="36" customWidth="1"/>
    <col min="17" max="17" width="14.7109375" style="190" customWidth="1"/>
    <col min="18" max="18" width="15.5703125" style="190" customWidth="1"/>
    <col min="19" max="19" width="12.7109375" style="190" customWidth="1"/>
    <col min="20" max="20" width="11.5703125" style="190" customWidth="1"/>
    <col min="21" max="21" width="14.7109375" style="36" customWidth="1"/>
    <col min="22" max="22" width="13.7109375" style="36" customWidth="1"/>
    <col min="23" max="23" width="12.85546875" style="36" customWidth="1"/>
    <col min="24" max="24" width="12.7109375" style="36" customWidth="1"/>
    <col min="25" max="25" width="15.140625" style="36" customWidth="1"/>
    <col min="26" max="26" width="13.7109375" style="36" customWidth="1"/>
    <col min="27" max="27" width="12.85546875" style="36" bestFit="1" customWidth="1"/>
    <col min="28" max="28" width="13.85546875" style="36" customWidth="1"/>
    <col min="29" max="29" width="15.42578125" style="36" customWidth="1"/>
    <col min="30" max="30" width="16.42578125" style="36" customWidth="1"/>
    <col min="31" max="31" width="10.42578125" style="36" customWidth="1"/>
    <col min="32" max="32" width="16.28515625" style="36" customWidth="1"/>
    <col min="33" max="33" width="12.140625" style="36" customWidth="1"/>
    <col min="34" max="16384" width="9.140625" style="36"/>
  </cols>
  <sheetData>
    <row r="1" spans="1:33" ht="20.25" x14ac:dyDescent="0.3">
      <c r="A1" s="187" t="s">
        <v>97</v>
      </c>
    </row>
    <row r="2" spans="1:33" ht="15.75" x14ac:dyDescent="0.25">
      <c r="A2" s="188" t="s">
        <v>98</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3" ht="15.75" x14ac:dyDescent="0.25">
      <c r="A3" s="12"/>
      <c r="B3" s="12"/>
      <c r="C3" s="32"/>
      <c r="D3" s="12"/>
      <c r="F3" s="12"/>
      <c r="G3" s="12"/>
      <c r="H3" s="12"/>
      <c r="I3" s="12"/>
      <c r="J3" s="12"/>
      <c r="K3" s="12"/>
      <c r="L3" s="12"/>
      <c r="M3" s="12"/>
      <c r="N3" s="12"/>
      <c r="O3" s="12"/>
      <c r="P3" s="12"/>
      <c r="Q3" s="12"/>
      <c r="R3" s="12"/>
      <c r="S3" s="12"/>
      <c r="T3" s="12"/>
      <c r="U3" s="12"/>
      <c r="V3" s="12"/>
      <c r="W3" s="12"/>
      <c r="X3" s="12"/>
      <c r="Y3" s="12"/>
      <c r="Z3" s="12"/>
      <c r="AA3" s="12"/>
      <c r="AB3" s="12"/>
      <c r="AC3" s="12"/>
    </row>
    <row r="4" spans="1:33" ht="15.75" x14ac:dyDescent="0.25">
      <c r="A4" s="142" t="s">
        <v>62</v>
      </c>
      <c r="B4" s="6">
        <v>2021</v>
      </c>
      <c r="C4" s="32"/>
      <c r="D4" s="12"/>
      <c r="F4" s="12"/>
      <c r="G4" s="12"/>
      <c r="H4" s="12"/>
      <c r="I4" s="12"/>
      <c r="J4" s="12"/>
      <c r="K4" s="12"/>
      <c r="L4" s="12"/>
      <c r="M4" s="12"/>
      <c r="N4" s="12"/>
      <c r="O4" s="12"/>
      <c r="P4" s="12"/>
      <c r="Q4" s="12"/>
      <c r="R4" s="12"/>
      <c r="S4" s="12"/>
      <c r="T4" s="12"/>
      <c r="U4" s="12"/>
      <c r="V4" s="12"/>
      <c r="W4" s="12"/>
      <c r="X4" s="12"/>
      <c r="Y4" s="12"/>
      <c r="Z4" s="12"/>
      <c r="AA4" s="12"/>
      <c r="AB4" s="12"/>
      <c r="AC4" s="12"/>
    </row>
    <row r="5" spans="1:33" ht="15.75" x14ac:dyDescent="0.25">
      <c r="A5" s="142" t="s">
        <v>61</v>
      </c>
      <c r="B5" s="6">
        <v>2022</v>
      </c>
      <c r="C5" s="32"/>
      <c r="D5" s="12"/>
      <c r="E5" s="367" t="s">
        <v>105</v>
      </c>
      <c r="F5" s="368"/>
      <c r="G5" s="368"/>
      <c r="H5" s="368"/>
      <c r="I5" s="368"/>
      <c r="J5" s="369"/>
      <c r="K5" s="12"/>
      <c r="L5" s="12"/>
      <c r="M5" s="12"/>
      <c r="N5" s="12"/>
      <c r="O5" s="12"/>
      <c r="P5" s="12"/>
      <c r="Q5" s="12"/>
      <c r="R5" s="12"/>
      <c r="S5" s="12"/>
      <c r="T5" s="12"/>
      <c r="U5" s="12"/>
      <c r="V5" s="12"/>
      <c r="W5" s="12"/>
      <c r="X5" s="12"/>
      <c r="Y5" s="12"/>
      <c r="Z5" s="12"/>
      <c r="AA5" s="12"/>
      <c r="AB5" s="12"/>
      <c r="AC5" s="12"/>
    </row>
    <row r="6" spans="1:33" ht="15.75" x14ac:dyDescent="0.25">
      <c r="A6" s="142" t="s">
        <v>63</v>
      </c>
      <c r="B6" s="6">
        <v>2023</v>
      </c>
      <c r="C6" s="12"/>
      <c r="D6" s="330" t="s">
        <v>92</v>
      </c>
      <c r="E6" s="330"/>
      <c r="F6" s="330"/>
      <c r="G6" s="330"/>
      <c r="H6" s="330"/>
      <c r="I6" s="330"/>
      <c r="J6" s="330"/>
      <c r="K6" s="330"/>
      <c r="L6" s="330"/>
      <c r="M6" s="12"/>
      <c r="N6" s="12"/>
      <c r="O6" s="12"/>
      <c r="P6" s="12"/>
      <c r="Q6" s="12"/>
      <c r="R6" s="12"/>
      <c r="S6" s="12"/>
      <c r="T6" s="12"/>
      <c r="U6" s="12"/>
      <c r="V6" s="12"/>
      <c r="W6" s="12"/>
      <c r="X6" s="12"/>
      <c r="Y6" s="12"/>
      <c r="Z6" s="12"/>
      <c r="AA6" s="12"/>
      <c r="AB6" s="12"/>
      <c r="AC6" s="12"/>
    </row>
    <row r="7" spans="1:33"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3" s="16" customFormat="1" ht="26.25" customHeight="1" thickBot="1" x14ac:dyDescent="0.3">
      <c r="A8" s="312" t="s">
        <v>99</v>
      </c>
      <c r="B8" s="352" t="s">
        <v>3</v>
      </c>
      <c r="C8" s="353"/>
      <c r="D8" s="353"/>
      <c r="E8" s="354"/>
      <c r="F8" s="360" t="s">
        <v>68</v>
      </c>
      <c r="G8" s="361"/>
      <c r="H8" s="361"/>
      <c r="I8" s="361"/>
      <c r="J8" s="361"/>
      <c r="K8" s="361"/>
      <c r="L8" s="361"/>
      <c r="M8" s="361"/>
      <c r="N8" s="361"/>
      <c r="O8" s="361"/>
      <c r="P8" s="361"/>
      <c r="Q8" s="361"/>
      <c r="R8" s="362"/>
      <c r="S8" s="343" t="s">
        <v>9</v>
      </c>
      <c r="T8" s="344"/>
      <c r="U8" s="344"/>
      <c r="V8" s="344"/>
      <c r="W8" s="344"/>
      <c r="X8" s="344"/>
      <c r="Y8" s="344"/>
      <c r="Z8" s="344"/>
      <c r="AA8" s="344"/>
      <c r="AB8" s="344"/>
      <c r="AC8" s="344"/>
      <c r="AD8" s="345"/>
    </row>
    <row r="9" spans="1:33" s="196" customFormat="1" ht="19.5" customHeight="1" thickBot="1" x14ac:dyDescent="0.25">
      <c r="A9" s="283" t="s">
        <v>82</v>
      </c>
      <c r="B9" s="191"/>
      <c r="C9" s="192"/>
      <c r="D9" s="193"/>
      <c r="E9" s="194"/>
      <c r="F9" s="355" t="s">
        <v>13</v>
      </c>
      <c r="G9" s="355"/>
      <c r="H9" s="355"/>
      <c r="I9" s="355"/>
      <c r="J9" s="356"/>
      <c r="K9" s="357" t="s">
        <v>8</v>
      </c>
      <c r="L9" s="358"/>
      <c r="M9" s="358"/>
      <c r="N9" s="358"/>
      <c r="O9" s="358"/>
      <c r="P9" s="358"/>
      <c r="Q9" s="359"/>
      <c r="R9" s="126"/>
      <c r="S9" s="390" t="s">
        <v>42</v>
      </c>
      <c r="T9" s="355"/>
      <c r="U9" s="355"/>
      <c r="V9" s="356"/>
      <c r="W9" s="357" t="s">
        <v>8</v>
      </c>
      <c r="X9" s="358"/>
      <c r="Y9" s="358"/>
      <c r="Z9" s="358"/>
      <c r="AA9" s="358"/>
      <c r="AB9" s="358"/>
      <c r="AC9" s="359"/>
      <c r="AD9" s="70"/>
      <c r="AE9" s="195"/>
    </row>
    <row r="10" spans="1:33" s="197" customFormat="1" ht="13.5" thickBot="1" x14ac:dyDescent="0.25">
      <c r="A10" s="72"/>
      <c r="B10" s="42" t="s">
        <v>64</v>
      </c>
      <c r="C10" s="197" t="s">
        <v>14</v>
      </c>
      <c r="D10" s="127" t="s">
        <v>16</v>
      </c>
      <c r="E10" s="17" t="s">
        <v>17</v>
      </c>
      <c r="F10" s="44" t="s">
        <v>64</v>
      </c>
      <c r="G10" s="198" t="s">
        <v>18</v>
      </c>
      <c r="H10" s="128" t="s">
        <v>19</v>
      </c>
      <c r="I10" s="128" t="s">
        <v>89</v>
      </c>
      <c r="J10" s="30" t="s">
        <v>7</v>
      </c>
      <c r="K10" s="56" t="s">
        <v>64</v>
      </c>
      <c r="L10" s="197" t="s">
        <v>18</v>
      </c>
      <c r="M10" s="199"/>
      <c r="N10" s="346" t="s">
        <v>22</v>
      </c>
      <c r="O10" s="347"/>
      <c r="P10" s="348"/>
      <c r="Q10" s="22" t="s">
        <v>7</v>
      </c>
      <c r="R10" s="6" t="s">
        <v>17</v>
      </c>
      <c r="S10" s="44" t="s">
        <v>64</v>
      </c>
      <c r="T10" s="198" t="s">
        <v>18</v>
      </c>
      <c r="U10" s="128" t="s">
        <v>19</v>
      </c>
      <c r="V10" s="30" t="s">
        <v>7</v>
      </c>
      <c r="W10" s="44" t="s">
        <v>64</v>
      </c>
      <c r="X10" s="198" t="s">
        <v>18</v>
      </c>
      <c r="Y10" s="128"/>
      <c r="Z10" s="349" t="s">
        <v>22</v>
      </c>
      <c r="AA10" s="350"/>
      <c r="AB10" s="351"/>
      <c r="AC10" s="124" t="s">
        <v>7</v>
      </c>
      <c r="AD10" s="33" t="s">
        <v>7</v>
      </c>
      <c r="AE10" s="114" t="s">
        <v>10</v>
      </c>
      <c r="AF10" s="378" t="s">
        <v>66</v>
      </c>
      <c r="AG10" s="379"/>
    </row>
    <row r="11" spans="1:33" s="197" customFormat="1" ht="13.5" thickBot="1" x14ac:dyDescent="0.25">
      <c r="A11" s="252"/>
      <c r="B11" s="42" t="s">
        <v>65</v>
      </c>
      <c r="C11" s="197" t="s">
        <v>15</v>
      </c>
      <c r="D11" s="127" t="s">
        <v>6</v>
      </c>
      <c r="E11" s="17" t="s">
        <v>3</v>
      </c>
      <c r="F11" s="42" t="s">
        <v>65</v>
      </c>
      <c r="G11" s="197" t="s">
        <v>15</v>
      </c>
      <c r="H11" s="127" t="s">
        <v>6</v>
      </c>
      <c r="I11" s="127" t="s">
        <v>88</v>
      </c>
      <c r="J11" s="17" t="s">
        <v>40</v>
      </c>
      <c r="K11" s="56" t="s">
        <v>65</v>
      </c>
      <c r="L11" s="197" t="s">
        <v>15</v>
      </c>
      <c r="M11" s="199" t="s">
        <v>5</v>
      </c>
      <c r="N11" s="200" t="s">
        <v>20</v>
      </c>
      <c r="O11" s="127" t="s">
        <v>21</v>
      </c>
      <c r="P11" s="17" t="s">
        <v>102</v>
      </c>
      <c r="Q11" s="22" t="s">
        <v>41</v>
      </c>
      <c r="R11" s="6" t="s">
        <v>4</v>
      </c>
      <c r="S11" s="42" t="s">
        <v>65</v>
      </c>
      <c r="T11" s="197" t="s">
        <v>15</v>
      </c>
      <c r="U11" s="127" t="s">
        <v>6</v>
      </c>
      <c r="V11" s="17" t="s">
        <v>40</v>
      </c>
      <c r="W11" s="42" t="s">
        <v>65</v>
      </c>
      <c r="X11" s="197" t="s">
        <v>15</v>
      </c>
      <c r="Y11" s="127" t="s">
        <v>5</v>
      </c>
      <c r="Z11" s="201" t="s">
        <v>20</v>
      </c>
      <c r="AA11" s="128" t="s">
        <v>21</v>
      </c>
      <c r="AB11" s="30" t="s">
        <v>102</v>
      </c>
      <c r="AC11" s="22" t="s">
        <v>41</v>
      </c>
      <c r="AD11" s="33" t="s">
        <v>25</v>
      </c>
      <c r="AE11" s="115" t="s">
        <v>93</v>
      </c>
      <c r="AF11" s="380"/>
      <c r="AG11" s="381"/>
    </row>
    <row r="12" spans="1:33" ht="26.25" customHeight="1" thickTop="1" x14ac:dyDescent="0.2">
      <c r="A12" s="319" t="str">
        <f>"Enter "&amp;TEXT(B4,"000")&amp;" Revenues"</f>
        <v>Enter 2021 Revenues</v>
      </c>
      <c r="B12" s="49"/>
      <c r="C12" s="50"/>
      <c r="D12" s="51"/>
      <c r="E12" s="202"/>
      <c r="F12" s="203"/>
      <c r="G12" s="204"/>
      <c r="H12" s="205"/>
      <c r="I12" s="205"/>
      <c r="J12" s="202"/>
      <c r="K12" s="206"/>
      <c r="L12" s="204"/>
      <c r="M12" s="202"/>
      <c r="N12" s="207"/>
      <c r="O12" s="205"/>
      <c r="P12" s="202"/>
      <c r="Q12" s="208"/>
      <c r="R12" s="91"/>
      <c r="S12" s="203"/>
      <c r="T12" s="204"/>
      <c r="U12" s="205"/>
      <c r="V12" s="52"/>
      <c r="W12" s="53"/>
      <c r="X12" s="204"/>
      <c r="Y12" s="205"/>
      <c r="Z12" s="207"/>
      <c r="AA12" s="205"/>
      <c r="AB12" s="52"/>
      <c r="AC12" s="54"/>
      <c r="AD12" s="125"/>
      <c r="AE12" s="55"/>
      <c r="AF12" s="386"/>
      <c r="AG12" s="387"/>
    </row>
    <row r="13" spans="1:33" s="209" customFormat="1" ht="15" x14ac:dyDescent="0.35">
      <c r="A13" s="320" t="s">
        <v>46</v>
      </c>
      <c r="B13" s="43"/>
      <c r="D13" s="210"/>
      <c r="E13" s="211"/>
      <c r="F13" s="212"/>
      <c r="H13" s="210"/>
      <c r="I13" s="210"/>
      <c r="J13" s="211"/>
      <c r="K13" s="213"/>
      <c r="M13" s="211"/>
      <c r="N13" s="214"/>
      <c r="O13" s="210"/>
      <c r="P13" s="211"/>
      <c r="Q13" s="215"/>
      <c r="R13" s="92"/>
      <c r="S13" s="212"/>
      <c r="U13" s="210"/>
      <c r="V13" s="18"/>
      <c r="W13" s="46"/>
      <c r="Y13" s="210"/>
      <c r="Z13" s="214"/>
      <c r="AA13" s="210"/>
      <c r="AB13" s="18"/>
      <c r="AC13" s="28"/>
      <c r="AD13" s="20"/>
      <c r="AE13" s="23"/>
      <c r="AF13" s="388"/>
      <c r="AG13" s="389"/>
    </row>
    <row r="14" spans="1:33" s="209" customFormat="1" x14ac:dyDescent="0.2">
      <c r="A14" s="321" t="s">
        <v>69</v>
      </c>
      <c r="B14" s="68" t="s">
        <v>44</v>
      </c>
      <c r="C14" s="216">
        <v>0</v>
      </c>
      <c r="D14" s="217">
        <v>0</v>
      </c>
      <c r="E14" s="105">
        <f>SUM(C14:D14)</f>
        <v>0</v>
      </c>
      <c r="F14" s="161" t="s">
        <v>44</v>
      </c>
      <c r="G14" s="216">
        <v>0</v>
      </c>
      <c r="H14" s="217">
        <v>0</v>
      </c>
      <c r="I14" s="217">
        <v>0</v>
      </c>
      <c r="J14" s="105">
        <f>SUM(G14:I14)</f>
        <v>0</v>
      </c>
      <c r="K14" s="162" t="s">
        <v>44</v>
      </c>
      <c r="L14" s="216">
        <v>0</v>
      </c>
      <c r="M14" s="218">
        <v>0</v>
      </c>
      <c r="N14" s="219">
        <v>0</v>
      </c>
      <c r="O14" s="217">
        <v>0</v>
      </c>
      <c r="P14" s="105">
        <f>N14+O14</f>
        <v>0</v>
      </c>
      <c r="Q14" s="31">
        <f>L14+M14+P14</f>
        <v>0</v>
      </c>
      <c r="R14" s="57">
        <f>Q14+J14</f>
        <v>0</v>
      </c>
      <c r="S14" s="161" t="s">
        <v>44</v>
      </c>
      <c r="T14" s="220">
        <v>0</v>
      </c>
      <c r="U14" s="221">
        <v>0</v>
      </c>
      <c r="V14" s="105">
        <f>T14+U14</f>
        <v>0</v>
      </c>
      <c r="W14" s="161" t="s">
        <v>44</v>
      </c>
      <c r="X14" s="220">
        <v>0</v>
      </c>
      <c r="Y14" s="221">
        <v>0</v>
      </c>
      <c r="Z14" s="222">
        <v>0</v>
      </c>
      <c r="AA14" s="221">
        <v>0</v>
      </c>
      <c r="AB14" s="105">
        <f>Z14+AA14</f>
        <v>0</v>
      </c>
      <c r="AC14" s="31">
        <f>X14+Y14+AB14</f>
        <v>0</v>
      </c>
      <c r="AD14" s="112">
        <f>V14+AC14</f>
        <v>0</v>
      </c>
      <c r="AE14" s="24">
        <v>0</v>
      </c>
      <c r="AF14" s="374">
        <f>AE14+AD14+R14+E14</f>
        <v>0</v>
      </c>
      <c r="AG14" s="375"/>
    </row>
    <row r="15" spans="1:33" s="14" customFormat="1" ht="15" x14ac:dyDescent="0.35">
      <c r="A15" s="322" t="s">
        <v>96</v>
      </c>
      <c r="B15" s="301" t="s">
        <v>44</v>
      </c>
      <c r="C15" s="302">
        <v>0</v>
      </c>
      <c r="D15" s="303">
        <v>0</v>
      </c>
      <c r="E15" s="304">
        <f>SUM(C15:D15)</f>
        <v>0</v>
      </c>
      <c r="F15" s="172" t="s">
        <v>44</v>
      </c>
      <c r="G15" s="302">
        <v>0</v>
      </c>
      <c r="H15" s="303">
        <v>0</v>
      </c>
      <c r="I15" s="303">
        <v>0</v>
      </c>
      <c r="J15" s="304">
        <f>SUM(G15:I15)</f>
        <v>0</v>
      </c>
      <c r="K15" s="305" t="s">
        <v>44</v>
      </c>
      <c r="L15" s="302">
        <v>0</v>
      </c>
      <c r="M15" s="306">
        <v>0</v>
      </c>
      <c r="N15" s="307">
        <v>0</v>
      </c>
      <c r="O15" s="303">
        <v>0</v>
      </c>
      <c r="P15" s="304">
        <f>N15+O15</f>
        <v>0</v>
      </c>
      <c r="Q15" s="308">
        <f>L15+M15+P15</f>
        <v>0</v>
      </c>
      <c r="R15" s="309">
        <f>Q15+J15</f>
        <v>0</v>
      </c>
      <c r="S15" s="172" t="s">
        <v>44</v>
      </c>
      <c r="T15" s="302">
        <v>0</v>
      </c>
      <c r="U15" s="303">
        <v>0</v>
      </c>
      <c r="V15" s="304">
        <f>T15+U15</f>
        <v>0</v>
      </c>
      <c r="W15" s="172" t="s">
        <v>44</v>
      </c>
      <c r="X15" s="302">
        <v>0</v>
      </c>
      <c r="Y15" s="303">
        <v>0</v>
      </c>
      <c r="Z15" s="307">
        <v>0</v>
      </c>
      <c r="AA15" s="303">
        <v>0</v>
      </c>
      <c r="AB15" s="304">
        <f>Z15+AA15</f>
        <v>0</v>
      </c>
      <c r="AC15" s="308">
        <f>X15+Y15+AB15</f>
        <v>0</v>
      </c>
      <c r="AD15" s="310">
        <f>V15+AC15</f>
        <v>0</v>
      </c>
      <c r="AE15" s="311">
        <v>0</v>
      </c>
      <c r="AF15" s="382">
        <f>AE15+AD15+R15+E15</f>
        <v>0</v>
      </c>
      <c r="AG15" s="383"/>
    </row>
    <row r="16" spans="1:33" s="209" customFormat="1" x14ac:dyDescent="0.2">
      <c r="A16" s="318" t="s">
        <v>45</v>
      </c>
      <c r="B16" s="68" t="s">
        <v>44</v>
      </c>
      <c r="C16" s="107">
        <f>SUM(C14:C15)</f>
        <v>0</v>
      </c>
      <c r="D16" s="108">
        <f>SUM(D14:D15)</f>
        <v>0</v>
      </c>
      <c r="E16" s="106">
        <f>SUM(C16:D16)</f>
        <v>0</v>
      </c>
      <c r="F16" s="161" t="s">
        <v>44</v>
      </c>
      <c r="G16" s="107">
        <f t="shared" ref="G16:R16" si="0">SUM(G14:G15)</f>
        <v>0</v>
      </c>
      <c r="H16" s="108">
        <f t="shared" si="0"/>
        <v>0</v>
      </c>
      <c r="I16" s="108">
        <f t="shared" si="0"/>
        <v>0</v>
      </c>
      <c r="J16" s="106">
        <f t="shared" si="0"/>
        <v>0</v>
      </c>
      <c r="K16" s="162" t="s">
        <v>44</v>
      </c>
      <c r="L16" s="107">
        <f t="shared" si="0"/>
        <v>0</v>
      </c>
      <c r="M16" s="106">
        <f t="shared" si="0"/>
        <v>0</v>
      </c>
      <c r="N16" s="111">
        <f t="shared" si="0"/>
        <v>0</v>
      </c>
      <c r="O16" s="108">
        <f t="shared" si="0"/>
        <v>0</v>
      </c>
      <c r="P16" s="106">
        <f t="shared" si="0"/>
        <v>0</v>
      </c>
      <c r="Q16" s="103">
        <f t="shared" si="0"/>
        <v>0</v>
      </c>
      <c r="R16" s="103">
        <f t="shared" si="0"/>
        <v>0</v>
      </c>
      <c r="S16" s="161" t="s">
        <v>44</v>
      </c>
      <c r="T16" s="107">
        <f t="shared" ref="T16:AF16" si="1">SUM(T14:T15)</f>
        <v>0</v>
      </c>
      <c r="U16" s="108">
        <f t="shared" si="1"/>
        <v>0</v>
      </c>
      <c r="V16" s="106">
        <f t="shared" si="1"/>
        <v>0</v>
      </c>
      <c r="W16" s="161" t="s">
        <v>44</v>
      </c>
      <c r="X16" s="107">
        <f t="shared" si="1"/>
        <v>0</v>
      </c>
      <c r="Y16" s="108">
        <f t="shared" si="1"/>
        <v>0</v>
      </c>
      <c r="Z16" s="111">
        <f t="shared" si="1"/>
        <v>0</v>
      </c>
      <c r="AA16" s="108">
        <f t="shared" si="1"/>
        <v>0</v>
      </c>
      <c r="AB16" s="106">
        <f t="shared" si="1"/>
        <v>0</v>
      </c>
      <c r="AC16" s="103">
        <f t="shared" si="1"/>
        <v>0</v>
      </c>
      <c r="AD16" s="111">
        <f t="shared" si="1"/>
        <v>0</v>
      </c>
      <c r="AE16" s="25">
        <f t="shared" si="1"/>
        <v>0</v>
      </c>
      <c r="AF16" s="384">
        <f t="shared" si="1"/>
        <v>0</v>
      </c>
      <c r="AG16" s="385"/>
    </row>
    <row r="17" spans="1:33" s="209" customFormat="1" x14ac:dyDescent="0.2">
      <c r="A17" s="318"/>
      <c r="B17" s="212"/>
      <c r="C17" s="223"/>
      <c r="D17" s="224"/>
      <c r="E17" s="19"/>
      <c r="F17" s="163"/>
      <c r="G17" s="223"/>
      <c r="H17" s="224"/>
      <c r="I17" s="224"/>
      <c r="J17" s="19"/>
      <c r="K17" s="164"/>
      <c r="L17" s="223"/>
      <c r="M17" s="225"/>
      <c r="N17" s="226"/>
      <c r="O17" s="224"/>
      <c r="P17" s="19"/>
      <c r="Q17" s="29"/>
      <c r="R17" s="45"/>
      <c r="S17" s="163"/>
      <c r="T17" s="223"/>
      <c r="U17" s="224"/>
      <c r="V17" s="19"/>
      <c r="W17" s="163"/>
      <c r="X17" s="223"/>
      <c r="Y17" s="224"/>
      <c r="Z17" s="226"/>
      <c r="AA17" s="224"/>
      <c r="AB17" s="19"/>
      <c r="AC17" s="29"/>
      <c r="AD17" s="21"/>
      <c r="AE17" s="26"/>
      <c r="AF17" s="370"/>
      <c r="AG17" s="371"/>
    </row>
    <row r="18" spans="1:33" s="209" customFormat="1" x14ac:dyDescent="0.2">
      <c r="A18" s="323" t="s">
        <v>39</v>
      </c>
      <c r="B18" s="301" t="s">
        <v>44</v>
      </c>
      <c r="C18" s="227">
        <f>(14.71*12)*B36</f>
        <v>624351.24</v>
      </c>
      <c r="D18" s="228">
        <f>(4710996.75+49062.78+4859.29+3235.04+476.7+144044.63)-C18</f>
        <v>4288323.95</v>
      </c>
      <c r="E18" s="109">
        <f>SUM(C18:D18)</f>
        <v>4912675.1900000004</v>
      </c>
      <c r="F18" s="172" t="s">
        <v>44</v>
      </c>
      <c r="G18" s="227">
        <f>(14.73*12)*F36</f>
        <v>126206.64</v>
      </c>
      <c r="H18" s="228">
        <f>(1343672.84+1290.2+15984.19)-G18</f>
        <v>1234740.5900000001</v>
      </c>
      <c r="I18" s="228">
        <v>2418.52</v>
      </c>
      <c r="J18" s="109">
        <f>SUM(G18:I18)</f>
        <v>1363365.75</v>
      </c>
      <c r="K18" s="305" t="s">
        <v>44</v>
      </c>
      <c r="L18" s="227">
        <f>(165.84*12)*K36</f>
        <v>195027.84</v>
      </c>
      <c r="M18" s="229">
        <f>3223995.05-L18</f>
        <v>3028967.21</v>
      </c>
      <c r="N18" s="230">
        <v>1501125.83</v>
      </c>
      <c r="O18" s="228">
        <v>0</v>
      </c>
      <c r="P18" s="109">
        <f>SUM(N18:O18)</f>
        <v>1501125.83</v>
      </c>
      <c r="Q18" s="104">
        <f>L18+M18+P18</f>
        <v>4725120.88</v>
      </c>
      <c r="R18" s="313">
        <f>Q18+J18</f>
        <v>6088486.6299999999</v>
      </c>
      <c r="S18" s="172" t="s">
        <v>44</v>
      </c>
      <c r="T18" s="231">
        <f>T19-T16</f>
        <v>0</v>
      </c>
      <c r="U18" s="232">
        <f>U19-U16</f>
        <v>0</v>
      </c>
      <c r="V18" s="109">
        <f>V19-V16</f>
        <v>0</v>
      </c>
      <c r="W18" s="172" t="s">
        <v>44</v>
      </c>
      <c r="X18" s="231">
        <f t="shared" ref="X18:AC18" si="2">X19-X16</f>
        <v>108181.08</v>
      </c>
      <c r="Y18" s="232">
        <f t="shared" si="2"/>
        <v>588721.15</v>
      </c>
      <c r="Z18" s="233">
        <f t="shared" si="2"/>
        <v>497496.12</v>
      </c>
      <c r="AA18" s="232">
        <f t="shared" si="2"/>
        <v>0</v>
      </c>
      <c r="AB18" s="109">
        <f t="shared" si="2"/>
        <v>497496.12</v>
      </c>
      <c r="AC18" s="104">
        <f t="shared" si="2"/>
        <v>1194398.3500000001</v>
      </c>
      <c r="AD18" s="116">
        <f>AC18+V18</f>
        <v>1194398.3500000001</v>
      </c>
      <c r="AE18" s="141">
        <v>0</v>
      </c>
      <c r="AF18" s="372">
        <f>AE18+AD18+R18+E18</f>
        <v>12195560.170000002</v>
      </c>
      <c r="AG18" s="373"/>
    </row>
    <row r="19" spans="1:33" s="13" customFormat="1" ht="13.5" customHeight="1" x14ac:dyDescent="0.2">
      <c r="A19" s="324" t="s">
        <v>90</v>
      </c>
      <c r="B19" s="68" t="s">
        <v>44</v>
      </c>
      <c r="C19" s="165">
        <f>C18+C16</f>
        <v>624351.24</v>
      </c>
      <c r="D19" s="166">
        <f>D18+D16</f>
        <v>4288323.95</v>
      </c>
      <c r="E19" s="105">
        <f>E18+E16</f>
        <v>4912675.1900000004</v>
      </c>
      <c r="F19" s="161" t="s">
        <v>44</v>
      </c>
      <c r="G19" s="165">
        <f>G18+G16</f>
        <v>126206.64</v>
      </c>
      <c r="H19" s="166">
        <f>H18+H16</f>
        <v>1234740.5900000001</v>
      </c>
      <c r="I19" s="166">
        <f>I18+I16</f>
        <v>2418.52</v>
      </c>
      <c r="J19" s="105">
        <f>J18+J16</f>
        <v>1363365.75</v>
      </c>
      <c r="K19" s="162" t="s">
        <v>44</v>
      </c>
      <c r="L19" s="165">
        <f t="shared" ref="L19:R19" si="3">L18+L16</f>
        <v>195027.84</v>
      </c>
      <c r="M19" s="110">
        <f t="shared" si="3"/>
        <v>3028967.21</v>
      </c>
      <c r="N19" s="165">
        <f t="shared" si="3"/>
        <v>1501125.83</v>
      </c>
      <c r="O19" s="166">
        <f t="shared" si="3"/>
        <v>0</v>
      </c>
      <c r="P19" s="110">
        <f t="shared" si="3"/>
        <v>1501125.83</v>
      </c>
      <c r="Q19" s="113">
        <f t="shared" si="3"/>
        <v>4725120.88</v>
      </c>
      <c r="R19" s="113">
        <f t="shared" si="3"/>
        <v>6088486.6299999999</v>
      </c>
      <c r="S19" s="161" t="s">
        <v>44</v>
      </c>
      <c r="T19" s="136">
        <v>0</v>
      </c>
      <c r="U19" s="137">
        <v>0</v>
      </c>
      <c r="V19" s="110">
        <f>T19+U19</f>
        <v>0</v>
      </c>
      <c r="W19" s="161" t="s">
        <v>44</v>
      </c>
      <c r="X19" s="136">
        <f>(9015.09*12)*W36</f>
        <v>108181.08</v>
      </c>
      <c r="Y19" s="137">
        <f>(120794.27+576107.96)-X19</f>
        <v>588721.15</v>
      </c>
      <c r="Z19" s="138">
        <f>33048+464448.12</f>
        <v>497496.12</v>
      </c>
      <c r="AA19" s="137">
        <v>0</v>
      </c>
      <c r="AB19" s="110">
        <f>Z19+AA19</f>
        <v>497496.12</v>
      </c>
      <c r="AC19" s="113">
        <f>X19+Y19+AB19</f>
        <v>1194398.3500000001</v>
      </c>
      <c r="AD19" s="117">
        <f>V19+AC19</f>
        <v>1194398.3500000001</v>
      </c>
      <c r="AE19" s="24">
        <f>AE18+AE16</f>
        <v>0</v>
      </c>
      <c r="AF19" s="374">
        <f>SUM(AF16:AG18)</f>
        <v>12195560.170000002</v>
      </c>
      <c r="AG19" s="375"/>
    </row>
    <row r="20" spans="1:33" s="209" customFormat="1" x14ac:dyDescent="0.2">
      <c r="A20" s="318"/>
      <c r="B20" s="212"/>
      <c r="C20" s="223"/>
      <c r="D20" s="224"/>
      <c r="E20" s="19"/>
      <c r="F20" s="167"/>
      <c r="G20" s="223"/>
      <c r="H20" s="224"/>
      <c r="I20" s="224"/>
      <c r="J20" s="19"/>
      <c r="K20" s="168"/>
      <c r="L20" s="223"/>
      <c r="M20" s="225"/>
      <c r="N20" s="223"/>
      <c r="O20" s="224"/>
      <c r="P20" s="19"/>
      <c r="Q20" s="29"/>
      <c r="R20" s="45"/>
      <c r="S20" s="167"/>
      <c r="T20" s="223"/>
      <c r="U20" s="224"/>
      <c r="V20" s="19"/>
      <c r="W20" s="167"/>
      <c r="X20" s="223"/>
      <c r="Y20" s="224"/>
      <c r="Z20" s="226"/>
      <c r="AA20" s="224"/>
      <c r="AB20" s="19"/>
      <c r="AC20" s="29"/>
      <c r="AD20" s="21"/>
      <c r="AE20" s="26"/>
      <c r="AF20" s="370"/>
      <c r="AG20" s="371"/>
    </row>
    <row r="21" spans="1:33" s="234" customFormat="1" x14ac:dyDescent="0.2">
      <c r="A21" s="325" t="s">
        <v>23</v>
      </c>
      <c r="B21" s="74" t="s">
        <v>44</v>
      </c>
      <c r="C21" s="169" t="s">
        <v>44</v>
      </c>
      <c r="D21" s="170" t="s">
        <v>44</v>
      </c>
      <c r="E21" s="171">
        <v>4912675.1900000004</v>
      </c>
      <c r="F21" s="172" t="s">
        <v>44</v>
      </c>
      <c r="G21" s="169" t="s">
        <v>44</v>
      </c>
      <c r="H21" s="169" t="s">
        <v>44</v>
      </c>
      <c r="I21" s="317">
        <v>2418.52</v>
      </c>
      <c r="J21" s="173" t="s">
        <v>44</v>
      </c>
      <c r="K21" s="172" t="s">
        <v>44</v>
      </c>
      <c r="L21" s="169" t="s">
        <v>44</v>
      </c>
      <c r="M21" s="174" t="s">
        <v>44</v>
      </c>
      <c r="N21" s="170" t="s">
        <v>44</v>
      </c>
      <c r="O21" s="169" t="s">
        <v>44</v>
      </c>
      <c r="P21" s="174" t="s">
        <v>44</v>
      </c>
      <c r="Q21" s="174" t="s">
        <v>44</v>
      </c>
      <c r="R21" s="171">
        <v>6088486.6299999999</v>
      </c>
      <c r="S21" s="172" t="s">
        <v>44</v>
      </c>
      <c r="T21" s="170" t="s">
        <v>44</v>
      </c>
      <c r="U21" s="169" t="s">
        <v>44</v>
      </c>
      <c r="V21" s="174" t="s">
        <v>44</v>
      </c>
      <c r="W21" s="172" t="s">
        <v>44</v>
      </c>
      <c r="X21" s="169" t="s">
        <v>44</v>
      </c>
      <c r="Y21" s="174" t="s">
        <v>44</v>
      </c>
      <c r="Z21" s="170" t="s">
        <v>44</v>
      </c>
      <c r="AA21" s="169" t="s">
        <v>44</v>
      </c>
      <c r="AB21" s="174" t="s">
        <v>44</v>
      </c>
      <c r="AC21" s="174" t="s">
        <v>44</v>
      </c>
      <c r="AD21" s="175">
        <v>1194398.3500000001</v>
      </c>
      <c r="AE21" s="176">
        <v>0</v>
      </c>
      <c r="AF21" s="376">
        <v>12195560.17</v>
      </c>
      <c r="AG21" s="377"/>
    </row>
    <row r="22" spans="1:33" s="209" customFormat="1" x14ac:dyDescent="0.2">
      <c r="A22" s="318"/>
      <c r="B22" s="235"/>
      <c r="C22" s="224"/>
      <c r="D22" s="224"/>
      <c r="E22" s="19"/>
      <c r="F22" s="236"/>
      <c r="G22" s="237"/>
      <c r="H22" s="237"/>
      <c r="I22" s="237"/>
      <c r="J22" s="177"/>
      <c r="K22" s="236"/>
      <c r="L22" s="237"/>
      <c r="M22" s="238"/>
      <c r="N22" s="239"/>
      <c r="O22" s="237"/>
      <c r="P22" s="238"/>
      <c r="Q22" s="238"/>
      <c r="R22" s="177"/>
      <c r="S22" s="240"/>
      <c r="T22" s="239"/>
      <c r="U22" s="237"/>
      <c r="V22" s="238"/>
      <c r="W22" s="163"/>
      <c r="X22" s="237"/>
      <c r="Y22" s="238"/>
      <c r="Z22" s="239"/>
      <c r="AA22" s="237"/>
      <c r="AB22" s="238"/>
      <c r="AC22" s="238"/>
      <c r="AD22" s="178"/>
      <c r="AE22" s="178"/>
      <c r="AF22" s="363"/>
      <c r="AG22" s="364"/>
    </row>
    <row r="23" spans="1:33" s="247" customFormat="1" ht="13.5" thickBot="1" x14ac:dyDescent="0.25">
      <c r="A23" s="326" t="s">
        <v>11</v>
      </c>
      <c r="B23" s="241" t="s">
        <v>44</v>
      </c>
      <c r="C23" s="242" t="s">
        <v>44</v>
      </c>
      <c r="D23" s="242" t="s">
        <v>44</v>
      </c>
      <c r="E23" s="314">
        <f>E19-E21</f>
        <v>0</v>
      </c>
      <c r="F23" s="243" t="s">
        <v>44</v>
      </c>
      <c r="G23" s="242" t="s">
        <v>44</v>
      </c>
      <c r="H23" s="242" t="s">
        <v>44</v>
      </c>
      <c r="I23" s="180">
        <f>I19-I21</f>
        <v>0</v>
      </c>
      <c r="J23" s="181" t="s">
        <v>44</v>
      </c>
      <c r="K23" s="243" t="s">
        <v>44</v>
      </c>
      <c r="L23" s="242" t="s">
        <v>44</v>
      </c>
      <c r="M23" s="244" t="s">
        <v>44</v>
      </c>
      <c r="N23" s="245" t="s">
        <v>44</v>
      </c>
      <c r="O23" s="242" t="s">
        <v>44</v>
      </c>
      <c r="P23" s="244" t="s">
        <v>44</v>
      </c>
      <c r="Q23" s="244" t="s">
        <v>44</v>
      </c>
      <c r="R23" s="179">
        <f>R19-R21</f>
        <v>0</v>
      </c>
      <c r="S23" s="246" t="s">
        <v>44</v>
      </c>
      <c r="T23" s="245" t="s">
        <v>44</v>
      </c>
      <c r="U23" s="242" t="s">
        <v>44</v>
      </c>
      <c r="V23" s="244" t="s">
        <v>44</v>
      </c>
      <c r="W23" s="246" t="s">
        <v>44</v>
      </c>
      <c r="X23" s="242" t="s">
        <v>44</v>
      </c>
      <c r="Y23" s="244" t="s">
        <v>44</v>
      </c>
      <c r="Z23" s="245" t="s">
        <v>44</v>
      </c>
      <c r="AA23" s="242" t="s">
        <v>44</v>
      </c>
      <c r="AB23" s="244" t="s">
        <v>44</v>
      </c>
      <c r="AC23" s="244" t="s">
        <v>44</v>
      </c>
      <c r="AD23" s="182">
        <f>AD19-AD21</f>
        <v>0</v>
      </c>
      <c r="AE23" s="182">
        <f>AE19-AE21</f>
        <v>0</v>
      </c>
      <c r="AF23" s="365">
        <f>AF19-AF21</f>
        <v>0</v>
      </c>
      <c r="AG23" s="366"/>
    </row>
    <row r="24" spans="1:33" s="247" customFormat="1" ht="13.5" thickTop="1" x14ac:dyDescent="0.2">
      <c r="A24" s="327"/>
      <c r="C24" s="4"/>
      <c r="Q24" s="3"/>
      <c r="R24" s="3"/>
    </row>
    <row r="25" spans="1:33" s="247" customFormat="1" ht="13.5" thickBot="1" x14ac:dyDescent="0.25">
      <c r="A25" s="327"/>
      <c r="C25" s="1"/>
      <c r="Q25" s="3"/>
      <c r="R25" s="3"/>
    </row>
    <row r="26" spans="1:33" ht="26.25" customHeight="1" thickTop="1" x14ac:dyDescent="0.2">
      <c r="A26" s="328" t="str">
        <f>"Enter "&amp;TEXT(B4,"000")&amp;" Billing Determinants"</f>
        <v>Enter 2021 Billing Determinants</v>
      </c>
      <c r="B26" s="49"/>
      <c r="C26" s="47"/>
      <c r="D26" s="48"/>
      <c r="E26" s="61"/>
      <c r="F26" s="71"/>
      <c r="G26" s="205"/>
      <c r="H26" s="205"/>
      <c r="I26" s="205"/>
      <c r="J26" s="61"/>
      <c r="K26" s="58"/>
      <c r="L26" s="205"/>
      <c r="M26" s="205"/>
      <c r="N26" s="207"/>
      <c r="O26" s="205"/>
      <c r="P26" s="202"/>
      <c r="Q26" s="248"/>
      <c r="R26" s="248"/>
      <c r="S26" s="204"/>
      <c r="T26" s="205"/>
      <c r="U26" s="205"/>
      <c r="V26" s="202"/>
      <c r="W26" s="204"/>
      <c r="X26" s="205"/>
      <c r="Y26" s="205"/>
      <c r="Z26" s="207"/>
      <c r="AA26" s="205"/>
      <c r="AB26" s="202"/>
      <c r="AC26" s="248"/>
      <c r="AD26" s="248"/>
      <c r="AE26" s="248"/>
      <c r="AF26" s="102"/>
      <c r="AG26" s="249"/>
    </row>
    <row r="27" spans="1:33" s="81" customFormat="1" x14ac:dyDescent="0.2">
      <c r="A27" s="329" t="s">
        <v>43</v>
      </c>
      <c r="B27" s="293" t="s">
        <v>67</v>
      </c>
      <c r="C27" s="294" t="s">
        <v>44</v>
      </c>
      <c r="D27" s="294" t="s">
        <v>12</v>
      </c>
      <c r="E27" s="295" t="s">
        <v>1</v>
      </c>
      <c r="F27" s="296" t="s">
        <v>67</v>
      </c>
      <c r="G27" s="294" t="s">
        <v>44</v>
      </c>
      <c r="H27" s="294" t="s">
        <v>1</v>
      </c>
      <c r="I27" s="294" t="s">
        <v>1</v>
      </c>
      <c r="J27" s="295" t="s">
        <v>1</v>
      </c>
      <c r="K27" s="296" t="s">
        <v>67</v>
      </c>
      <c r="L27" s="294" t="s">
        <v>44</v>
      </c>
      <c r="M27" s="294" t="s">
        <v>12</v>
      </c>
      <c r="N27" s="297" t="s">
        <v>2</v>
      </c>
      <c r="O27" s="294" t="s">
        <v>2</v>
      </c>
      <c r="P27" s="295" t="s">
        <v>2</v>
      </c>
      <c r="Q27" s="298" t="s">
        <v>1</v>
      </c>
      <c r="R27" s="298" t="s">
        <v>1</v>
      </c>
      <c r="S27" s="296" t="s">
        <v>67</v>
      </c>
      <c r="T27" s="294" t="s">
        <v>44</v>
      </c>
      <c r="U27" s="294" t="s">
        <v>12</v>
      </c>
      <c r="V27" s="295" t="s">
        <v>1</v>
      </c>
      <c r="W27" s="296" t="s">
        <v>67</v>
      </c>
      <c r="X27" s="294" t="s">
        <v>44</v>
      </c>
      <c r="Y27" s="294" t="s">
        <v>12</v>
      </c>
      <c r="Z27" s="297" t="s">
        <v>2</v>
      </c>
      <c r="AA27" s="294" t="s">
        <v>2</v>
      </c>
      <c r="AB27" s="295" t="s">
        <v>2</v>
      </c>
      <c r="AC27" s="299" t="s">
        <v>1</v>
      </c>
      <c r="AD27" s="299" t="s">
        <v>1</v>
      </c>
      <c r="AE27" s="299" t="s">
        <v>12</v>
      </c>
      <c r="AF27" s="293" t="s">
        <v>1</v>
      </c>
      <c r="AG27" s="300" t="s">
        <v>2</v>
      </c>
    </row>
    <row r="28" spans="1:33" ht="15" x14ac:dyDescent="0.35">
      <c r="A28" s="320" t="s">
        <v>46</v>
      </c>
      <c r="B28" s="63"/>
      <c r="C28" s="250"/>
      <c r="D28" s="250"/>
      <c r="E28" s="62"/>
      <c r="F28" s="72"/>
      <c r="G28" s="250"/>
      <c r="H28" s="250"/>
      <c r="I28" s="250"/>
      <c r="J28" s="251"/>
      <c r="K28" s="4"/>
      <c r="L28" s="250"/>
      <c r="M28" s="250"/>
      <c r="N28" s="252"/>
      <c r="O28" s="250"/>
      <c r="P28" s="251"/>
      <c r="Q28" s="253"/>
      <c r="R28" s="253"/>
      <c r="S28" s="36"/>
      <c r="T28" s="250"/>
      <c r="U28" s="254"/>
      <c r="V28" s="255"/>
      <c r="W28" s="190"/>
      <c r="X28" s="254"/>
      <c r="Y28" s="250"/>
      <c r="Z28" s="252"/>
      <c r="AA28" s="250"/>
      <c r="AB28" s="251"/>
      <c r="AC28" s="256"/>
      <c r="AD28" s="256"/>
      <c r="AE28" s="256"/>
      <c r="AF28" s="257"/>
      <c r="AG28" s="258"/>
    </row>
    <row r="29" spans="1:33" x14ac:dyDescent="0.2">
      <c r="A29" s="321" t="s">
        <v>69</v>
      </c>
      <c r="B29" s="68" t="s">
        <v>44</v>
      </c>
      <c r="C29" s="94" t="s">
        <v>44</v>
      </c>
      <c r="D29" s="94" t="s">
        <v>44</v>
      </c>
      <c r="E29" s="64" t="s">
        <v>44</v>
      </c>
      <c r="F29" s="68" t="s">
        <v>44</v>
      </c>
      <c r="G29" s="94" t="s">
        <v>44</v>
      </c>
      <c r="H29" s="94" t="s">
        <v>44</v>
      </c>
      <c r="I29" s="94" t="s">
        <v>44</v>
      </c>
      <c r="J29" s="64" t="s">
        <v>44</v>
      </c>
      <c r="K29" s="69" t="s">
        <v>44</v>
      </c>
      <c r="L29" s="94" t="s">
        <v>44</v>
      </c>
      <c r="M29" s="94" t="s">
        <v>44</v>
      </c>
      <c r="N29" s="95" t="s">
        <v>44</v>
      </c>
      <c r="O29" s="94" t="s">
        <v>44</v>
      </c>
      <c r="P29" s="64" t="s">
        <v>44</v>
      </c>
      <c r="Q29" s="148" t="str">
        <f>M29</f>
        <v>N/A</v>
      </c>
      <c r="R29" s="148" t="s">
        <v>44</v>
      </c>
      <c r="S29" s="69" t="s">
        <v>44</v>
      </c>
      <c r="T29" s="94" t="s">
        <v>44</v>
      </c>
      <c r="U29" s="94" t="s">
        <v>44</v>
      </c>
      <c r="V29" s="96" t="s">
        <v>44</v>
      </c>
      <c r="W29" s="269">
        <v>0</v>
      </c>
      <c r="X29" s="94" t="s">
        <v>44</v>
      </c>
      <c r="Y29" s="259">
        <v>0</v>
      </c>
      <c r="Z29" s="260">
        <v>0</v>
      </c>
      <c r="AA29" s="259">
        <v>0</v>
      </c>
      <c r="AB29" s="98">
        <f>SUM(Z29:AA29)</f>
        <v>0</v>
      </c>
      <c r="AC29" s="85">
        <f>Y29</f>
        <v>0</v>
      </c>
      <c r="AD29" s="85">
        <f>AC29</f>
        <v>0</v>
      </c>
      <c r="AE29" s="148" t="s">
        <v>44</v>
      </c>
      <c r="AF29" s="118">
        <f>AD29</f>
        <v>0</v>
      </c>
      <c r="AG29" s="119">
        <f>AB29</f>
        <v>0</v>
      </c>
    </row>
    <row r="30" spans="1:33" x14ac:dyDescent="0.2">
      <c r="A30" s="322" t="s">
        <v>96</v>
      </c>
      <c r="B30" s="284">
        <v>0</v>
      </c>
      <c r="C30" s="270" t="s">
        <v>44</v>
      </c>
      <c r="D30" s="285">
        <v>0</v>
      </c>
      <c r="E30" s="286">
        <f>D30</f>
        <v>0</v>
      </c>
      <c r="F30" s="284">
        <v>0</v>
      </c>
      <c r="G30" s="270" t="s">
        <v>44</v>
      </c>
      <c r="H30" s="261">
        <v>0</v>
      </c>
      <c r="I30" s="261">
        <v>0</v>
      </c>
      <c r="J30" s="83">
        <f>I30+H30</f>
        <v>0</v>
      </c>
      <c r="K30" s="287">
        <v>0</v>
      </c>
      <c r="L30" s="270" t="s">
        <v>44</v>
      </c>
      <c r="M30" s="261">
        <v>0</v>
      </c>
      <c r="N30" s="262">
        <v>0</v>
      </c>
      <c r="O30" s="261">
        <v>0</v>
      </c>
      <c r="P30" s="83">
        <f>SUM(N30:O30)</f>
        <v>0</v>
      </c>
      <c r="Q30" s="288">
        <f>M30</f>
        <v>0</v>
      </c>
      <c r="R30" s="288">
        <f>Q30+J30</f>
        <v>0</v>
      </c>
      <c r="S30" s="287">
        <v>0</v>
      </c>
      <c r="T30" s="270" t="s">
        <v>44</v>
      </c>
      <c r="U30" s="285">
        <v>0</v>
      </c>
      <c r="V30" s="101">
        <f>U30</f>
        <v>0</v>
      </c>
      <c r="W30" s="271">
        <v>0</v>
      </c>
      <c r="X30" s="270" t="s">
        <v>44</v>
      </c>
      <c r="Y30" s="289">
        <v>0</v>
      </c>
      <c r="Z30" s="290">
        <v>0</v>
      </c>
      <c r="AA30" s="289">
        <v>0</v>
      </c>
      <c r="AB30" s="291">
        <f>SUM(Z30:AA30)</f>
        <v>0</v>
      </c>
      <c r="AC30" s="90">
        <f>Y30</f>
        <v>0</v>
      </c>
      <c r="AD30" s="90">
        <f>AC30+U30</f>
        <v>0</v>
      </c>
      <c r="AE30" s="292">
        <v>0</v>
      </c>
      <c r="AF30" s="154">
        <f>AD30+R30+E30+AE30</f>
        <v>0</v>
      </c>
      <c r="AG30" s="155">
        <f>AB30+P30</f>
        <v>0</v>
      </c>
    </row>
    <row r="31" spans="1:33" s="4" customFormat="1" x14ac:dyDescent="0.2">
      <c r="A31" s="324" t="s">
        <v>45</v>
      </c>
      <c r="B31" s="146">
        <f>B30</f>
        <v>0</v>
      </c>
      <c r="C31" s="147" t="s">
        <v>44</v>
      </c>
      <c r="D31" s="147">
        <f>D30</f>
        <v>0</v>
      </c>
      <c r="E31" s="64">
        <f>E30</f>
        <v>0</v>
      </c>
      <c r="F31" s="146">
        <f>F30</f>
        <v>0</v>
      </c>
      <c r="G31" s="147" t="s">
        <v>44</v>
      </c>
      <c r="H31" s="86">
        <f t="shared" ref="H31:J31" si="4">SUM(H29:H30)</f>
        <v>0</v>
      </c>
      <c r="I31" s="86">
        <f t="shared" si="4"/>
        <v>0</v>
      </c>
      <c r="J31" s="82">
        <f t="shared" si="4"/>
        <v>0</v>
      </c>
      <c r="K31" s="145">
        <f>SUM(K30)</f>
        <v>0</v>
      </c>
      <c r="L31" s="147" t="s">
        <v>44</v>
      </c>
      <c r="M31" s="86">
        <f>SUM(M29:M30)</f>
        <v>0</v>
      </c>
      <c r="N31" s="87">
        <f>SUM(N29:N30)</f>
        <v>0</v>
      </c>
      <c r="O31" s="86">
        <f>SUM(O29:O30)</f>
        <v>0</v>
      </c>
      <c r="P31" s="84">
        <f>SUM(P29:P30)</f>
        <v>0</v>
      </c>
      <c r="Q31" s="148">
        <f>M31</f>
        <v>0</v>
      </c>
      <c r="R31" s="148">
        <f>R30</f>
        <v>0</v>
      </c>
      <c r="S31" s="145">
        <f>SUM(S30)</f>
        <v>0</v>
      </c>
      <c r="T31" s="147" t="s">
        <v>44</v>
      </c>
      <c r="U31" s="147">
        <f>U30</f>
        <v>0</v>
      </c>
      <c r="V31" s="64">
        <f>V30</f>
        <v>0</v>
      </c>
      <c r="W31" s="59">
        <f>SUM(W29:W30)</f>
        <v>0</v>
      </c>
      <c r="X31" s="147" t="s">
        <v>44</v>
      </c>
      <c r="Y31" s="86">
        <f>SUM(Y29:Y30)</f>
        <v>0</v>
      </c>
      <c r="Z31" s="87">
        <f t="shared" ref="Z31:AA31" si="5">SUM(Z29:Z30)</f>
        <v>0</v>
      </c>
      <c r="AA31" s="86">
        <f t="shared" si="5"/>
        <v>0</v>
      </c>
      <c r="AB31" s="98">
        <f>SUM(Z31:AA31)</f>
        <v>0</v>
      </c>
      <c r="AC31" s="85">
        <f>SUM(AC29:AC30)</f>
        <v>0</v>
      </c>
      <c r="AD31" s="85">
        <f>SUM(AD29:AD30)</f>
        <v>0</v>
      </c>
      <c r="AE31" s="148">
        <f>AE30</f>
        <v>0</v>
      </c>
      <c r="AF31" s="118">
        <f>SUM(AF29:AF30)</f>
        <v>0</v>
      </c>
      <c r="AG31" s="119">
        <f>SUM(AG29:AG30)</f>
        <v>0</v>
      </c>
    </row>
    <row r="32" spans="1:33" x14ac:dyDescent="0.2">
      <c r="A32" s="318"/>
      <c r="B32" s="252"/>
      <c r="C32" s="263"/>
      <c r="D32" s="263"/>
      <c r="E32" s="65"/>
      <c r="F32" s="73"/>
      <c r="G32" s="263"/>
      <c r="H32" s="263"/>
      <c r="I32" s="263"/>
      <c r="J32" s="65"/>
      <c r="K32" s="60"/>
      <c r="L32" s="263"/>
      <c r="M32" s="263"/>
      <c r="N32" s="264"/>
      <c r="O32" s="263"/>
      <c r="P32" s="65"/>
      <c r="Q32" s="79"/>
      <c r="R32" s="79"/>
      <c r="S32" s="60"/>
      <c r="T32" s="263"/>
      <c r="U32" s="263"/>
      <c r="V32" s="93"/>
      <c r="W32" s="265"/>
      <c r="X32" s="263"/>
      <c r="Y32" s="263"/>
      <c r="Z32" s="264"/>
      <c r="AA32" s="263"/>
      <c r="AB32" s="99"/>
      <c r="AC32" s="79"/>
      <c r="AD32" s="79"/>
      <c r="AE32" s="79"/>
      <c r="AF32" s="152"/>
      <c r="AG32" s="153"/>
    </row>
    <row r="33" spans="1:33" ht="15" customHeight="1" x14ac:dyDescent="0.35">
      <c r="A33" s="318" t="s">
        <v>103</v>
      </c>
      <c r="B33" s="130">
        <v>103</v>
      </c>
      <c r="C33" s="266" t="s">
        <v>44</v>
      </c>
      <c r="D33" s="267">
        <f>1100039.6-375483.2+778140.9</f>
        <v>1502697.3000000003</v>
      </c>
      <c r="E33" s="82">
        <f>D33</f>
        <v>1502697.3000000003</v>
      </c>
      <c r="F33" s="130">
        <v>10</v>
      </c>
      <c r="G33" s="94" t="s">
        <v>44</v>
      </c>
      <c r="H33" s="267">
        <f>120723.6-41628.9+69509.8</f>
        <v>148604.5</v>
      </c>
      <c r="I33" s="267">
        <v>0</v>
      </c>
      <c r="J33" s="82">
        <f>I33+H33</f>
        <v>148604.5</v>
      </c>
      <c r="K33" s="133">
        <v>0</v>
      </c>
      <c r="L33" s="94" t="s">
        <v>44</v>
      </c>
      <c r="M33" s="267">
        <v>0</v>
      </c>
      <c r="N33" s="268">
        <v>0</v>
      </c>
      <c r="O33" s="267">
        <v>0</v>
      </c>
      <c r="P33" s="82">
        <f>SUM(N33:O33)</f>
        <v>0</v>
      </c>
      <c r="Q33" s="85">
        <f>M33</f>
        <v>0</v>
      </c>
      <c r="R33" s="85">
        <f>Q33+J33</f>
        <v>148604.5</v>
      </c>
      <c r="S33" s="133">
        <v>0</v>
      </c>
      <c r="T33" s="94" t="s">
        <v>44</v>
      </c>
      <c r="U33" s="267">
        <v>0</v>
      </c>
      <c r="V33" s="96">
        <f>U33</f>
        <v>0</v>
      </c>
      <c r="W33" s="269">
        <v>0</v>
      </c>
      <c r="X33" s="94" t="s">
        <v>44</v>
      </c>
      <c r="Y33" s="267">
        <v>0</v>
      </c>
      <c r="Z33" s="268">
        <v>0</v>
      </c>
      <c r="AA33" s="267">
        <v>0</v>
      </c>
      <c r="AB33" s="82">
        <f>SUM(Z33:AA33)</f>
        <v>0</v>
      </c>
      <c r="AC33" s="85">
        <f>Y33</f>
        <v>0</v>
      </c>
      <c r="AD33" s="85">
        <f>AC33+U33</f>
        <v>0</v>
      </c>
      <c r="AE33" s="158">
        <v>0</v>
      </c>
      <c r="AF33" s="118">
        <f>+R33+E33+AD33+AE33</f>
        <v>1651301.8000000003</v>
      </c>
      <c r="AG33" s="119">
        <f>AB33+P33</f>
        <v>0</v>
      </c>
    </row>
    <row r="34" spans="1:33" ht="15" customHeight="1" x14ac:dyDescent="0.2">
      <c r="A34" s="318" t="s">
        <v>104</v>
      </c>
      <c r="B34" s="130">
        <v>0</v>
      </c>
      <c r="C34" s="266" t="s">
        <v>44</v>
      </c>
      <c r="D34" s="267">
        <v>0</v>
      </c>
      <c r="E34" s="82">
        <f>D34</f>
        <v>0</v>
      </c>
      <c r="F34" s="130">
        <v>0</v>
      </c>
      <c r="G34" s="94" t="s">
        <v>44</v>
      </c>
      <c r="H34" s="267">
        <v>0</v>
      </c>
      <c r="I34" s="267">
        <v>0</v>
      </c>
      <c r="J34" s="82">
        <f>I34+H34</f>
        <v>0</v>
      </c>
      <c r="K34" s="133">
        <v>0</v>
      </c>
      <c r="L34" s="94" t="s">
        <v>44</v>
      </c>
      <c r="M34" s="267">
        <v>0</v>
      </c>
      <c r="N34" s="268">
        <v>0</v>
      </c>
      <c r="O34" s="267">
        <v>0</v>
      </c>
      <c r="P34" s="82">
        <f>SUM(N34:O34)</f>
        <v>0</v>
      </c>
      <c r="Q34" s="85">
        <f>M34</f>
        <v>0</v>
      </c>
      <c r="R34" s="85">
        <f>Q34+J34</f>
        <v>0</v>
      </c>
      <c r="S34" s="133">
        <v>0</v>
      </c>
      <c r="T34" s="94" t="s">
        <v>44</v>
      </c>
      <c r="U34" s="267">
        <v>0</v>
      </c>
      <c r="V34" s="96">
        <f>U34</f>
        <v>0</v>
      </c>
      <c r="W34" s="269">
        <v>0</v>
      </c>
      <c r="X34" s="94" t="s">
        <v>44</v>
      </c>
      <c r="Y34" s="267">
        <v>0</v>
      </c>
      <c r="Z34" s="268">
        <v>0</v>
      </c>
      <c r="AA34" s="267">
        <v>0</v>
      </c>
      <c r="AB34" s="82">
        <f>SUM(Z34:AA34)</f>
        <v>0</v>
      </c>
      <c r="AC34" s="85">
        <f>Y34</f>
        <v>0</v>
      </c>
      <c r="AD34" s="85">
        <f>AC34+U34</f>
        <v>0</v>
      </c>
      <c r="AE34" s="158">
        <v>0</v>
      </c>
      <c r="AF34" s="118">
        <f>+R34+E34+AD34+AE34</f>
        <v>0</v>
      </c>
      <c r="AG34" s="119">
        <f>AB34+P34</f>
        <v>0</v>
      </c>
    </row>
    <row r="35" spans="1:33" ht="15" customHeight="1" x14ac:dyDescent="0.2">
      <c r="A35" s="323" t="s">
        <v>39</v>
      </c>
      <c r="B35" s="131">
        <f>3537-B33</f>
        <v>3434</v>
      </c>
      <c r="C35" s="270" t="s">
        <v>44</v>
      </c>
      <c r="D35" s="261">
        <v>26049742</v>
      </c>
      <c r="E35" s="83">
        <f>D35</f>
        <v>26049742</v>
      </c>
      <c r="F35" s="131">
        <f>714-F33</f>
        <v>704</v>
      </c>
      <c r="G35" s="270" t="s">
        <v>44</v>
      </c>
      <c r="H35" s="261">
        <v>7406003</v>
      </c>
      <c r="I35" s="261">
        <v>44967</v>
      </c>
      <c r="J35" s="83">
        <f>I35+H35</f>
        <v>7450970</v>
      </c>
      <c r="K35" s="134">
        <v>98</v>
      </c>
      <c r="L35" s="270" t="s">
        <v>44</v>
      </c>
      <c r="M35" s="261">
        <v>33445067</v>
      </c>
      <c r="N35" s="262">
        <v>92951.5</v>
      </c>
      <c r="O35" s="261">
        <v>0</v>
      </c>
      <c r="P35" s="83">
        <f>SUM(N35:O35)</f>
        <v>92951.5</v>
      </c>
      <c r="Q35" s="90">
        <f>M35</f>
        <v>33445067</v>
      </c>
      <c r="R35" s="90">
        <f>Q35+J35</f>
        <v>40896037</v>
      </c>
      <c r="S35" s="134">
        <v>0</v>
      </c>
      <c r="T35" s="270" t="s">
        <v>44</v>
      </c>
      <c r="U35" s="261">
        <v>0</v>
      </c>
      <c r="V35" s="101">
        <f>U35</f>
        <v>0</v>
      </c>
      <c r="W35" s="271">
        <v>1</v>
      </c>
      <c r="X35" s="270" t="s">
        <v>44</v>
      </c>
      <c r="Y35" s="315">
        <f>Y36-Y31-Y33-Y34</f>
        <v>9150600</v>
      </c>
      <c r="Z35" s="316">
        <f>Z36-Z31-Z33-Z34</f>
        <v>28000</v>
      </c>
      <c r="AA35" s="315">
        <f>AA36-AA31-AA33-AA34</f>
        <v>0</v>
      </c>
      <c r="AB35" s="83">
        <f>SUM(Z35:AA35)</f>
        <v>28000</v>
      </c>
      <c r="AC35" s="90">
        <f>Y35</f>
        <v>9150600</v>
      </c>
      <c r="AD35" s="90">
        <f t="shared" ref="AD35" si="6">AC35+U35</f>
        <v>9150600</v>
      </c>
      <c r="AE35" s="159">
        <v>0</v>
      </c>
      <c r="AF35" s="154">
        <f>+R35+E35+AD35+AE35</f>
        <v>76096379</v>
      </c>
      <c r="AG35" s="155">
        <f>AB35+P35</f>
        <v>120951.5</v>
      </c>
    </row>
    <row r="36" spans="1:33" s="4" customFormat="1" x14ac:dyDescent="0.2">
      <c r="A36" s="324" t="s">
        <v>91</v>
      </c>
      <c r="B36" s="89">
        <f>SUM(B31:B35)</f>
        <v>3537</v>
      </c>
      <c r="C36" s="94" t="s">
        <v>44</v>
      </c>
      <c r="D36" s="86">
        <f>SUM(D31:D35)</f>
        <v>27552439.300000001</v>
      </c>
      <c r="E36" s="82">
        <f>SUM(E31:E35)</f>
        <v>27552439.300000001</v>
      </c>
      <c r="F36" s="89">
        <f>SUM(F31:F35)</f>
        <v>714</v>
      </c>
      <c r="G36" s="94" t="s">
        <v>44</v>
      </c>
      <c r="H36" s="86">
        <f>SUM(H31:H35)</f>
        <v>7554607.5</v>
      </c>
      <c r="I36" s="86">
        <f>SUM(I31:I35)</f>
        <v>44967</v>
      </c>
      <c r="J36" s="82">
        <f>SUM(J31:J35)</f>
        <v>7599574.5</v>
      </c>
      <c r="K36" s="88">
        <f>SUM(K31:K35)</f>
        <v>98</v>
      </c>
      <c r="L36" s="94" t="s">
        <v>44</v>
      </c>
      <c r="M36" s="86">
        <f>SUM(M31:M35)</f>
        <v>33445067</v>
      </c>
      <c r="N36" s="87">
        <f>SUM(N31:N35)</f>
        <v>92951.5</v>
      </c>
      <c r="O36" s="86">
        <f>SUM(O31:O35)</f>
        <v>0</v>
      </c>
      <c r="P36" s="84">
        <f t="shared" ref="P36" si="7">SUM(P31:P35)</f>
        <v>92951.5</v>
      </c>
      <c r="Q36" s="85">
        <f>SUM(Q31:Q35)</f>
        <v>33445067</v>
      </c>
      <c r="R36" s="85">
        <f>SUM(R31:R35)</f>
        <v>41044641.5</v>
      </c>
      <c r="S36" s="88">
        <f>SUM(S31:S35)</f>
        <v>0</v>
      </c>
      <c r="T36" s="94" t="s">
        <v>44</v>
      </c>
      <c r="U36" s="86">
        <f>SUM(U31:U35)</f>
        <v>0</v>
      </c>
      <c r="V36" s="64">
        <f>SUM(V31:V35)</f>
        <v>0</v>
      </c>
      <c r="W36" s="59">
        <f>SUM(W31:W35)</f>
        <v>1</v>
      </c>
      <c r="X36" s="94" t="s">
        <v>44</v>
      </c>
      <c r="Y36" s="139">
        <f>1331800+7818800</f>
        <v>9150600</v>
      </c>
      <c r="Z36" s="140">
        <v>28000</v>
      </c>
      <c r="AA36" s="139">
        <v>0</v>
      </c>
      <c r="AB36" s="84">
        <f>Z36+AA36</f>
        <v>28000</v>
      </c>
      <c r="AC36" s="85">
        <f>AC31+AC35+AC33</f>
        <v>9150600</v>
      </c>
      <c r="AD36" s="85">
        <f>SUM(AD31:AD35)</f>
        <v>9150600</v>
      </c>
      <c r="AE36" s="100">
        <f>SUM(AE31:AE35)</f>
        <v>0</v>
      </c>
      <c r="AF36" s="120">
        <f>SUM(AF31:AF35)</f>
        <v>77747680.799999997</v>
      </c>
      <c r="AG36" s="121">
        <f>SUM(AG31:AG35)</f>
        <v>120951.5</v>
      </c>
    </row>
    <row r="37" spans="1:33" x14ac:dyDescent="0.2">
      <c r="A37" s="318"/>
      <c r="B37" s="214"/>
      <c r="C37" s="263"/>
      <c r="D37" s="263"/>
      <c r="E37" s="65"/>
      <c r="F37" s="73"/>
      <c r="G37" s="263"/>
      <c r="H37" s="263"/>
      <c r="I37" s="263"/>
      <c r="J37" s="65"/>
      <c r="K37" s="60"/>
      <c r="L37" s="263"/>
      <c r="M37" s="263"/>
      <c r="N37" s="264"/>
      <c r="O37" s="263"/>
      <c r="P37" s="65"/>
      <c r="Q37" s="79"/>
      <c r="R37" s="79"/>
      <c r="S37" s="265"/>
      <c r="T37" s="263"/>
      <c r="U37" s="263"/>
      <c r="V37" s="93"/>
      <c r="W37" s="265"/>
      <c r="X37" s="263"/>
      <c r="Y37" s="263"/>
      <c r="Z37" s="264"/>
      <c r="AA37" s="263"/>
      <c r="AB37" s="65"/>
      <c r="AC37" s="79"/>
      <c r="AD37" s="79"/>
      <c r="AE37" s="79"/>
      <c r="AF37" s="152"/>
      <c r="AG37" s="153"/>
    </row>
    <row r="38" spans="1:33" s="197" customFormat="1" x14ac:dyDescent="0.2">
      <c r="A38" s="325" t="s">
        <v>23</v>
      </c>
      <c r="B38" s="74" t="s">
        <v>44</v>
      </c>
      <c r="C38" s="75" t="s">
        <v>44</v>
      </c>
      <c r="D38" s="76" t="s">
        <v>44</v>
      </c>
      <c r="E38" s="132">
        <v>27149781.600000001</v>
      </c>
      <c r="F38" s="74" t="s">
        <v>44</v>
      </c>
      <c r="G38" s="75" t="s">
        <v>44</v>
      </c>
      <c r="H38" s="76" t="s">
        <v>44</v>
      </c>
      <c r="I38" s="183">
        <v>44967</v>
      </c>
      <c r="J38" s="143" t="s">
        <v>44</v>
      </c>
      <c r="K38" s="74" t="s">
        <v>44</v>
      </c>
      <c r="L38" s="75" t="s">
        <v>44</v>
      </c>
      <c r="M38" s="77" t="s">
        <v>44</v>
      </c>
      <c r="N38" s="74" t="s">
        <v>44</v>
      </c>
      <c r="O38" s="75" t="s">
        <v>44</v>
      </c>
      <c r="P38" s="143" t="s">
        <v>44</v>
      </c>
      <c r="Q38" s="149" t="s">
        <v>44</v>
      </c>
      <c r="R38" s="135">
        <f>7447633+79095-1.4+33445067+44967</f>
        <v>41016760.600000001</v>
      </c>
      <c r="S38" s="74" t="s">
        <v>44</v>
      </c>
      <c r="T38" s="75" t="s">
        <v>44</v>
      </c>
      <c r="U38" s="75" t="s">
        <v>44</v>
      </c>
      <c r="V38" s="78" t="s">
        <v>44</v>
      </c>
      <c r="W38" s="76" t="s">
        <v>44</v>
      </c>
      <c r="X38" s="75" t="s">
        <v>44</v>
      </c>
      <c r="Y38" s="97" t="s">
        <v>44</v>
      </c>
      <c r="Z38" s="74" t="s">
        <v>44</v>
      </c>
      <c r="AA38" s="75" t="s">
        <v>44</v>
      </c>
      <c r="AB38" s="143" t="s">
        <v>44</v>
      </c>
      <c r="AC38" s="149" t="s">
        <v>44</v>
      </c>
      <c r="AD38" s="151">
        <v>9150600</v>
      </c>
      <c r="AE38" s="151">
        <v>0</v>
      </c>
      <c r="AF38" s="160">
        <f>+R38+E38+AD38+AE38</f>
        <v>77317142.200000003</v>
      </c>
      <c r="AG38" s="156" t="s">
        <v>44</v>
      </c>
    </row>
    <row r="39" spans="1:33" x14ac:dyDescent="0.2">
      <c r="A39" s="318"/>
      <c r="B39" s="235"/>
      <c r="C39" s="272"/>
      <c r="D39" s="272"/>
      <c r="E39" s="66"/>
      <c r="F39" s="235"/>
      <c r="G39" s="272"/>
      <c r="H39" s="272"/>
      <c r="I39" s="263"/>
      <c r="J39" s="15"/>
      <c r="K39" s="235"/>
      <c r="L39" s="272"/>
      <c r="M39" s="272"/>
      <c r="N39" s="235"/>
      <c r="O39" s="272"/>
      <c r="P39" s="15"/>
      <c r="Q39" s="27"/>
      <c r="R39" s="80"/>
      <c r="S39" s="235"/>
      <c r="T39" s="272"/>
      <c r="U39" s="272"/>
      <c r="V39" s="273"/>
      <c r="W39" s="274"/>
      <c r="X39" s="272"/>
      <c r="Y39" s="272"/>
      <c r="Z39" s="235"/>
      <c r="AA39" s="272"/>
      <c r="AB39" s="15"/>
      <c r="AC39" s="27"/>
      <c r="AD39" s="79"/>
      <c r="AE39" s="79"/>
      <c r="AF39" s="152"/>
      <c r="AG39" s="153"/>
    </row>
    <row r="40" spans="1:33" s="197" customFormat="1" ht="13.5" thickBot="1" x14ac:dyDescent="0.25">
      <c r="A40" s="326" t="s">
        <v>11</v>
      </c>
      <c r="B40" s="241" t="s">
        <v>44</v>
      </c>
      <c r="C40" s="275" t="s">
        <v>44</v>
      </c>
      <c r="D40" s="275" t="s">
        <v>44</v>
      </c>
      <c r="E40" s="67">
        <f>E36-E38</f>
        <v>402657.69999999925</v>
      </c>
      <c r="F40" s="241" t="s">
        <v>44</v>
      </c>
      <c r="G40" s="275" t="s">
        <v>44</v>
      </c>
      <c r="H40" s="275" t="s">
        <v>44</v>
      </c>
      <c r="I40" s="184">
        <f>I36-I38</f>
        <v>0</v>
      </c>
      <c r="J40" s="144" t="s">
        <v>44</v>
      </c>
      <c r="K40" s="241" t="s">
        <v>44</v>
      </c>
      <c r="L40" s="275" t="s">
        <v>44</v>
      </c>
      <c r="M40" s="275" t="s">
        <v>44</v>
      </c>
      <c r="N40" s="241" t="s">
        <v>44</v>
      </c>
      <c r="O40" s="275" t="s">
        <v>44</v>
      </c>
      <c r="P40" s="144" t="s">
        <v>44</v>
      </c>
      <c r="Q40" s="150" t="s">
        <v>44</v>
      </c>
      <c r="R40" s="67">
        <f>R36-R38</f>
        <v>27880.89999999851</v>
      </c>
      <c r="S40" s="241" t="s">
        <v>44</v>
      </c>
      <c r="T40" s="275" t="s">
        <v>44</v>
      </c>
      <c r="U40" s="275" t="s">
        <v>44</v>
      </c>
      <c r="V40" s="276" t="s">
        <v>44</v>
      </c>
      <c r="W40" s="277" t="s">
        <v>44</v>
      </c>
      <c r="X40" s="275" t="s">
        <v>44</v>
      </c>
      <c r="Y40" s="275" t="s">
        <v>44</v>
      </c>
      <c r="Z40" s="241" t="s">
        <v>44</v>
      </c>
      <c r="AA40" s="275" t="s">
        <v>44</v>
      </c>
      <c r="AB40" s="144" t="s">
        <v>44</v>
      </c>
      <c r="AC40" s="150" t="s">
        <v>44</v>
      </c>
      <c r="AD40" s="186">
        <f t="shared" ref="AD40:AF40" si="8">AD36-AD38</f>
        <v>0</v>
      </c>
      <c r="AE40" s="186">
        <f t="shared" si="8"/>
        <v>0</v>
      </c>
      <c r="AF40" s="185">
        <f t="shared" si="8"/>
        <v>430538.59999999404</v>
      </c>
      <c r="AG40" s="157" t="s">
        <v>44</v>
      </c>
    </row>
    <row r="41" spans="1:33" s="197" customFormat="1" ht="13.5" thickTop="1" x14ac:dyDescent="0.2">
      <c r="C41" s="4"/>
      <c r="G41" s="40"/>
      <c r="N41" s="278"/>
      <c r="O41" s="40"/>
      <c r="Q41" s="279"/>
      <c r="R41" s="279"/>
      <c r="S41" s="279"/>
      <c r="T41" s="279"/>
      <c r="Z41" s="40"/>
      <c r="AA41" s="40"/>
      <c r="AB41" s="40"/>
    </row>
    <row r="42" spans="1:33" s="197" customFormat="1" ht="79.5" customHeight="1" x14ac:dyDescent="0.2">
      <c r="B42" s="331" t="s">
        <v>47</v>
      </c>
      <c r="C42" s="332"/>
      <c r="D42" s="332"/>
      <c r="E42" s="332"/>
      <c r="F42" s="332"/>
      <c r="G42" s="332"/>
      <c r="H42" s="332"/>
      <c r="I42" s="332"/>
      <c r="J42" s="332"/>
      <c r="K42" s="332"/>
      <c r="L42" s="332"/>
      <c r="M42" s="332"/>
      <c r="N42" s="332"/>
      <c r="O42" s="333"/>
      <c r="P42" s="129"/>
      <c r="Q42" s="129"/>
      <c r="R42" s="129"/>
      <c r="S42" s="129"/>
      <c r="T42" s="129"/>
      <c r="U42" s="129"/>
      <c r="Z42" s="40"/>
      <c r="AA42" s="40"/>
      <c r="AB42" s="40"/>
    </row>
    <row r="43" spans="1:33" s="197" customFormat="1" x14ac:dyDescent="0.2">
      <c r="B43" s="36"/>
      <c r="C43" s="36"/>
      <c r="D43" s="36"/>
      <c r="E43" s="36"/>
      <c r="F43" s="36"/>
      <c r="G43" s="36"/>
      <c r="H43" s="36"/>
      <c r="I43" s="36"/>
      <c r="J43" s="36"/>
      <c r="K43" s="36"/>
      <c r="L43" s="36"/>
      <c r="M43" s="36"/>
      <c r="N43" s="36"/>
      <c r="O43" s="189"/>
      <c r="P43" s="36"/>
      <c r="Q43" s="36"/>
      <c r="R43" s="190"/>
      <c r="S43" s="190"/>
      <c r="T43" s="190"/>
      <c r="U43" s="190"/>
      <c r="Z43" s="40"/>
      <c r="AA43" s="40"/>
      <c r="AB43" s="40"/>
    </row>
    <row r="44" spans="1:33" s="197" customFormat="1" ht="138.75" customHeight="1" x14ac:dyDescent="0.2">
      <c r="B44" s="331" t="s">
        <v>48</v>
      </c>
      <c r="C44" s="332"/>
      <c r="D44" s="332"/>
      <c r="E44" s="332"/>
      <c r="F44" s="332"/>
      <c r="G44" s="332"/>
      <c r="H44" s="332"/>
      <c r="I44" s="332"/>
      <c r="J44" s="332"/>
      <c r="K44" s="333"/>
      <c r="L44" s="334" t="s">
        <v>101</v>
      </c>
      <c r="M44" s="335"/>
      <c r="N44" s="335"/>
      <c r="O44" s="336"/>
      <c r="P44" s="190"/>
      <c r="Q44" s="190"/>
      <c r="R44" s="190"/>
      <c r="S44" s="280"/>
      <c r="T44" s="280"/>
      <c r="U44" s="280"/>
      <c r="Z44" s="40"/>
      <c r="AA44" s="40"/>
      <c r="AB44" s="40"/>
    </row>
    <row r="45" spans="1:33" s="197" customFormat="1" x14ac:dyDescent="0.2">
      <c r="B45" s="281"/>
      <c r="C45" s="36"/>
      <c r="D45" s="36"/>
      <c r="E45" s="36"/>
      <c r="F45" s="36"/>
      <c r="G45" s="36"/>
      <c r="H45" s="36"/>
      <c r="I45" s="36"/>
      <c r="J45" s="36"/>
      <c r="K45" s="36"/>
      <c r="L45" s="36"/>
      <c r="M45" s="36"/>
      <c r="N45" s="36"/>
      <c r="O45" s="189"/>
      <c r="P45" s="189"/>
      <c r="Q45" s="189"/>
      <c r="R45" s="280"/>
      <c r="S45" s="280"/>
      <c r="T45" s="280"/>
      <c r="U45" s="280"/>
      <c r="Z45" s="40"/>
      <c r="AA45" s="40"/>
      <c r="AB45" s="40"/>
    </row>
    <row r="46" spans="1:33" s="197" customFormat="1" ht="131.25" customHeight="1" x14ac:dyDescent="0.2">
      <c r="B46" s="331" t="s">
        <v>100</v>
      </c>
      <c r="C46" s="332"/>
      <c r="D46" s="332"/>
      <c r="E46" s="332"/>
      <c r="F46" s="332"/>
      <c r="G46" s="332"/>
      <c r="H46" s="332"/>
      <c r="I46" s="332"/>
      <c r="J46" s="332"/>
      <c r="K46" s="332"/>
      <c r="L46" s="332"/>
      <c r="M46" s="332"/>
      <c r="N46" s="332"/>
      <c r="O46" s="333"/>
      <c r="P46" s="36"/>
      <c r="Q46" s="36"/>
      <c r="R46" s="190"/>
      <c r="S46" s="190"/>
      <c r="T46" s="190"/>
      <c r="U46" s="190"/>
      <c r="Z46" s="40"/>
      <c r="AA46" s="40"/>
      <c r="AB46" s="40"/>
    </row>
    <row r="47" spans="1:33" s="197" customFormat="1" x14ac:dyDescent="0.2">
      <c r="B47" s="36"/>
      <c r="C47" s="282"/>
      <c r="D47" s="282"/>
      <c r="E47" s="282"/>
      <c r="F47" s="282"/>
      <c r="G47" s="282"/>
      <c r="H47" s="282"/>
      <c r="I47" s="282"/>
      <c r="J47" s="36"/>
      <c r="K47" s="36"/>
      <c r="L47" s="36"/>
      <c r="M47" s="36"/>
      <c r="N47" s="36"/>
      <c r="O47" s="189"/>
      <c r="P47" s="36"/>
      <c r="Q47" s="36"/>
      <c r="R47" s="190"/>
      <c r="S47" s="190"/>
      <c r="T47" s="190"/>
      <c r="U47" s="190"/>
      <c r="Z47" s="40"/>
      <c r="AA47" s="40"/>
      <c r="AB47" s="40"/>
    </row>
    <row r="48" spans="1:33" s="197" customFormat="1" x14ac:dyDescent="0.2">
      <c r="B48" s="337" t="s">
        <v>87</v>
      </c>
      <c r="C48" s="338"/>
      <c r="D48" s="338"/>
      <c r="E48" s="338"/>
      <c r="F48" s="338"/>
      <c r="G48" s="338"/>
      <c r="H48" s="338"/>
      <c r="I48" s="339"/>
      <c r="J48" s="36"/>
      <c r="K48" s="36"/>
      <c r="L48" s="36"/>
      <c r="M48" s="36"/>
      <c r="N48" s="36"/>
      <c r="O48" s="189"/>
      <c r="P48" s="36"/>
      <c r="Q48" s="36"/>
      <c r="R48" s="190"/>
      <c r="S48" s="190"/>
      <c r="T48" s="190"/>
      <c r="U48" s="190"/>
      <c r="Z48" s="40"/>
      <c r="AA48" s="40"/>
      <c r="AB48" s="40"/>
    </row>
    <row r="49" spans="2:28" s="197" customFormat="1" x14ac:dyDescent="0.2">
      <c r="B49" s="36"/>
      <c r="C49" s="36"/>
      <c r="D49" s="36"/>
      <c r="E49" s="36"/>
      <c r="F49" s="36"/>
      <c r="G49" s="36"/>
      <c r="H49" s="36"/>
      <c r="I49" s="36"/>
      <c r="J49" s="36"/>
      <c r="K49" s="36"/>
      <c r="L49" s="36"/>
      <c r="M49" s="36"/>
      <c r="N49" s="36"/>
      <c r="O49" s="189"/>
      <c r="P49" s="36"/>
      <c r="Q49" s="36"/>
      <c r="R49" s="190"/>
      <c r="S49" s="190"/>
      <c r="T49" s="190"/>
      <c r="U49" s="190"/>
      <c r="Z49" s="40"/>
      <c r="AA49" s="40"/>
      <c r="AB49" s="40"/>
    </row>
    <row r="50" spans="2:28" s="197" customFormat="1" x14ac:dyDescent="0.2">
      <c r="B50" s="337" t="s">
        <v>94</v>
      </c>
      <c r="C50" s="338"/>
      <c r="D50" s="338"/>
      <c r="E50" s="338"/>
      <c r="F50" s="338"/>
      <c r="G50" s="338"/>
      <c r="H50" s="339"/>
      <c r="I50" s="340" t="s">
        <v>95</v>
      </c>
      <c r="J50" s="341"/>
      <c r="K50" s="341"/>
      <c r="L50" s="341"/>
      <c r="M50" s="341"/>
      <c r="N50" s="341"/>
      <c r="O50" s="342"/>
      <c r="P50" s="36"/>
      <c r="Q50" s="36"/>
      <c r="R50" s="190"/>
      <c r="S50" s="190"/>
      <c r="T50" s="190"/>
      <c r="U50" s="190"/>
      <c r="Z50" s="40"/>
      <c r="AA50" s="40"/>
      <c r="AB50" s="40"/>
    </row>
    <row r="51" spans="2:28" s="197" customFormat="1" x14ac:dyDescent="0.2">
      <c r="C51" s="4"/>
      <c r="G51" s="40"/>
      <c r="N51" s="278"/>
      <c r="O51" s="40"/>
      <c r="Q51" s="279"/>
      <c r="R51" s="279"/>
      <c r="S51" s="279"/>
      <c r="T51" s="279"/>
      <c r="Z51" s="40"/>
      <c r="AA51" s="40"/>
      <c r="AB51" s="40"/>
    </row>
    <row r="52" spans="2:28" s="197" customFormat="1" x14ac:dyDescent="0.2">
      <c r="C52" s="4"/>
      <c r="G52" s="40"/>
      <c r="N52" s="278"/>
      <c r="O52" s="40"/>
      <c r="Q52" s="279"/>
      <c r="R52" s="279"/>
      <c r="S52" s="279"/>
      <c r="T52" s="279"/>
      <c r="Z52" s="40"/>
      <c r="AA52" s="40"/>
      <c r="AB52" s="40"/>
    </row>
    <row r="53" spans="2:28" s="197" customFormat="1" x14ac:dyDescent="0.2">
      <c r="C53" s="4"/>
      <c r="G53" s="40"/>
      <c r="N53" s="278"/>
      <c r="O53" s="40"/>
      <c r="Q53" s="279"/>
      <c r="R53" s="279"/>
      <c r="S53" s="279"/>
      <c r="T53" s="279"/>
      <c r="Z53" s="40"/>
      <c r="AA53" s="40"/>
      <c r="AB53" s="40"/>
    </row>
    <row r="54" spans="2:28" s="197" customFormat="1" x14ac:dyDescent="0.2">
      <c r="C54" s="4"/>
      <c r="G54" s="40"/>
      <c r="N54" s="278"/>
      <c r="O54" s="40"/>
      <c r="Q54" s="279"/>
      <c r="R54" s="279"/>
      <c r="S54" s="279"/>
      <c r="T54" s="279"/>
      <c r="Z54" s="40"/>
      <c r="AA54" s="40"/>
      <c r="AB54" s="40"/>
    </row>
    <row r="55" spans="2:28" s="197" customFormat="1" x14ac:dyDescent="0.2">
      <c r="C55" s="4"/>
      <c r="G55" s="40"/>
      <c r="N55" s="278"/>
      <c r="O55" s="40"/>
      <c r="Q55" s="279"/>
      <c r="R55" s="279"/>
      <c r="S55" s="279"/>
      <c r="T55" s="279"/>
      <c r="Z55" s="40"/>
      <c r="AA55" s="40"/>
      <c r="AB55" s="40"/>
    </row>
    <row r="56" spans="2:28" s="197" customFormat="1" x14ac:dyDescent="0.2">
      <c r="C56" s="4"/>
      <c r="G56" s="40"/>
      <c r="N56" s="278"/>
      <c r="O56" s="40"/>
      <c r="Q56" s="279"/>
      <c r="R56" s="279"/>
      <c r="S56" s="279"/>
      <c r="T56" s="279"/>
      <c r="Z56" s="40"/>
      <c r="AA56" s="40"/>
      <c r="AB56" s="40"/>
    </row>
    <row r="57" spans="2:28" s="197" customFormat="1" x14ac:dyDescent="0.2">
      <c r="C57" s="4"/>
      <c r="G57" s="40"/>
      <c r="N57" s="278"/>
      <c r="O57" s="40"/>
      <c r="Q57" s="279"/>
      <c r="R57" s="279"/>
      <c r="S57" s="279"/>
      <c r="T57" s="279"/>
      <c r="Z57" s="40"/>
      <c r="AA57" s="40"/>
      <c r="AB57" s="40"/>
    </row>
    <row r="58" spans="2:28" s="197" customFormat="1" x14ac:dyDescent="0.2">
      <c r="C58" s="4"/>
      <c r="G58" s="40"/>
      <c r="N58" s="278"/>
      <c r="O58" s="40"/>
      <c r="Q58" s="279"/>
      <c r="R58" s="279"/>
      <c r="S58" s="279"/>
      <c r="T58" s="279"/>
      <c r="Z58" s="40"/>
      <c r="AA58" s="40"/>
      <c r="AB58" s="40"/>
    </row>
    <row r="59" spans="2:28" s="197" customFormat="1" x14ac:dyDescent="0.2">
      <c r="C59" s="4"/>
      <c r="G59" s="40"/>
      <c r="N59" s="278"/>
      <c r="O59" s="40"/>
      <c r="Q59" s="279"/>
      <c r="R59" s="279"/>
      <c r="S59" s="279"/>
      <c r="T59" s="279"/>
      <c r="Z59" s="40"/>
      <c r="AA59" s="40"/>
      <c r="AB59" s="40"/>
    </row>
    <row r="60" spans="2:28" s="197" customFormat="1" x14ac:dyDescent="0.2">
      <c r="C60" s="4"/>
      <c r="G60" s="40"/>
      <c r="N60" s="278"/>
      <c r="O60" s="40"/>
      <c r="Q60" s="279"/>
      <c r="R60" s="279"/>
      <c r="S60" s="279"/>
      <c r="T60" s="279"/>
      <c r="Z60" s="40"/>
      <c r="AA60" s="40"/>
      <c r="AB60" s="40"/>
    </row>
    <row r="61" spans="2:28" x14ac:dyDescent="0.2">
      <c r="F61" s="1"/>
      <c r="G61" s="1"/>
      <c r="H61" s="1"/>
      <c r="I61" s="1"/>
      <c r="J61" s="1"/>
      <c r="K61" s="1"/>
      <c r="L61"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4:K44"/>
    <mergeCell ref="N10:P10"/>
    <mergeCell ref="Z10:AB10"/>
    <mergeCell ref="B8:E8"/>
    <mergeCell ref="F9:J9"/>
    <mergeCell ref="K9:Q9"/>
    <mergeCell ref="F8:R8"/>
    <mergeCell ref="D6:L6"/>
    <mergeCell ref="B42:O42"/>
    <mergeCell ref="B46:O46"/>
    <mergeCell ref="L44:O44"/>
    <mergeCell ref="B50:H50"/>
    <mergeCell ref="B48:I48"/>
    <mergeCell ref="I50:O50"/>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2" t="s">
        <v>86</v>
      </c>
    </row>
    <row r="4" spans="1:1" ht="15" x14ac:dyDescent="0.2">
      <c r="A4" s="123" t="s">
        <v>70</v>
      </c>
    </row>
    <row r="5" spans="1:1" ht="15" x14ac:dyDescent="0.2">
      <c r="A5" s="123" t="s">
        <v>71</v>
      </c>
    </row>
    <row r="6" spans="1:1" ht="15" x14ac:dyDescent="0.2">
      <c r="A6" s="123" t="s">
        <v>72</v>
      </c>
    </row>
    <row r="7" spans="1:1" ht="15" x14ac:dyDescent="0.2">
      <c r="A7" s="123" t="s">
        <v>73</v>
      </c>
    </row>
    <row r="8" spans="1:1" ht="15" x14ac:dyDescent="0.2">
      <c r="A8" s="123" t="s">
        <v>74</v>
      </c>
    </row>
    <row r="9" spans="1:1" ht="15" x14ac:dyDescent="0.2">
      <c r="A9" s="123" t="s">
        <v>75</v>
      </c>
    </row>
    <row r="10" spans="1:1" ht="15" x14ac:dyDescent="0.2">
      <c r="A10" s="123" t="s">
        <v>76</v>
      </c>
    </row>
    <row r="11" spans="1:1" ht="15" x14ac:dyDescent="0.2">
      <c r="A11" s="123" t="s">
        <v>77</v>
      </c>
    </row>
    <row r="12" spans="1:1" ht="15" x14ac:dyDescent="0.2">
      <c r="A12" s="123" t="s">
        <v>78</v>
      </c>
    </row>
    <row r="13" spans="1:1" ht="15" x14ac:dyDescent="0.2">
      <c r="A13" s="123" t="s">
        <v>79</v>
      </c>
    </row>
    <row r="14" spans="1:1" ht="15" x14ac:dyDescent="0.2">
      <c r="A14" s="123" t="s">
        <v>80</v>
      </c>
    </row>
    <row r="15" spans="1:1" ht="15" x14ac:dyDescent="0.2">
      <c r="A15" s="123" t="s">
        <v>81</v>
      </c>
    </row>
    <row r="16" spans="1:1" ht="15" x14ac:dyDescent="0.2">
      <c r="A16" s="123" t="s">
        <v>82</v>
      </c>
    </row>
    <row r="17" spans="1:1" ht="15" x14ac:dyDescent="0.2">
      <c r="A17" s="123" t="s">
        <v>83</v>
      </c>
    </row>
    <row r="18" spans="1:1" ht="15" x14ac:dyDescent="0.2">
      <c r="A18" s="123" t="s">
        <v>84</v>
      </c>
    </row>
    <row r="19" spans="1:1" ht="15" x14ac:dyDescent="0.2">
      <c r="A19" s="123"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zoomScale="120" zoomScaleNormal="120" workbookViewId="0">
      <selection activeCell="B14" sqref="B14"/>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5" t="s">
        <v>37</v>
      </c>
    </row>
    <row r="3" spans="1:3" ht="38.25" x14ac:dyDescent="0.2">
      <c r="A3" s="37" t="s">
        <v>50</v>
      </c>
      <c r="B3" s="34" t="s">
        <v>49</v>
      </c>
    </row>
    <row r="5" spans="1:3" x14ac:dyDescent="0.2">
      <c r="A5" s="37" t="s">
        <v>54</v>
      </c>
      <c r="B5" s="36" t="s">
        <v>55</v>
      </c>
    </row>
    <row r="6" spans="1:3" ht="102" x14ac:dyDescent="0.2">
      <c r="B6" s="38" t="s">
        <v>51</v>
      </c>
    </row>
    <row r="7" spans="1:3" ht="18.75" customHeight="1" x14ac:dyDescent="0.2">
      <c r="B7" s="38" t="s">
        <v>52</v>
      </c>
    </row>
    <row r="8" spans="1:3" ht="42.75" customHeight="1" x14ac:dyDescent="0.2">
      <c r="B8" s="38" t="s">
        <v>53</v>
      </c>
    </row>
    <row r="10" spans="1:3" x14ac:dyDescent="0.2">
      <c r="A10" s="37" t="s">
        <v>56</v>
      </c>
      <c r="B10" t="s">
        <v>57</v>
      </c>
    </row>
    <row r="11" spans="1:3" ht="60.75" customHeight="1" x14ac:dyDescent="0.2">
      <c r="A11" s="37"/>
      <c r="B11" s="38" t="s">
        <v>58</v>
      </c>
    </row>
    <row r="12" spans="1:3" x14ac:dyDescent="0.2">
      <c r="A12" s="37"/>
    </row>
    <row r="13" spans="1:3" x14ac:dyDescent="0.2">
      <c r="A13" s="37"/>
    </row>
    <row r="14" spans="1:3" x14ac:dyDescent="0.2">
      <c r="B14" s="41" t="str">
        <f>"Utility estimated uncollectibles related to the "&amp;TEXT('EEC Rate Development'!B5,"000")&amp;" Energy Efficiency Charge"</f>
        <v>Utility estimated uncollectibles related to the 2022 Energy Efficiency Charge</v>
      </c>
    </row>
    <row r="15" spans="1:3" x14ac:dyDescent="0.2">
      <c r="B15" s="40" t="s">
        <v>59</v>
      </c>
      <c r="C15" s="39">
        <v>0</v>
      </c>
    </row>
    <row r="16" spans="1:3" x14ac:dyDescent="0.2">
      <c r="B16" s="40" t="s">
        <v>60</v>
      </c>
      <c r="C16" s="39">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Sarah Juzek</cp:lastModifiedBy>
  <cp:lastPrinted>2013-09-14T13:46:41Z</cp:lastPrinted>
  <dcterms:created xsi:type="dcterms:W3CDTF">2003-10-13T18:25:46Z</dcterms:created>
  <dcterms:modified xsi:type="dcterms:W3CDTF">2022-08-04T16:25:32Z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