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P:\Vildoc\Laurie\EEU\"/>
    </mc:Choice>
  </mc:AlternateContent>
  <xr:revisionPtr revIDLastSave="0" documentId="13_ncr:1_{B9C7A640-1795-492A-886B-C6F005A1E281}" xr6:coauthVersionLast="47" xr6:coauthVersionMax="47" xr10:uidLastSave="{00000000-0000-0000-0000-000000000000}"/>
  <bookViews>
    <workbookView xWindow="-120" yWindow="-120" windowWidth="29040" windowHeight="15840" xr2:uid="{00000000-000D-0000-FFFF-FFFF00000000}"/>
  </bookViews>
  <sheets>
    <sheet name="EEC Rate Development" sheetId="1" r:id="rId1"/>
    <sheet name="Lookups" sheetId="4" state="hidden" r:id="rId2"/>
    <sheet name="Lighting Reconciliation" sheetId="2" r:id="rId3"/>
    <sheet name="Uncollectibles" sheetId="3" r:id="rId4"/>
  </sheets>
  <calcPr calcId="191029" iterateDelta="1E-4"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7" i="3" l="1"/>
  <c r="G30" i="3"/>
  <c r="G31" i="3"/>
  <c r="G32" i="3"/>
  <c r="G34" i="3"/>
  <c r="R38" i="1"/>
  <c r="E38" i="1"/>
  <c r="H35" i="1"/>
  <c r="D35" i="1"/>
  <c r="H18" i="1"/>
  <c r="R21" i="1"/>
  <c r="M18" i="1"/>
  <c r="N18" i="1"/>
  <c r="E21" i="1"/>
  <c r="D18" i="1"/>
  <c r="L18" i="1"/>
  <c r="N35" i="1"/>
  <c r="M35" i="1"/>
  <c r="K35" i="1"/>
  <c r="G18" i="1"/>
  <c r="F35" i="1"/>
  <c r="B35" i="1"/>
  <c r="C18" i="1"/>
  <c r="AA35" i="1"/>
  <c r="Z35" i="1"/>
  <c r="Y35" i="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c r="H31" i="1"/>
  <c r="H36" i="1"/>
  <c r="J30" i="1"/>
  <c r="J31" i="1"/>
  <c r="A26" i="1"/>
  <c r="M36" i="1"/>
  <c r="R30" i="1"/>
  <c r="R31" i="1"/>
  <c r="E31" i="1"/>
  <c r="A12" i="1"/>
  <c r="V35" i="1"/>
  <c r="V33" i="1"/>
  <c r="AC33" i="1"/>
  <c r="AD33" i="1"/>
  <c r="AC30" i="1"/>
  <c r="AD30" i="1"/>
  <c r="AC29" i="1"/>
  <c r="AD29" i="1"/>
  <c r="Q35" i="1"/>
  <c r="Q33" i="1"/>
  <c r="W31" i="1"/>
  <c r="W36" i="1"/>
  <c r="B14" i="3"/>
  <c r="AF30" i="1"/>
  <c r="V36" i="1"/>
  <c r="Q36" i="1"/>
  <c r="P33" i="1"/>
  <c r="J33" i="1"/>
  <c r="E33" i="1"/>
  <c r="R33" i="1"/>
  <c r="AF33" i="1"/>
  <c r="AA31" i="1"/>
  <c r="Z31" i="1"/>
  <c r="Y31" i="1"/>
  <c r="AC35" i="1"/>
  <c r="AD35" i="1"/>
  <c r="P35" i="1"/>
  <c r="J35" i="1"/>
  <c r="J36" i="1"/>
  <c r="E35" i="1"/>
  <c r="P18" i="1"/>
  <c r="Q18" i="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P36" i="1"/>
  <c r="E36" i="1"/>
  <c r="E40" i="1"/>
  <c r="R15" i="1"/>
  <c r="R16" i="1"/>
  <c r="AC31" i="1"/>
  <c r="AB31" i="1"/>
  <c r="J18" i="1"/>
  <c r="R18" i="1"/>
  <c r="J16" i="1"/>
  <c r="E16" i="1"/>
  <c r="E19" i="1"/>
  <c r="AB16" i="1"/>
  <c r="AB18" i="1"/>
  <c r="AD15" i="1"/>
  <c r="V16" i="1"/>
  <c r="AC16" i="1"/>
  <c r="AC18" i="1"/>
  <c r="AD14" i="1"/>
  <c r="AF14" i="1"/>
  <c r="Q16" i="1"/>
  <c r="E16" i="2"/>
  <c r="E18" i="2"/>
  <c r="I18" i="2"/>
  <c r="M14" i="2"/>
  <c r="M35" i="2"/>
  <c r="P16" i="1"/>
  <c r="AF15" i="1"/>
  <c r="R19" i="1"/>
  <c r="R23" i="1"/>
  <c r="AD31" i="1"/>
  <c r="AD36" i="1"/>
  <c r="AD40" i="1"/>
  <c r="AF29" i="1"/>
  <c r="AF31" i="1"/>
  <c r="R35" i="1"/>
  <c r="AF35" i="1"/>
  <c r="J19" i="1"/>
  <c r="AD16" i="1"/>
  <c r="R36" i="1"/>
  <c r="R40" i="1"/>
  <c r="AF36" i="1"/>
  <c r="AF40" i="1"/>
  <c r="AF16" i="1"/>
  <c r="E23" i="1"/>
  <c r="L19" i="1"/>
  <c r="M19" i="1"/>
  <c r="N19" i="1"/>
  <c r="O19" i="1"/>
  <c r="P19" i="1"/>
  <c r="Q19" i="1"/>
  <c r="AB36" i="1"/>
  <c r="AB35" i="1"/>
  <c r="AG35" i="1"/>
  <c r="AB33" i="1"/>
  <c r="AG33" i="1"/>
  <c r="AG36" i="1"/>
  <c r="AC36" i="1"/>
  <c r="T18" i="1"/>
  <c r="V19" i="1"/>
  <c r="V18" i="1"/>
  <c r="AD18" i="1"/>
  <c r="AF18" i="1"/>
  <c r="AF19" i="1"/>
  <c r="AF23" i="1"/>
  <c r="U18" i="1"/>
  <c r="AD19" i="1"/>
  <c r="AD2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 Longway</author>
  </authors>
  <commentList>
    <comment ref="G27" authorId="0" shapeId="0" xr:uid="{734B9765-DA5E-4B40-AA46-F4AFAD74594E}">
      <text>
        <r>
          <rPr>
            <b/>
            <sz val="9"/>
            <color indexed="81"/>
            <rFont val="Tahoma"/>
            <family val="2"/>
          </rPr>
          <t>Marc Longway:</t>
        </r>
        <r>
          <rPr>
            <sz val="9"/>
            <color indexed="81"/>
            <rFont val="Tahoma"/>
            <family val="2"/>
          </rPr>
          <t xml:space="preserve">
Run ATB Report by GL code
Use Electric A/R # 01-00-114200
Use YR-End for ageing date
Look at  column &gt;181 and subtract last years (yr-end date) number from that column and enter difference here.</t>
        </r>
      </text>
    </comment>
  </commentList>
</comments>
</file>

<file path=xl/sharedStrings.xml><?xml version="1.0" encoding="utf-8"?>
<sst xmlns="http://schemas.openxmlformats.org/spreadsheetml/2006/main" count="410" uniqueCount="123">
  <si>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</si>
  <si>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</si>
  <si>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</si>
  <si>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</si>
  <si>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</si>
  <si>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</si>
  <si>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</si>
  <si>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</si>
  <si>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</si>
  <si>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</si>
  <si>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</si>
  <si>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</si>
  <si>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</si>
  <si>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</si>
  <si>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</si>
  <si>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</si>
  <si>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</si>
  <si>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</si>
  <si>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</si>
  <si>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</si>
  <si>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</si>
  <si>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</si>
  <si>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</si>
  <si>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</si>
  <si>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</si>
  <si>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</si>
  <si>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</si>
  <si>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</si>
  <si>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</si>
  <si>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</si>
  <si>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</si>
  <si>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</si>
  <si>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</si>
  <si>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</si>
  <si>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</si>
  <si>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</si>
  <si>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</si>
  <si>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</si>
  <si>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</si>
  <si>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</si>
  <si>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</si>
  <si>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</si>
  <si>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</si>
  <si>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</si>
  <si>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</si>
  <si>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</si>
  <si>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</si>
  <si>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</si>
  <si>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</si>
  <si>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</si>
  <si>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</si>
  <si>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</si>
  <si>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</si>
  <si>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</si>
  <si>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</si>
  <si>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</si>
  <si>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</si>
  <si>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</si>
  <si>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</si>
  <si>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</si>
  <si>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</si>
  <si>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</si>
  <si>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</si>
  <si>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</si>
  <si>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</si>
  <si>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</si>
  <si>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</si>
  <si>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</si>
  <si>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</si>
  <si>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</si>
  <si>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</si>
  <si>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</si>
  <si>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</si>
  <si>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</si>
  <si>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</si>
  <si>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</si>
  <si>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</si>
  <si>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</si>
  <si>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</si>
  <si>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</si>
  <si>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</si>
  <si>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</si>
  <si>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</si>
  <si>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</si>
  <si>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</si>
  <si>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</si>
  <si>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</si>
  <si>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</si>
  <si>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</si>
  <si>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</si>
  <si>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</si>
  <si>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</si>
  <si>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</si>
  <si>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</si>
  <si>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</si>
  <si>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</si>
  <si>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</si>
  <si>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</si>
  <si>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</si>
  <si>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</si>
  <si>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</si>
  <si>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</si>
  <si>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</si>
  <si>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</si>
  <si>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</si>
  <si>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</si>
  <si>
    <t>ESTIMATED EEC UNCOLLECTIBLES</t>
  </si>
  <si>
    <t>Village of Swanton</t>
  </si>
  <si>
    <t>Utility Supplied</t>
  </si>
  <si>
    <t>Estimate of Total Annual Utility Uncollectibles</t>
  </si>
  <si>
    <t>Include estimates of ALL unpaid amounts not just EEC</t>
  </si>
  <si>
    <t>Estimated EEC Payments</t>
  </si>
  <si>
    <t>Total you estimate to send to the Fiscal Agent February through January</t>
  </si>
  <si>
    <t>Estimated Total Billed Amounts</t>
  </si>
  <si>
    <t>Total Utility expects to bill for the year</t>
  </si>
  <si>
    <t>EEC as % of Revenues</t>
  </si>
  <si>
    <t>Calculated amount</t>
  </si>
  <si>
    <t>Total Uncollectables x % of Revenues</t>
  </si>
  <si>
    <t>EEC Estimated Uncollectables</t>
  </si>
  <si>
    <t>Same as F14</t>
  </si>
  <si>
    <t>Utility AFUDC (carrying charge)</t>
  </si>
  <si>
    <t>Utility determined (https://www.ferc.gov/enforcement/acct-matts/interest-rates.asp)</t>
  </si>
  <si>
    <t>Total Estimated EEC Uncollectible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</si>
</sst>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quot;$&quot;#,##0.00"/>
  </numFmts>
  <fonts count="25"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
      <b/>
      <sz val="10"/>
      <color indexed="10"/>
      <name val="Arial"/>
      <family val="2"/>
    </font>
    <font>
      <sz val="10"/>
      <color indexed="8"/>
      <name val="Arial"/>
      <family val="2"/>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indexed="11"/>
        <bgColor indexed="64"/>
      </patternFill>
    </fill>
  </fills>
  <borders count="62">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
      <left/>
      <right/>
      <top style="thin">
        <color indexed="64"/>
      </top>
      <bottom style="double">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22">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23" fillId="0" borderId="0" xfId="0" applyFont="1"/>
    <xf numFmtId="0" fontId="0" fillId="11" borderId="0" xfId="0" applyFill="1"/>
    <xf numFmtId="1" fontId="0" fillId="0" borderId="0" xfId="0" applyNumberFormat="1"/>
    <xf numFmtId="166" fontId="24" fillId="11" borderId="0" xfId="0" applyNumberFormat="1" applyFont="1" applyFill="1" applyProtection="1">
      <protection locked="0"/>
    </xf>
    <xf numFmtId="166" fontId="0" fillId="11" borderId="0" xfId="0" applyNumberFormat="1" applyFill="1" applyProtection="1">
      <protection locked="0"/>
    </xf>
    <xf numFmtId="166" fontId="1" fillId="11" borderId="0" xfId="0" applyNumberFormat="1" applyFont="1" applyFill="1" applyProtection="1">
      <protection locked="0"/>
    </xf>
    <xf numFmtId="10" fontId="0" fillId="0" borderId="0" xfId="0" applyNumberFormat="1"/>
    <xf numFmtId="166" fontId="0" fillId="0" borderId="0" xfId="0" applyNumberFormat="1"/>
    <xf numFmtId="10" fontId="0" fillId="11" borderId="0" xfId="0" applyNumberFormat="1" applyFill="1" applyProtection="1">
      <protection locked="0"/>
    </xf>
    <xf numFmtId="166" fontId="2" fillId="0" borderId="61" xfId="0" applyNumberFormat="1" applyFont="1" applyBorder="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Normal="100" workbookViewId="0">
      <pane xSplit="1" ySplit="11" topLeftCell="B12" activePane="bottomRight" state="frozen"/>
      <selection pane="topRight" activeCell="B1" sqref="B1"/>
      <selection pane="bottomLeft" activeCell="A14" sqref="A14"/>
      <selection pane="bottomRight" activeCell="B12" sqref="B12"/>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52" t="s">
        <v>61</v>
      </c>
      <c r="F5" s="353"/>
      <c r="G5" s="353"/>
      <c r="H5" s="353"/>
      <c r="I5" s="353"/>
      <c r="J5" s="354"/>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99" t="s">
        <v>93</v>
      </c>
      <c r="E6" s="399"/>
      <c r="F6" s="399"/>
      <c r="G6" s="399"/>
      <c r="H6" s="399"/>
      <c r="I6" s="399"/>
      <c r="J6" s="399"/>
      <c r="K6" s="399"/>
      <c r="L6" s="39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93" t="s">
        <v>3</v>
      </c>
      <c r="C8" s="394"/>
      <c r="D8" s="394"/>
      <c r="E8" s="395"/>
      <c r="F8" s="396" t="s">
        <v>69</v>
      </c>
      <c r="G8" s="397"/>
      <c r="H8" s="397"/>
      <c r="I8" s="397"/>
      <c r="J8" s="397"/>
      <c r="K8" s="397"/>
      <c r="L8" s="397"/>
      <c r="M8" s="397"/>
      <c r="N8" s="397"/>
      <c r="O8" s="397"/>
      <c r="P8" s="397"/>
      <c r="Q8" s="397"/>
      <c r="R8" s="398"/>
      <c r="S8" s="381" t="s">
        <v>9</v>
      </c>
      <c r="T8" s="382"/>
      <c r="U8" s="382"/>
      <c r="V8" s="382"/>
      <c r="W8" s="382"/>
      <c r="X8" s="382"/>
      <c r="Y8" s="382"/>
      <c r="Z8" s="382"/>
      <c r="AA8" s="382"/>
      <c r="AB8" s="382"/>
      <c r="AC8" s="382"/>
      <c r="AD8" s="383"/>
      <c r="AE8" s="18"/>
    </row>
    <row r="9" spans="1:35" s="203" customFormat="1" ht="19.5" customHeight="1" thickBot="1" x14ac:dyDescent="0.25">
      <c r="A9" s="298" t="s">
        <v>84</v>
      </c>
      <c r="B9" s="197"/>
      <c r="C9" s="198"/>
      <c r="D9" s="199"/>
      <c r="E9" s="200"/>
      <c r="F9" s="379" t="s">
        <v>13</v>
      </c>
      <c r="G9" s="379"/>
      <c r="H9" s="379"/>
      <c r="I9" s="379"/>
      <c r="J9" s="380"/>
      <c r="K9" s="375" t="s">
        <v>8</v>
      </c>
      <c r="L9" s="376"/>
      <c r="M9" s="376"/>
      <c r="N9" s="376"/>
      <c r="O9" s="376"/>
      <c r="P9" s="376"/>
      <c r="Q9" s="377"/>
      <c r="R9" s="132"/>
      <c r="S9" s="378" t="s">
        <v>42</v>
      </c>
      <c r="T9" s="379"/>
      <c r="U9" s="379"/>
      <c r="V9" s="380"/>
      <c r="W9" s="375" t="s">
        <v>8</v>
      </c>
      <c r="X9" s="376"/>
      <c r="Y9" s="376"/>
      <c r="Z9" s="376"/>
      <c r="AA9" s="376"/>
      <c r="AB9" s="376"/>
      <c r="AC9" s="377"/>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87" t="s">
        <v>22</v>
      </c>
      <c r="O10" s="388"/>
      <c r="P10" s="389"/>
      <c r="Q10" s="25" t="s">
        <v>7</v>
      </c>
      <c r="R10" s="47" t="s">
        <v>17</v>
      </c>
      <c r="S10" s="48" t="s">
        <v>65</v>
      </c>
      <c r="T10" s="205" t="s">
        <v>18</v>
      </c>
      <c r="U10" s="134" t="s">
        <v>19</v>
      </c>
      <c r="V10" s="33" t="s">
        <v>7</v>
      </c>
      <c r="W10" s="48" t="s">
        <v>65</v>
      </c>
      <c r="X10" s="205" t="s">
        <v>18</v>
      </c>
      <c r="Y10" s="134"/>
      <c r="Z10" s="390" t="s">
        <v>22</v>
      </c>
      <c r="AA10" s="391"/>
      <c r="AB10" s="392"/>
      <c r="AC10" s="130" t="s">
        <v>7</v>
      </c>
      <c r="AD10" s="36" t="s">
        <v>7</v>
      </c>
      <c r="AE10" s="120" t="s">
        <v>10</v>
      </c>
      <c r="AF10" s="363" t="s">
        <v>67</v>
      </c>
      <c r="AG10" s="364"/>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65"/>
      <c r="AG11" s="366"/>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1"/>
      <c r="AG12" s="372"/>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3"/>
      <c r="AG13" s="374"/>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59">
        <f>AE14+AD14+R14+E14</f>
        <v>0</v>
      </c>
      <c r="AG14" s="360"/>
      <c r="AI14" s="218"/>
    </row>
    <row r="15" spans="1:35" s="15" customFormat="1" ht="15" x14ac:dyDescent="0.35">
      <c r="A15" s="339" t="s">
        <v>97</v>
      </c>
      <c r="B15" s="318" t="s">
        <v>44</v>
      </c>
      <c r="C15" s="319"/>
      <c r="D15" s="320"/>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67">
        <f>AE15+AD15+R15+E15</f>
        <v>0</v>
      </c>
      <c r="AG15" s="368"/>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69">
        <f t="shared" si="1"/>
        <v>0</v>
      </c>
      <c r="AG16" s="370"/>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5"/>
      <c r="AG17" s="356"/>
      <c r="AI17" s="218"/>
    </row>
    <row r="18" spans="1:35" s="225" customFormat="1" x14ac:dyDescent="0.2">
      <c r="A18" s="340" t="s">
        <v>39</v>
      </c>
      <c r="B18" s="318" t="s">
        <v>44</v>
      </c>
      <c r="C18" s="319">
        <f>SUM(266396.5+4918.3+4577.32+1506.89)</f>
        <v>277399.01</v>
      </c>
      <c r="D18" s="320">
        <f>SUM(2983749.94+55802.61+60418.18+104344.19+41592.9+42940.52+72369.79-62.88-34261.12+6708.04)</f>
        <v>3333602.17</v>
      </c>
      <c r="E18" s="115">
        <f>SUM(C18:D18)</f>
        <v>3611001.1799999997</v>
      </c>
      <c r="F18" s="178" t="s">
        <v>44</v>
      </c>
      <c r="G18" s="238">
        <f>SUM(31727.52+633.6+95.04)</f>
        <v>32456.16</v>
      </c>
      <c r="H18" s="239">
        <f>SUM(402224.85+1773.38+1360.77+58.05-566.57+10638.69+431.28)</f>
        <v>415920.45</v>
      </c>
      <c r="I18" s="239">
        <v>26887.01</v>
      </c>
      <c r="J18" s="115">
        <f>SUM(G18:I18)</f>
        <v>475263.62</v>
      </c>
      <c r="K18" s="322" t="s">
        <v>44</v>
      </c>
      <c r="L18" s="238">
        <f>SUM(30364.4+1415.04)</f>
        <v>31779.440000000002</v>
      </c>
      <c r="M18" s="240">
        <f>SUM(1661498+76907.75+4122.74+77.81-291170.84+62732.45-15556.01)</f>
        <v>1498611.9</v>
      </c>
      <c r="N18" s="241">
        <f>SUM(1236140.52+33123.61-4841)</f>
        <v>1264423.1300000001</v>
      </c>
      <c r="O18" s="239">
        <v>0</v>
      </c>
      <c r="P18" s="115">
        <f>SUM(N18:O18)</f>
        <v>1264423.1300000001</v>
      </c>
      <c r="Q18" s="110">
        <f>L18+M18+P18</f>
        <v>2794814.4699999997</v>
      </c>
      <c r="R18" s="330">
        <f>Q18+J18</f>
        <v>3270078.09</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57">
        <f>AE18+AD18+R18+E18</f>
        <v>6881079.2699999996</v>
      </c>
      <c r="AG18" s="358"/>
      <c r="AI18" s="218"/>
    </row>
    <row r="19" spans="1:35" s="13" customFormat="1" ht="13.5" customHeight="1" x14ac:dyDescent="0.2">
      <c r="A19" s="341" t="s">
        <v>91</v>
      </c>
      <c r="B19" s="73" t="s">
        <v>44</v>
      </c>
      <c r="C19" s="171">
        <f>C18+C16</f>
        <v>277399.01</v>
      </c>
      <c r="D19" s="172">
        <f>D18+D16</f>
        <v>3333602.17</v>
      </c>
      <c r="E19" s="111">
        <f>E18+E16</f>
        <v>3611001.1799999997</v>
      </c>
      <c r="F19" s="167" t="s">
        <v>44</v>
      </c>
      <c r="G19" s="171">
        <f>G18+G16</f>
        <v>32456.16</v>
      </c>
      <c r="H19" s="172">
        <f>H18+H16</f>
        <v>415920.45</v>
      </c>
      <c r="I19" s="172">
        <f>I18+I16</f>
        <v>26887.01</v>
      </c>
      <c r="J19" s="111">
        <f>J18+J16</f>
        <v>475263.62</v>
      </c>
      <c r="K19" s="168" t="s">
        <v>44</v>
      </c>
      <c r="L19" s="171">
        <f t="shared" ref="L19:R19" si="3">L18+L16</f>
        <v>31779.440000000002</v>
      </c>
      <c r="M19" s="116">
        <f t="shared" si="3"/>
        <v>1498611.9</v>
      </c>
      <c r="N19" s="171">
        <f t="shared" si="3"/>
        <v>1264423.1300000001</v>
      </c>
      <c r="O19" s="172">
        <f t="shared" si="3"/>
        <v>0</v>
      </c>
      <c r="P19" s="116">
        <f t="shared" si="3"/>
        <v>1264423.1300000001</v>
      </c>
      <c r="Q19" s="119">
        <f t="shared" si="3"/>
        <v>2794814.4699999997</v>
      </c>
      <c r="R19" s="119">
        <f t="shared" si="3"/>
        <v>3270078.09</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59">
        <f>SUM(AF16:AG18)</f>
        <v>6881079.2699999996</v>
      </c>
      <c r="AG19" s="360"/>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5"/>
      <c r="AG20" s="356"/>
    </row>
    <row r="21" spans="1:35" s="245" customFormat="1" x14ac:dyDescent="0.2">
      <c r="A21" s="342" t="s">
        <v>23</v>
      </c>
      <c r="B21" s="79" t="s">
        <v>44</v>
      </c>
      <c r="C21" s="175" t="s">
        <v>44</v>
      </c>
      <c r="D21" s="176" t="s">
        <v>44</v>
      </c>
      <c r="E21" s="177">
        <f>3604293.14+6708.04</f>
        <v>3611001.18</v>
      </c>
      <c r="F21" s="178" t="s">
        <v>44</v>
      </c>
      <c r="G21" s="175" t="s">
        <v>44</v>
      </c>
      <c r="H21" s="175" t="s">
        <v>44</v>
      </c>
      <c r="I21" s="334">
        <v>26887.01</v>
      </c>
      <c r="J21" s="179" t="s">
        <v>44</v>
      </c>
      <c r="K21" s="178" t="s">
        <v>44</v>
      </c>
      <c r="L21" s="175" t="s">
        <v>44</v>
      </c>
      <c r="M21" s="180" t="s">
        <v>44</v>
      </c>
      <c r="N21" s="176" t="s">
        <v>44</v>
      </c>
      <c r="O21" s="175" t="s">
        <v>44</v>
      </c>
      <c r="P21" s="180" t="s">
        <v>44</v>
      </c>
      <c r="Q21" s="180" t="s">
        <v>44</v>
      </c>
      <c r="R21" s="177">
        <f>SUM(551745.93+2856113.4+45.79-291093.03+10638.69+115740.47)</f>
        <v>3243191.25</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361">
        <v>0</v>
      </c>
      <c r="AG21" s="362"/>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48"/>
      <c r="AG22" s="349"/>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26886.839999999851</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50">
        <f>AF19-AF21</f>
        <v>6881079.2699999996</v>
      </c>
      <c r="AG23" s="351"/>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f>SUM(3235+60+34+11)</f>
        <v>3340</v>
      </c>
      <c r="C35" s="284" t="s">
        <v>44</v>
      </c>
      <c r="D35" s="275">
        <f>SUM(24591968+459924+797389+1377117+43087)</f>
        <v>27269485</v>
      </c>
      <c r="E35" s="89">
        <f>D35</f>
        <v>27269485</v>
      </c>
      <c r="F35" s="137">
        <f>SUM(332+7+1)</f>
        <v>340</v>
      </c>
      <c r="G35" s="284" t="s">
        <v>44</v>
      </c>
      <c r="H35" s="275">
        <f>SUM(2886433+12726+9765+32080)</f>
        <v>2941004</v>
      </c>
      <c r="I35" s="275">
        <v>126928</v>
      </c>
      <c r="J35" s="89">
        <f>I35+H35</f>
        <v>3067932</v>
      </c>
      <c r="K35" s="140">
        <f>SUM(85+4)</f>
        <v>89</v>
      </c>
      <c r="L35" s="284" t="s">
        <v>44</v>
      </c>
      <c r="M35" s="275">
        <f>SUM(21258466+975120)</f>
        <v>22233586</v>
      </c>
      <c r="N35" s="276">
        <f>SUM(85717+2278)</f>
        <v>87995</v>
      </c>
      <c r="O35" s="275">
        <v>0</v>
      </c>
      <c r="P35" s="89">
        <f>SUM(N35:O35)</f>
        <v>87995</v>
      </c>
      <c r="Q35" s="96">
        <f>M35</f>
        <v>22233586</v>
      </c>
      <c r="R35" s="96">
        <f>Q35+J35</f>
        <v>25301518</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52571003</v>
      </c>
      <c r="AG35" s="161">
        <f>AB35+P35</f>
        <v>87995</v>
      </c>
      <c r="AH35" s="217"/>
    </row>
    <row r="36" spans="1:34" s="4" customFormat="1" x14ac:dyDescent="0.2">
      <c r="A36" s="347" t="s">
        <v>92</v>
      </c>
      <c r="B36" s="95">
        <f>SUM(B31:B35)</f>
        <v>3340</v>
      </c>
      <c r="C36" s="100" t="s">
        <v>44</v>
      </c>
      <c r="D36" s="92">
        <f>SUM(D31:D35)</f>
        <v>27269485</v>
      </c>
      <c r="E36" s="88">
        <f>SUM(E31:E35)</f>
        <v>27269485</v>
      </c>
      <c r="F36" s="95">
        <f>SUM(F31:F35)</f>
        <v>340</v>
      </c>
      <c r="G36" s="100" t="s">
        <v>44</v>
      </c>
      <c r="H36" s="92">
        <f>SUM(H31:H35)</f>
        <v>2941004</v>
      </c>
      <c r="I36" s="92">
        <f>SUM(I31:I35)</f>
        <v>126928</v>
      </c>
      <c r="J36" s="88">
        <f>SUM(J31:J35)</f>
        <v>3067932</v>
      </c>
      <c r="K36" s="94">
        <f>SUM(K31:K35)</f>
        <v>89</v>
      </c>
      <c r="L36" s="100" t="s">
        <v>44</v>
      </c>
      <c r="M36" s="92">
        <f>SUM(M31:M35)</f>
        <v>22233586</v>
      </c>
      <c r="N36" s="93">
        <f>SUM(N31:N35)</f>
        <v>87995</v>
      </c>
      <c r="O36" s="92">
        <f>SUM(O31:O35)</f>
        <v>0</v>
      </c>
      <c r="P36" s="90">
        <f t="shared" ref="P36" si="7">SUM(P31:P35)</f>
        <v>87995</v>
      </c>
      <c r="Q36" s="91">
        <f>SUM(Q31:Q35)</f>
        <v>22233586</v>
      </c>
      <c r="R36" s="91">
        <f>SUM(R31:R35)</f>
        <v>25301518</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52571003</v>
      </c>
      <c r="AG36" s="127">
        <f>SUM(AG31:AG35)</f>
        <v>87995</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f>27226398+43087</f>
        <v>27269485</v>
      </c>
      <c r="F38" s="79" t="s">
        <v>44</v>
      </c>
      <c r="G38" s="80" t="s">
        <v>44</v>
      </c>
      <c r="H38" s="81" t="s">
        <v>44</v>
      </c>
      <c r="I38" s="189">
        <v>126928</v>
      </c>
      <c r="J38" s="149" t="s">
        <v>44</v>
      </c>
      <c r="K38" s="79" t="s">
        <v>44</v>
      </c>
      <c r="L38" s="80" t="s">
        <v>44</v>
      </c>
      <c r="M38" s="82" t="s">
        <v>44</v>
      </c>
      <c r="N38" s="79" t="s">
        <v>44</v>
      </c>
      <c r="O38" s="80" t="s">
        <v>44</v>
      </c>
      <c r="P38" s="149" t="s">
        <v>44</v>
      </c>
      <c r="Q38" s="155" t="s">
        <v>44</v>
      </c>
      <c r="R38" s="141">
        <f>SUM(21258466+975120+2886433+12726+9765+32080)</f>
        <v>25174590</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0</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126928</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52571003</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400" t="s">
        <v>47</v>
      </c>
      <c r="C42" s="401"/>
      <c r="D42" s="401"/>
      <c r="E42" s="401"/>
      <c r="F42" s="401"/>
      <c r="G42" s="401"/>
      <c r="H42" s="401"/>
      <c r="I42" s="401"/>
      <c r="J42" s="401"/>
      <c r="K42" s="401"/>
      <c r="L42" s="401"/>
      <c r="M42" s="401"/>
      <c r="N42" s="401"/>
      <c r="O42" s="402"/>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84" t="s">
        <v>48</v>
      </c>
      <c r="C44" s="385"/>
      <c r="D44" s="385"/>
      <c r="E44" s="385"/>
      <c r="F44" s="385"/>
      <c r="G44" s="385"/>
      <c r="H44" s="385"/>
      <c r="I44" s="385"/>
      <c r="J44" s="385"/>
      <c r="K44" s="386"/>
      <c r="L44" s="403" t="s">
        <v>102</v>
      </c>
      <c r="M44" s="404"/>
      <c r="N44" s="404"/>
      <c r="O44" s="405"/>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84" t="s">
        <v>101</v>
      </c>
      <c r="C46" s="385"/>
      <c r="D46" s="385"/>
      <c r="E46" s="385"/>
      <c r="F46" s="385"/>
      <c r="G46" s="385"/>
      <c r="H46" s="385"/>
      <c r="I46" s="385"/>
      <c r="J46" s="385"/>
      <c r="K46" s="385"/>
      <c r="L46" s="385"/>
      <c r="M46" s="385"/>
      <c r="N46" s="385"/>
      <c r="O46" s="386"/>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06" t="s">
        <v>88</v>
      </c>
      <c r="C48" s="407"/>
      <c r="D48" s="407"/>
      <c r="E48" s="407"/>
      <c r="F48" s="407"/>
      <c r="G48" s="407"/>
      <c r="H48" s="407"/>
      <c r="I48" s="408"/>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06" t="s">
        <v>95</v>
      </c>
      <c r="C50" s="407"/>
      <c r="D50" s="407"/>
      <c r="E50" s="407"/>
      <c r="F50" s="407"/>
      <c r="G50" s="407"/>
      <c r="H50" s="408"/>
      <c r="I50" s="409" t="s">
        <v>96</v>
      </c>
      <c r="J50" s="410"/>
      <c r="K50" s="410"/>
      <c r="L50" s="410"/>
      <c r="M50" s="410"/>
      <c r="N50" s="410"/>
      <c r="O50" s="411"/>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C5" sqref="C5"/>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5"/>
  <sheetViews>
    <sheetView topLeftCell="D7" zoomScale="120" zoomScaleNormal="120" workbookViewId="0">
      <selection activeCell="G30" sqref="G30"/>
    </sheetView>
  </sheetViews>
  <sheetFormatPr defaultRowHeight="12.75" x14ac:dyDescent="0.2"/>
  <cols>
    <col min="1" max="1" width="11.28515625" customWidth="1"/>
    <col min="2" max="2" width="144.85546875" customWidth="1"/>
    <col min="3" max="3" width="12.42578125" bestFit="1" customWidth="1"/>
    <col min="6" max="6" width="39.7109375" bestFit="1" customWidth="1"/>
    <col min="7" max="7" width="13.285156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9" x14ac:dyDescent="0.2">
      <c r="C17" s="11">
        <f>C15+C16</f>
        <v>0</v>
      </c>
      <c r="D17" s="5" t="s">
        <v>38</v>
      </c>
    </row>
    <row r="21" spans="3:9" x14ac:dyDescent="0.2">
      <c r="E21" s="4" t="s">
        <v>106</v>
      </c>
    </row>
    <row r="22" spans="3:9" x14ac:dyDescent="0.2">
      <c r="E22" s="412" t="s">
        <v>107</v>
      </c>
    </row>
    <row r="23" spans="3:9" x14ac:dyDescent="0.2">
      <c r="E23" s="39"/>
    </row>
    <row r="24" spans="3:9" x14ac:dyDescent="0.2">
      <c r="E24" s="413" t="s">
        <v>108</v>
      </c>
      <c r="F24" s="413"/>
    </row>
    <row r="26" spans="3:9" x14ac:dyDescent="0.2">
      <c r="G26" s="6"/>
    </row>
    <row r="27" spans="3:9" x14ac:dyDescent="0.2">
      <c r="E27" s="414"/>
      <c r="F27" s="39" t="s">
        <v>109</v>
      </c>
      <c r="G27" s="415">
        <f>SUM(-72929.97+67141.25)</f>
        <v>-5788.7200000000012</v>
      </c>
      <c r="I27" t="s">
        <v>110</v>
      </c>
    </row>
    <row r="28" spans="3:9" x14ac:dyDescent="0.2">
      <c r="E28" s="414"/>
      <c r="F28" s="39" t="s">
        <v>111</v>
      </c>
      <c r="G28" s="416">
        <v>584523.78</v>
      </c>
      <c r="I28" s="39" t="s">
        <v>112</v>
      </c>
    </row>
    <row r="29" spans="3:9" x14ac:dyDescent="0.2">
      <c r="E29" s="414"/>
      <c r="F29" s="39" t="s">
        <v>113</v>
      </c>
      <c r="G29" s="417">
        <v>6792810</v>
      </c>
      <c r="I29" s="39" t="s">
        <v>114</v>
      </c>
    </row>
    <row r="30" spans="3:9" x14ac:dyDescent="0.2">
      <c r="F30" t="s">
        <v>115</v>
      </c>
      <c r="G30" s="418">
        <f>+G28/G29</f>
        <v>8.6050365018306124E-2</v>
      </c>
      <c r="I30" t="s">
        <v>116</v>
      </c>
    </row>
    <row r="31" spans="3:9" x14ac:dyDescent="0.2">
      <c r="F31" t="s">
        <v>117</v>
      </c>
      <c r="G31" s="419">
        <f>+G27*G30</f>
        <v>-498.12146898876915</v>
      </c>
      <c r="I31" t="s">
        <v>116</v>
      </c>
    </row>
    <row r="32" spans="3:9" x14ac:dyDescent="0.2">
      <c r="F32" t="s">
        <v>118</v>
      </c>
      <c r="G32" s="419">
        <f>+G31</f>
        <v>-498.12146898876915</v>
      </c>
      <c r="I32" t="s">
        <v>119</v>
      </c>
    </row>
    <row r="33" spans="5:9" x14ac:dyDescent="0.2">
      <c r="F33" t="s">
        <v>120</v>
      </c>
      <c r="G33" s="420">
        <v>0</v>
      </c>
      <c r="I33" s="39" t="s">
        <v>121</v>
      </c>
    </row>
    <row r="34" spans="5:9" ht="13.5" thickBot="1" x14ac:dyDescent="0.25">
      <c r="E34" s="414"/>
      <c r="F34" s="39" t="s">
        <v>122</v>
      </c>
      <c r="G34" s="421">
        <f>+G32*(1+G33)</f>
        <v>-498.12146898876915</v>
      </c>
      <c r="I34" t="s">
        <v>116</v>
      </c>
    </row>
    <row r="35" spans="5:9" ht="13.5" thickTop="1" x14ac:dyDescent="0.2"/>
  </sheetData>
  <pageMargins left="0.7" right="0.7" top="0.75" bottom="0.75" header="0.3" footer="0.3"/>
  <pageSetup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Lynn Paradis</cp:lastModifiedBy>
  <cp:lastPrinted>2013-09-14T13:46:41Z</cp:lastPrinted>
  <dcterms:created xsi:type="dcterms:W3CDTF">2003-10-13T18:25:46Z</dcterms:created>
  <dcterms:modified xsi:type="dcterms:W3CDTF">2022-07-25T16:24:27Z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